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19"/>
  </bookViews>
  <sheets>
    <sheet name="预算调整封面" sheetId="5" r:id="rId1"/>
    <sheet name="公共财政预算收入（附表1)" sheetId="1" r:id="rId2"/>
    <sheet name="公共财政预算支出计划调整表（附表2）" sheetId="37" r:id="rId3"/>
    <sheet name="公共财政项目调整表（附表3）" sheetId="47" r:id="rId4"/>
    <sheet name="财力性补助收入（附件4）" sheetId="33" r:id="rId5"/>
    <sheet name="基金收入科目（附表5）" sheetId="53" r:id="rId6"/>
    <sheet name="基金收入项目（附表6）" sheetId="54" r:id="rId7"/>
    <sheet name="基金支出科目（附表7）" sheetId="55" r:id="rId8"/>
    <sheet name="基金支出项目（附表8）" sheetId="56" r:id="rId9"/>
    <sheet name="盘活存量资金收支表（附件9）" sheetId="36" r:id="rId10"/>
    <sheet name="国有资本经营收入表（附表10）" sheetId="42" r:id="rId11"/>
    <sheet name="国有资本经营支出表（附表11）" sheetId="43" r:id="rId12"/>
    <sheet name="社会保险基金收入表（附表12）" sheetId="51" r:id="rId13"/>
    <sheet name="社会保险基金支出表（附表13）" sheetId="52" r:id="rId14"/>
  </sheets>
  <definedNames>
    <definedName name="_xlnm._FilterDatabase" localSheetId="2" hidden="1">'公共财政预算支出计划调整表（附表2）'!$5:$434</definedName>
    <definedName name="_xlnm._FilterDatabase" localSheetId="6" hidden="1">'基金收入项目（附表6）'!$A$4:$L$45</definedName>
    <definedName name="_xlnm._FilterDatabase" localSheetId="8" hidden="1">'基金支出项目（附表8）'!$A$5:$S$218</definedName>
    <definedName name="_xlnm._FilterDatabase" localSheetId="3" hidden="1">'公共财政项目调整表（附表3）'!$A$4:$K$145</definedName>
    <definedName name="_xlnm.Print_Titles" localSheetId="1">'公共财政预算收入（附表1)'!$1:$5</definedName>
    <definedName name="_xlnm.Print_Titles" localSheetId="2">'公共财政预算支出计划调整表（附表2）'!$1:$5</definedName>
    <definedName name="_xlnm.Print_Area" localSheetId="4">'财力性补助收入（附件4）'!$A$1:$AK$28</definedName>
    <definedName name="_xlnm.Print_Titles" localSheetId="11">'国有资本经营支出表（附表11）'!$1:$5</definedName>
    <definedName name="_xlnm.Print_Area" localSheetId="1">'公共财政预算收入（附表1)'!$A$1:$L$45</definedName>
    <definedName name="_xlnm._FilterDatabase" localSheetId="1" hidden="1">'公共财政预算收入（附表1)'!$A$4:$L$45</definedName>
    <definedName name="_xlnm._FilterDatabase" localSheetId="4" hidden="1">'财力性补助收入（附件4）'!$A$6:$AJ$26</definedName>
    <definedName name="_xlnm.Print_Area" localSheetId="2">'公共财政预算支出计划调整表（附表2）'!$A$1:$O$434</definedName>
    <definedName name="_xlnm.Print_Area" localSheetId="3">'公共财政项目调整表（附表3）'!$A$1:$J$145</definedName>
    <definedName name="_xlnm.Print_Titles" localSheetId="3">'公共财政项目调整表（附表3）'!$1:$5</definedName>
    <definedName name="_xlnm.Print_Area" localSheetId="0">预算调整封面!$A$1:$K$18</definedName>
    <definedName name="_xlnm.Print_Area" localSheetId="12">'社会保险基金收入表（附表12）'!$A$1:$E$30</definedName>
    <definedName name="_xlnm.Print_Titles" localSheetId="5">'基金收入科目（附表5）'!$1:$5</definedName>
    <definedName name="_xlnm.Print_Titles" localSheetId="6">'基金收入项目（附表6）'!$1:$4</definedName>
    <definedName name="_xlnm.Print_Titles" localSheetId="7">'基金支出科目（附表7）'!$1:$5</definedName>
    <definedName name="_xlnm.Print_Area" localSheetId="7">'基金支出科目（附表7）'!$A$1:$Q$109</definedName>
    <definedName name="_xlnm.Print_Titles" localSheetId="8">'基金支出项目（附表8）'!$1:$5</definedName>
    <definedName name="_xlnm.Print_Area" localSheetId="8">'基金支出项目（附表8）'!$A$1:$O$217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调资增资和公用拨款标准变动\原计划数与实际有出入\非税收入变动\</t>
        </r>
      </text>
    </comment>
    <comment ref="H5" authorId="0">
      <text>
        <r>
          <rPr>
            <b/>
            <sz val="9"/>
            <rFont val="宋体"/>
            <charset val="134"/>
          </rPr>
          <t>作者:</t>
        </r>
        <r>
          <rPr>
            <sz val="9"/>
            <rFont val="宋体"/>
            <charset val="134"/>
          </rPr>
          <t xml:space="preserve">
区政府或区领导批增/批复增加</t>
        </r>
      </text>
    </comment>
    <comment ref="I5" authorId="0">
      <text>
        <r>
          <rPr>
            <b/>
            <sz val="9"/>
            <rFont val="宋体"/>
            <charset val="134"/>
          </rPr>
          <t>作者:</t>
        </r>
        <r>
          <rPr>
            <sz val="9"/>
            <rFont val="宋体"/>
            <charset val="134"/>
          </rPr>
          <t xml:space="preserve">
含包括使用上级资金后调减，具体项目须另加批注</t>
        </r>
      </text>
    </comment>
  </commentList>
</comments>
</file>

<file path=xl/sharedStrings.xml><?xml version="1.0" encoding="utf-8"?>
<sst xmlns="http://schemas.openxmlformats.org/spreadsheetml/2006/main" count="3316" uniqueCount="1738">
  <si>
    <t>汕头市濠江区2020年政府预算调整草案</t>
  </si>
  <si>
    <t>编制部门：汕头市濠江区财政局</t>
  </si>
  <si>
    <t>编制时间：2020年10月</t>
  </si>
  <si>
    <t>附表1</t>
  </si>
  <si>
    <t>汕头市濠江区2020年公共财政预算收入计划调整表</t>
  </si>
  <si>
    <t>单位：万元</t>
  </si>
  <si>
    <t>项目</t>
  </si>
  <si>
    <t>2020年计划数</t>
  </si>
  <si>
    <t>变动因素</t>
  </si>
  <si>
    <t>调整后计划</t>
  </si>
  <si>
    <t>比增%</t>
  </si>
  <si>
    <t>备注</t>
  </si>
  <si>
    <t>总库</t>
  </si>
  <si>
    <t>本级</t>
  </si>
  <si>
    <t>一.税收收入</t>
  </si>
  <si>
    <t xml:space="preserve">   1.增值税</t>
  </si>
  <si>
    <t xml:space="preserve">   2.消费税</t>
  </si>
  <si>
    <t xml:space="preserve">   3.车辆购置税</t>
  </si>
  <si>
    <t xml:space="preserve">   4.企业所得税</t>
  </si>
  <si>
    <t xml:space="preserve">   5.个人所得税</t>
  </si>
  <si>
    <t xml:space="preserve">   6.资源税</t>
  </si>
  <si>
    <t xml:space="preserve">   7.城市维护建设税</t>
  </si>
  <si>
    <t xml:space="preserve">   8.房产税</t>
  </si>
  <si>
    <t xml:space="preserve">   9.印花税</t>
  </si>
  <si>
    <t xml:space="preserve">   10.城镇土地使用税</t>
  </si>
  <si>
    <t xml:space="preserve">   11.土地增值税</t>
  </si>
  <si>
    <t xml:space="preserve">   12.车船税</t>
  </si>
  <si>
    <t xml:space="preserve">   13.耕地占用税</t>
  </si>
  <si>
    <t xml:space="preserve">   14.契税</t>
  </si>
  <si>
    <t xml:space="preserve">   15.环境保护税</t>
  </si>
  <si>
    <t xml:space="preserve">   16.其他税收收入</t>
  </si>
  <si>
    <t>二.非税收入</t>
  </si>
  <si>
    <t xml:space="preserve">   1.教育费附加收入</t>
  </si>
  <si>
    <t xml:space="preserve">   2.地方教育附加收入</t>
  </si>
  <si>
    <t xml:space="preserve">   3.农田水利建设</t>
  </si>
  <si>
    <t xml:space="preserve">   4.森林植被恢复费</t>
  </si>
  <si>
    <t xml:space="preserve">   5.捐赠收入</t>
  </si>
  <si>
    <t xml:space="preserve">   6.政府住房基金收入</t>
  </si>
  <si>
    <t xml:space="preserve">   7.行政事业性收费收入</t>
  </si>
  <si>
    <t xml:space="preserve">   8.罚没收入</t>
  </si>
  <si>
    <t xml:space="preserve">   9.国有资产经营收入</t>
  </si>
  <si>
    <t xml:space="preserve">   10.国有资源(资产)有偿使用收入</t>
  </si>
  <si>
    <t xml:space="preserve">   11.其他收入</t>
  </si>
  <si>
    <t>征收收入小计</t>
  </si>
  <si>
    <t xml:space="preserve">   其中税务局</t>
  </si>
  <si>
    <t xml:space="preserve">       财政局</t>
  </si>
  <si>
    <t>三.转移性收入</t>
  </si>
  <si>
    <t xml:space="preserve">   1.上级财力性补助收入</t>
  </si>
  <si>
    <t xml:space="preserve">   2.上级专项性补助收入</t>
  </si>
  <si>
    <t xml:space="preserve">   3、上级债券转贷收入</t>
  </si>
  <si>
    <t xml:space="preserve">   4.上年结余收入</t>
  </si>
  <si>
    <t xml:space="preserve">   5.预算稳定调节基金</t>
  </si>
  <si>
    <t xml:space="preserve">   6.调入资金</t>
  </si>
  <si>
    <t>财力合计</t>
  </si>
  <si>
    <t>附表2</t>
  </si>
  <si>
    <t>汕头市濠江区2020年公共财政预算支出计划调整表</t>
  </si>
  <si>
    <t>科目    编码</t>
  </si>
  <si>
    <t>功能分类             科目名称</t>
  </si>
  <si>
    <t>比增  %</t>
  </si>
  <si>
    <t>备 注</t>
  </si>
  <si>
    <t>本级      支出</t>
  </si>
  <si>
    <t>上级      支出</t>
  </si>
  <si>
    <t>合 计</t>
  </si>
  <si>
    <t>政策性   调整</t>
  </si>
  <si>
    <t>其他      调整</t>
  </si>
  <si>
    <t>上级资金收回</t>
  </si>
  <si>
    <t>同类及跨类调剂</t>
  </si>
  <si>
    <t>上级     支出</t>
  </si>
  <si>
    <t>本级     支出</t>
  </si>
  <si>
    <t>一般公共服务支出</t>
  </si>
  <si>
    <t>人大事务</t>
  </si>
  <si>
    <t>行政运行</t>
  </si>
  <si>
    <t>基本经费调整</t>
  </si>
  <si>
    <t>人大会议</t>
  </si>
  <si>
    <t>人大监督</t>
  </si>
  <si>
    <t>人大代表履职能力提升</t>
  </si>
  <si>
    <t>代表工作</t>
  </si>
  <si>
    <t>其他人大事务支出</t>
  </si>
  <si>
    <t>政协事务</t>
  </si>
  <si>
    <t>政协会议</t>
  </si>
  <si>
    <t>委员视察</t>
  </si>
  <si>
    <t>参政议政</t>
  </si>
  <si>
    <t>其他政协事务支出</t>
  </si>
  <si>
    <t>政府办公厅（室）及相关机构事务</t>
  </si>
  <si>
    <t>其他政府办公厅（室）及相关机构事务支出</t>
  </si>
  <si>
    <t>调增建设区政府会场信息化系统项目、公务用车购置等，调减区政府视频会议项目经费</t>
  </si>
  <si>
    <t>发展与改革事务</t>
  </si>
  <si>
    <t>一般行政管理事务</t>
  </si>
  <si>
    <t>战略规划与实施</t>
  </si>
  <si>
    <t>物价管理</t>
  </si>
  <si>
    <t>其他发展与改革事务支出</t>
  </si>
  <si>
    <t>调增区重点办工作经费、经济发展目标工作经费补助等</t>
  </si>
  <si>
    <t>统计信息事务</t>
  </si>
  <si>
    <t>专项普查活动</t>
  </si>
  <si>
    <t>统计抽样调查</t>
  </si>
  <si>
    <t>其他统计信息事务支出</t>
  </si>
  <si>
    <t>财政事务</t>
  </si>
  <si>
    <t>财政国库业务</t>
  </si>
  <si>
    <t>信息化建设</t>
  </si>
  <si>
    <t>其他财政事务支出</t>
  </si>
  <si>
    <t>调增数字财政工作经费、政府采购工作经费、基建项目财政承受能力论证工作经费和金融债务管理工作经费，调减农村财务管理经费</t>
  </si>
  <si>
    <t>税收事务</t>
  </si>
  <si>
    <t>调增税务局征管经费</t>
  </si>
  <si>
    <t>审计事务</t>
  </si>
  <si>
    <t>审计业务</t>
  </si>
  <si>
    <t>事业运行</t>
  </si>
  <si>
    <t>人力资源事务</t>
  </si>
  <si>
    <t>其他人力资源事务支出</t>
  </si>
  <si>
    <t>纪检监察事务</t>
  </si>
  <si>
    <t>大案要案查处</t>
  </si>
  <si>
    <t>派驻派出机构</t>
  </si>
  <si>
    <t>其他纪检监察事务支出</t>
  </si>
  <si>
    <t>调增区纪委监委机关陪护购买服务经费和纪检监察检举举报平台处置子平台建设项目及内部保密整改工作经费</t>
  </si>
  <si>
    <t>商贸事务</t>
  </si>
  <si>
    <t>招商引资</t>
  </si>
  <si>
    <t>其他商贸事务支出</t>
  </si>
  <si>
    <t>基本经费调整，调增中介超市运营劳务服务外包购买服务包干经费</t>
  </si>
  <si>
    <t>知识产权事务</t>
  </si>
  <si>
    <t>专利试点和产业化推进</t>
  </si>
  <si>
    <t>知识产权宏观管理</t>
  </si>
  <si>
    <t>其他知识产权事务支出</t>
  </si>
  <si>
    <t>港澳台事务</t>
  </si>
  <si>
    <t>港澳事务</t>
  </si>
  <si>
    <t>台湾事务</t>
  </si>
  <si>
    <t>档案事务</t>
  </si>
  <si>
    <t>档案馆</t>
  </si>
  <si>
    <t>民主党派及工商联事务</t>
  </si>
  <si>
    <t>其他民主党派及工商联事务支出</t>
  </si>
  <si>
    <t>群众团体事务</t>
  </si>
  <si>
    <t>工会事务</t>
  </si>
  <si>
    <t>其他群众团体事务支出</t>
  </si>
  <si>
    <t>组织事务</t>
  </si>
  <si>
    <t>其他组织事务支出</t>
  </si>
  <si>
    <t>调增第三批优秀拔尖人才津贴</t>
  </si>
  <si>
    <t>宣传事务</t>
  </si>
  <si>
    <t>其他宣传事务支出</t>
  </si>
  <si>
    <t>统战事务</t>
  </si>
  <si>
    <t>宗教事务</t>
  </si>
  <si>
    <t>华侨事务</t>
  </si>
  <si>
    <t>其他统战事务支出</t>
  </si>
  <si>
    <t>其他共产党事务支出</t>
  </si>
  <si>
    <t>调增综治中心中海信电费</t>
  </si>
  <si>
    <t>市场监督管理事务</t>
  </si>
  <si>
    <t>市场秩序执法</t>
  </si>
  <si>
    <t>质量基础</t>
  </si>
  <si>
    <t>食品安全监管</t>
  </si>
  <si>
    <t>其他市场监督管理事务</t>
  </si>
  <si>
    <t>调减非税支出和市场监督管理各类工作经费</t>
  </si>
  <si>
    <t>其他一般公共服务支出</t>
  </si>
  <si>
    <t>调增审计助理人员薪酬经费，调减巨灾保险费区级配套资金和2020年区退役军人事务局春节慰问活动经费等</t>
  </si>
  <si>
    <t>国防支出</t>
  </si>
  <si>
    <t>国防动员</t>
  </si>
  <si>
    <t>兵役征集</t>
  </si>
  <si>
    <t>人民防空</t>
  </si>
  <si>
    <t>调减非税支出</t>
  </si>
  <si>
    <t>民兵</t>
  </si>
  <si>
    <t>其他国防动员支出</t>
  </si>
  <si>
    <t>其他国防支出</t>
  </si>
  <si>
    <t>公共安全支出</t>
  </si>
  <si>
    <t>公安</t>
  </si>
  <si>
    <t>其他公安支出</t>
  </si>
  <si>
    <t>调增辅警队伍建设经费、预留公安专项经费和“平安濠江”视频监控线路租金</t>
  </si>
  <si>
    <t>检察</t>
  </si>
  <si>
    <t>其他检察支出</t>
  </si>
  <si>
    <t>法院</t>
  </si>
  <si>
    <t>其他法院支出</t>
  </si>
  <si>
    <t>司法</t>
  </si>
  <si>
    <t>调增依法治区工作经费</t>
  </si>
  <si>
    <t>基层司法业务</t>
  </si>
  <si>
    <t>普法宣传</t>
  </si>
  <si>
    <t>律师公证管理</t>
  </si>
  <si>
    <t>法律援助</t>
  </si>
  <si>
    <t>社区矫正</t>
  </si>
  <si>
    <t>其他司法支出</t>
  </si>
  <si>
    <t>其他公共安全支出</t>
  </si>
  <si>
    <t>教育支出</t>
  </si>
  <si>
    <t>教育管理事务</t>
  </si>
  <si>
    <t>普通教育</t>
  </si>
  <si>
    <t>学前教育</t>
  </si>
  <si>
    <t>小学教育</t>
  </si>
  <si>
    <t>基本经费调整，调增珠浦第二小学大门围墙及运动场配套改造和棉花小学运动场及配套等，调减玉石小学教学楼升级改造工程等</t>
  </si>
  <si>
    <t>初中教育</t>
  </si>
  <si>
    <t>高中教育</t>
  </si>
  <si>
    <t>基本经费调整，调增家庭经济困难学生国家助学金等</t>
  </si>
  <si>
    <t>高等教育</t>
  </si>
  <si>
    <t>其他普通教育支出</t>
  </si>
  <si>
    <t>调增预留住房改革补贴提标经费和人员经费、华南师范大学品牌费、管理费和濠江花园南区幼儿园和广澳街道中心幼儿园购买服务包干经费等，调减非税支出等</t>
  </si>
  <si>
    <t>职业教育</t>
  </si>
  <si>
    <t>中等职业教育</t>
  </si>
  <si>
    <t>技校教育</t>
  </si>
  <si>
    <t>高等职业教育</t>
  </si>
  <si>
    <t>其他职业教育支出</t>
  </si>
  <si>
    <t>汕濠办文[2020]Z3-0953号，调增濠江职教中心拆迁费用</t>
  </si>
  <si>
    <t>特殊教育</t>
  </si>
  <si>
    <t>特殊学校教育</t>
  </si>
  <si>
    <t>其他特殊教育支出</t>
  </si>
  <si>
    <t>进修及培训</t>
  </si>
  <si>
    <t>教师进修</t>
  </si>
  <si>
    <t>培训支出</t>
  </si>
  <si>
    <t>调减技术培训经费</t>
  </si>
  <si>
    <t>教育费附加安排的支出</t>
  </si>
  <si>
    <t>其他教育费附加安排的支出</t>
  </si>
  <si>
    <t>调增埭头学校大门和山体挡土墙及场区配套建设，濠江区2020年教育装备建设项目经费调整用款单位为达濠民生学校使用30万元，珠浦第二小学使用50万元，华南师范大学附属濠江实验学校使用245万元</t>
  </si>
  <si>
    <t>其他教育支出</t>
  </si>
  <si>
    <t>调减华南师范大学附属濠江实验学校（中学部）经费</t>
  </si>
  <si>
    <t>科学技术支出</t>
  </si>
  <si>
    <t>科学技术管理事务</t>
  </si>
  <si>
    <t>技术研究与开发支出</t>
  </si>
  <si>
    <t>2060499</t>
  </si>
  <si>
    <t>其他技术研究与开发支出</t>
  </si>
  <si>
    <t>调增2020年广东省工业企业技术改造事后奖补（普惠性）资金和汕头市产业转移工业园区濠江片区开展循环改造试点验收工作技术服务经费</t>
  </si>
  <si>
    <t>科学技术普及</t>
  </si>
  <si>
    <t>其他科学技术普及支出</t>
  </si>
  <si>
    <t>其他科学技术支出</t>
  </si>
  <si>
    <t>缴回上级结转资金，调减支出，调增企业开拓国内外市场方面的奖励、对有突出实绩的外贸出口企业的奖励和濠江区科技创新公共服务平台</t>
  </si>
  <si>
    <t>文化旅游体育与传媒支出</t>
  </si>
  <si>
    <t>文化和旅游</t>
  </si>
  <si>
    <t>图书馆</t>
  </si>
  <si>
    <t>群众文化</t>
  </si>
  <si>
    <t>文化和旅游市场管理</t>
  </si>
  <si>
    <t>旅游宣传</t>
  </si>
  <si>
    <t>其他文化和旅游支出</t>
  </si>
  <si>
    <t>根据汕濠办文【2020】Z3-0865号调增区文化馆达标升级包干补助经费</t>
  </si>
  <si>
    <t>文物</t>
  </si>
  <si>
    <t>文物保护</t>
  </si>
  <si>
    <t>其他文物支出</t>
  </si>
  <si>
    <t>体育</t>
  </si>
  <si>
    <t>群众体育</t>
  </si>
  <si>
    <t>其他文化旅游体育与传媒支出</t>
  </si>
  <si>
    <t>调增预留创文经费</t>
  </si>
  <si>
    <t>社会保障和就业支出</t>
  </si>
  <si>
    <t>人力资源和社会保障管理事务</t>
  </si>
  <si>
    <t>公共就业服务和职业技能鉴定机构</t>
  </si>
  <si>
    <t>其他人力资源和社会保障管理事务支出</t>
  </si>
  <si>
    <t>调增欠薪应急周转金和基本经费</t>
  </si>
  <si>
    <t>民政管理事务</t>
  </si>
  <si>
    <t>社会组织管理</t>
  </si>
  <si>
    <t>行政区划和地名管理</t>
  </si>
  <si>
    <t>调增地名普查档案整理归档工作经费和第二次全国地名普查成果转化经费</t>
  </si>
  <si>
    <t>基层政权建设和社区治理</t>
  </si>
  <si>
    <t>调增居务监督委员会成员培训费</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</si>
  <si>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</si>
  <si>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</si>
  <si>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</si>
  <si>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</si>
  <si>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</si>
  <si>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</si>
  <si>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</si>
  <si>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基本经费调整，调增预留职业年金</t>
  </si>
  <si>
    <t>对机关事业单位基本养老保险基金的补助</t>
  </si>
  <si>
    <t>调增预留机关养老</t>
  </si>
  <si>
    <t>就业补助</t>
  </si>
  <si>
    <t>就业创业服务补贴</t>
  </si>
  <si>
    <t>其他就业补助支出</t>
  </si>
  <si>
    <t>抚恤</t>
  </si>
  <si>
    <t>死亡抚恤</t>
  </si>
  <si>
    <t>在乡复员、退伍军人生活补助</t>
  </si>
  <si>
    <t>义务兵优待</t>
  </si>
  <si>
    <t>调增城乡义务兵优待金（含高原兵）及一次性大学生入伍奖励</t>
  </si>
  <si>
    <t>农村籍退役士兵老年生活补助</t>
  </si>
  <si>
    <t>其他优抚支出</t>
  </si>
  <si>
    <t>退役安置</t>
  </si>
  <si>
    <t>退役士兵安置</t>
  </si>
  <si>
    <t>调增城乡退伍士兵安置补助金</t>
  </si>
  <si>
    <t>军队移交政府的离退休人员安置</t>
  </si>
  <si>
    <t>军队移交政府离退休干部管理机构</t>
  </si>
  <si>
    <t>退役士兵管理教育</t>
  </si>
  <si>
    <t>军队转业干部安置</t>
  </si>
  <si>
    <t>调增部分退役士兵社会保险补缴工作区级补助资金和企业军转干部生活补助和医保等补助</t>
  </si>
  <si>
    <t>其他退役安置支出</t>
  </si>
  <si>
    <t>社会福利</t>
  </si>
  <si>
    <t>儿童福利</t>
  </si>
  <si>
    <t>调增孤儿生活费</t>
  </si>
  <si>
    <t>老年福利</t>
  </si>
  <si>
    <t>调增养老床位费</t>
  </si>
  <si>
    <t>殡葬</t>
  </si>
  <si>
    <t>调增殡改年度工作补助经费</t>
  </si>
  <si>
    <t>社会福利事业单位</t>
  </si>
  <si>
    <t>残疾人事业</t>
  </si>
  <si>
    <t>残疾人康复</t>
  </si>
  <si>
    <t>调增康复中心购买服务经费</t>
  </si>
  <si>
    <t>残疾人就业和扶贫</t>
  </si>
  <si>
    <t>残疾人生活和护理补贴</t>
  </si>
  <si>
    <t>其他残疾人事业支出</t>
  </si>
  <si>
    <t>调增残疾人医疗康复救助基金区级配套和残疾学生及困难残疾人子女助学金</t>
  </si>
  <si>
    <t>红十字事业</t>
  </si>
  <si>
    <t>其他红十字事业支出</t>
  </si>
  <si>
    <t>最低生活保障</t>
  </si>
  <si>
    <t>城市最低生活保障金支出</t>
  </si>
  <si>
    <t>调增城镇低保经费</t>
  </si>
  <si>
    <t>农村最低生活保障金支出</t>
  </si>
  <si>
    <t>调增农村低保经费</t>
  </si>
  <si>
    <t>临时救助</t>
  </si>
  <si>
    <t>临时救助支出</t>
  </si>
  <si>
    <t>调增临时价格补贴区级配套</t>
  </si>
  <si>
    <t>流浪乞讨人员救助支出</t>
  </si>
  <si>
    <t>特困人员救助供养</t>
  </si>
  <si>
    <t>城市特困人员救助供养支出</t>
  </si>
  <si>
    <t>农村特困人员救助供养支出</t>
  </si>
  <si>
    <t>其他生活救助</t>
  </si>
  <si>
    <t>其他城市生活救助</t>
  </si>
  <si>
    <t>其他农村生活救助</t>
  </si>
  <si>
    <t>财政对基本养老保险基金的补助</t>
  </si>
  <si>
    <t>财政对城乡居民基本养老保险基金的补助</t>
  </si>
  <si>
    <t>调增城乡居民社会养老保险</t>
  </si>
  <si>
    <t>财政对其他基本养老保险基金的补助</t>
  </si>
  <si>
    <t>调增企业离休干部生活补贴和建国前参加革命属工人编制的退休老同志生活补贴</t>
  </si>
  <si>
    <t>退役军人管理事务</t>
  </si>
  <si>
    <t>基本经费调增</t>
  </si>
  <si>
    <t>拥军优属</t>
  </si>
  <si>
    <t>其他退役军人事务管理支出</t>
  </si>
  <si>
    <t>其他社会保障和就业支出</t>
  </si>
  <si>
    <t>卫生健康支出</t>
  </si>
  <si>
    <t>卫生健康管理事务</t>
  </si>
  <si>
    <t>其他卫生健康管理事务支出</t>
  </si>
  <si>
    <t>调减严重精神病患者综治防控经费</t>
  </si>
  <si>
    <t>公立医院</t>
  </si>
  <si>
    <t>综合医院</t>
  </si>
  <si>
    <t>其他公立医院支出</t>
  </si>
  <si>
    <t>基层医疗卫生机构</t>
  </si>
  <si>
    <t>城市社区卫生机构</t>
  </si>
  <si>
    <t>乡镇卫生院</t>
  </si>
  <si>
    <t>其他基层医疗卫生机构支出</t>
  </si>
  <si>
    <t>调增2019年度全科医生补助金</t>
  </si>
  <si>
    <t>公共卫生</t>
  </si>
  <si>
    <t>疾病预防控制机构</t>
  </si>
  <si>
    <t>调增非税支出和基本支出</t>
  </si>
  <si>
    <t>妇幼保健机构</t>
  </si>
  <si>
    <t>基本公共卫生服务</t>
  </si>
  <si>
    <t>重大公共卫生服务</t>
  </si>
  <si>
    <t>突发公共卫生事件应急处理</t>
  </si>
  <si>
    <t>调增人民医院建设新冠肺炎核酸检测实验室和2020年新型冠状病毒感染的肺炎应急防控专项经费</t>
  </si>
  <si>
    <t>其他公共卫生支出</t>
  </si>
  <si>
    <t>调增严重精神障碍患者监护补助费用</t>
  </si>
  <si>
    <t>中医药</t>
  </si>
  <si>
    <t>其他中医药支出</t>
  </si>
  <si>
    <t>计划生育事务</t>
  </si>
  <si>
    <t>计划生育服务</t>
  </si>
  <si>
    <t>其他计划生育事务支出</t>
  </si>
  <si>
    <t>调减人口和计生目标责任制考核奖励和计生家庭商业保险，调增省城镇独生子女父母计生奖励</t>
  </si>
  <si>
    <t>行政事业单位医疗</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</si>
  <si>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</si>
  <si>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</si>
  <si>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</si>
  <si>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</si>
  <si>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</si>
  <si>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</si>
  <si>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</si>
  <si>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</si>
  <si>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其他优抚对象医疗支出</t>
  </si>
  <si>
    <t>调增困难企业部分军队退役人员欠缴医疗保障经费</t>
  </si>
  <si>
    <t>医疗保障管理事务</t>
  </si>
  <si>
    <t>老龄卫生健康事务</t>
  </si>
  <si>
    <t>其他卫生健康支出</t>
  </si>
  <si>
    <t>调增卫健局及属下事业单位运转经费及预留工作经费</t>
  </si>
  <si>
    <t>节能环保支出</t>
  </si>
  <si>
    <t>环境保护管理事务</t>
  </si>
  <si>
    <t>其他环境保护管理事务支出</t>
  </si>
  <si>
    <t>调增生态环境保护“十四五”规划编制经费</t>
  </si>
  <si>
    <t>能源节约利用</t>
  </si>
  <si>
    <t>水体</t>
  </si>
  <si>
    <t>2110304</t>
  </si>
  <si>
    <t>污染防治</t>
  </si>
  <si>
    <t>调增玉新街道城市生活垃圾分类</t>
  </si>
  <si>
    <t>其他污染防治支出</t>
  </si>
  <si>
    <t>循环经济</t>
  </si>
  <si>
    <t>其他节能环保支出</t>
  </si>
  <si>
    <t>城乡社区支出</t>
  </si>
  <si>
    <t>城乡社区管理事务</t>
  </si>
  <si>
    <t>城管执法</t>
  </si>
  <si>
    <t>工程建设管理</t>
  </si>
  <si>
    <t>其他城乡社区管理事务支出</t>
  </si>
  <si>
    <t>调增调剂人员经费，调增达濠海旁路供电变压台拆迁及周边环境整治补助经费和恒大金碧江湾片区管理工作经费</t>
  </si>
  <si>
    <t>城乡社区规划与管理</t>
  </si>
  <si>
    <t>城乡社区公共设施</t>
  </si>
  <si>
    <t>其他城乡社区公共设施支出</t>
  </si>
  <si>
    <t>调增濠江区人民医院改扩建经费、更新垃圾转运设备项目和东湖金碧湾公租房后续配套设施建设费用等</t>
  </si>
  <si>
    <t>城乡社区环境卫生</t>
  </si>
  <si>
    <t>调增全区生活垃圾前后端转运项目经费、濠江区道路环卫作业市场化运营管理项目、新增加主次干道清扫保洁经费和濠江区园区道路环卫作业市场化管理项目等经费，调减非税支出等，人员经费等调剂</t>
  </si>
  <si>
    <t>其他城乡社区支出</t>
  </si>
  <si>
    <t>调增建筑业扶持专项资金区级配套和预留经费用于2020年春节迎春环境布置经费</t>
  </si>
  <si>
    <t>农林水支出</t>
  </si>
  <si>
    <t>农业农村</t>
  </si>
  <si>
    <t>科技转化与推广服务</t>
  </si>
  <si>
    <t>调减技术推广经费</t>
  </si>
  <si>
    <t>病虫害控制</t>
  </si>
  <si>
    <t>调增病虫害控制防治经费</t>
  </si>
  <si>
    <t>农产品质量安全</t>
  </si>
  <si>
    <t>执法监管</t>
  </si>
  <si>
    <t>统计监测与信息服务</t>
  </si>
  <si>
    <t>农业资源保护修复与利用</t>
  </si>
  <si>
    <t>调减农业资源保护修复与利用经费</t>
  </si>
  <si>
    <t>成品油价格改革对渔业的补贴</t>
  </si>
  <si>
    <t>对高校毕业生到基层任职补助</t>
  </si>
  <si>
    <t>其他农业农村支出</t>
  </si>
  <si>
    <t>调增上级补助，调减本级农民专业合作社工作经费和非税支出</t>
  </si>
  <si>
    <t>林业和草原</t>
  </si>
  <si>
    <t>技术推广与转化</t>
  </si>
  <si>
    <t>调减技术推广与转化经费</t>
  </si>
  <si>
    <t>森林生态效益补偿</t>
  </si>
  <si>
    <t>其他林业和草原支出</t>
  </si>
  <si>
    <t>水利</t>
  </si>
  <si>
    <t>水利行业业务管理</t>
  </si>
  <si>
    <t>调减聘用水利技术负责人、质监人员费用</t>
  </si>
  <si>
    <t>水利工程建设</t>
  </si>
  <si>
    <t>水利工程运行与维护</t>
  </si>
  <si>
    <t>调减凤岗防潮水闸临时电排站管养包干经费</t>
  </si>
  <si>
    <t>水利前期工作</t>
  </si>
  <si>
    <t>调减小型水库安全鉴定费用</t>
  </si>
  <si>
    <t>水土保持</t>
  </si>
  <si>
    <t>水资源节约管理与保护</t>
  </si>
  <si>
    <t>农村水利</t>
  </si>
  <si>
    <t>调减农田建设经费</t>
  </si>
  <si>
    <t>水利技术推广</t>
  </si>
  <si>
    <t>其他水利支出</t>
  </si>
  <si>
    <t>调增上级补助，调减本级水法宣传经费</t>
  </si>
  <si>
    <t>扶贫</t>
  </si>
  <si>
    <t>其他扶贫支出</t>
  </si>
  <si>
    <t>农村综合改革</t>
  </si>
  <si>
    <t>对村集体经济组织的补助</t>
  </si>
  <si>
    <t>农村综合改革示范试点补助</t>
  </si>
  <si>
    <t>其他农村综合改革支出</t>
  </si>
  <si>
    <t>调减预留厕所革命工作经费</t>
  </si>
  <si>
    <t>普惠金融发展支出</t>
  </si>
  <si>
    <t>农业保险保费补贴</t>
  </si>
  <si>
    <t>创业担保贷款贴息</t>
  </si>
  <si>
    <t>其他农林水支出</t>
  </si>
  <si>
    <t>调增濠江区大坪排洪沟河浦高级中学段改建工程、乡村振兴示范片补助经费和濠江区河涌整治区级配套资金等，预留经费调剂使用</t>
  </si>
  <si>
    <t>交通运输支出</t>
  </si>
  <si>
    <t>公路水路运输</t>
  </si>
  <si>
    <t>公路建设</t>
  </si>
  <si>
    <t>其他公路水路运输支出</t>
  </si>
  <si>
    <t>成品油价格改革对交通运输的补贴</t>
  </si>
  <si>
    <t>对出租车的补贴</t>
  </si>
  <si>
    <t>车辆购置税支出</t>
  </si>
  <si>
    <t>车辆购置税用于公路等基础设施建设支出</t>
  </si>
  <si>
    <t>资源勘探工业信息等支出</t>
  </si>
  <si>
    <t>工业和信息产业监管</t>
  </si>
  <si>
    <t>工业和信息产业支持</t>
  </si>
  <si>
    <t>其他工业和信息产业监管支出</t>
  </si>
  <si>
    <t>缴回上级结转资金</t>
  </si>
  <si>
    <t>商业服务业等支出</t>
  </si>
  <si>
    <t>商业流通事务</t>
  </si>
  <si>
    <t>其他商业流通事务支出</t>
  </si>
  <si>
    <t>涉外发展服务支出</t>
  </si>
  <si>
    <t>其他涉外发展服务支出</t>
  </si>
  <si>
    <t>其他商业服务业等支出</t>
  </si>
  <si>
    <t>调增提前复工生产疫情防控应急保障物资或零部件的企业奖励、2020年第一季度工业产值、销售额和建安产值完成奖励资金和推动小微企业上规模奖补资金等，调减预留新冠肺炎疫情支持企业专项资金</t>
  </si>
  <si>
    <t>金融支出</t>
  </si>
  <si>
    <t>其他金融支出</t>
  </si>
  <si>
    <t>重点企业贷款贴息</t>
  </si>
  <si>
    <t>自然资源海洋气象等支出</t>
  </si>
  <si>
    <t>自然资源事务</t>
  </si>
  <si>
    <t>地质勘查与矿产资源管理</t>
  </si>
  <si>
    <t>海域与海岛管理</t>
  </si>
  <si>
    <t>其他自然资源事务支出</t>
  </si>
  <si>
    <t>其他自然资源海洋气象等支出</t>
  </si>
  <si>
    <t>住房保障支出</t>
  </si>
  <si>
    <t>保障性安居工程支出</t>
  </si>
  <si>
    <t>公共租赁住房</t>
  </si>
  <si>
    <t>调增2020年1-10月份教师公寓物业管理费</t>
  </si>
  <si>
    <t>2210107</t>
  </si>
  <si>
    <t>保障性住房租金补贴</t>
  </si>
  <si>
    <t>调增发放保障对象租赁补贴</t>
  </si>
  <si>
    <t>住房改革支出</t>
  </si>
  <si>
    <t>住房公积金</t>
  </si>
  <si>
    <t>粮油物资储备支出</t>
  </si>
  <si>
    <t>粮油事务</t>
  </si>
  <si>
    <t>粮食风险基金</t>
  </si>
  <si>
    <t>其他粮油事务支出</t>
  </si>
  <si>
    <t>粮油储备</t>
  </si>
  <si>
    <t>储备粮油补贴</t>
  </si>
  <si>
    <t>基本经费调整，预留经费调剂用于新型冠状病毒感染的肺炎疫情防控粮食应急保供补贴资金</t>
  </si>
  <si>
    <t>重要商品储备</t>
  </si>
  <si>
    <t>肉类储备</t>
  </si>
  <si>
    <t>汕濠办文[2020]Z3-0359号，预留经费中调剂用于区级冻猪肉储备费用</t>
  </si>
  <si>
    <t>食盐储备</t>
  </si>
  <si>
    <t>灾害防治及应急管理支出</t>
  </si>
  <si>
    <t>应急管理事务</t>
  </si>
  <si>
    <t>安全监管</t>
  </si>
  <si>
    <t>其他应急管理支出</t>
  </si>
  <si>
    <t>调增区森林扑火物资储备库建设、解决广东三防信息接收应急保障系统购置资金和森林专业扑火队（综合应急队）营区宿舍建设费用</t>
  </si>
  <si>
    <t>消防事务</t>
  </si>
  <si>
    <t>其他消防事务支出</t>
  </si>
  <si>
    <t>调增人员经费</t>
  </si>
  <si>
    <t>地震事务</t>
  </si>
  <si>
    <t>其他地震事务支出</t>
  </si>
  <si>
    <t>自然灾害防治</t>
  </si>
  <si>
    <t>地质灾害防治</t>
  </si>
  <si>
    <t>其他灾害防治及应急管理支出</t>
  </si>
  <si>
    <t>预备费</t>
  </si>
  <si>
    <t>其他支出</t>
  </si>
  <si>
    <t>调减2020年教育系统项目前期费用、绩效考核奖金及离退休人员慰问金和岗位责任奖及优秀奖等预留人员经费、非税支出，调增预留专项经费，原预留基本经费调剂</t>
  </si>
  <si>
    <t>转移性支出</t>
  </si>
  <si>
    <t>上解支出</t>
  </si>
  <si>
    <t>专项上解支出</t>
  </si>
  <si>
    <t>按上级文件要求调增上解支出</t>
  </si>
  <si>
    <t>债务还本支出</t>
  </si>
  <si>
    <t>地方政府一般债务还本支出</t>
  </si>
  <si>
    <t>地方政府一般债券还本支出</t>
  </si>
  <si>
    <t>债务付息支出</t>
  </si>
  <si>
    <t>地方政府一般债务付息支出</t>
  </si>
  <si>
    <t>地方政府一般债券付息支出</t>
  </si>
  <si>
    <t>调增一般债券利息费用</t>
  </si>
  <si>
    <t>债务发行费用支出</t>
  </si>
  <si>
    <t>地方政府一般债务发行费用支出</t>
  </si>
  <si>
    <t>合计</t>
  </si>
  <si>
    <t>附表3</t>
  </si>
  <si>
    <t>汕头市濠江区2020年公共财政本级预算支出项目调整表</t>
  </si>
  <si>
    <t>调增情况</t>
  </si>
  <si>
    <t>调减情况</t>
  </si>
  <si>
    <t>股室</t>
  </si>
  <si>
    <t>单位</t>
  </si>
  <si>
    <t>金额</t>
  </si>
  <si>
    <t>调增合计</t>
  </si>
  <si>
    <t>调减合计</t>
  </si>
  <si>
    <t>一、基本支出</t>
  </si>
  <si>
    <t>各股室</t>
  </si>
  <si>
    <t>各单位</t>
  </si>
  <si>
    <t>基本经费</t>
  </si>
  <si>
    <t>含计生奖2179</t>
  </si>
  <si>
    <t>预算股</t>
  </si>
  <si>
    <t>财政局（代编）</t>
  </si>
  <si>
    <t>岗位责任奖及优秀奖</t>
  </si>
  <si>
    <t>项目结余资金调减</t>
  </si>
  <si>
    <t>行财股</t>
  </si>
  <si>
    <t>各学校</t>
  </si>
  <si>
    <t>教育系统住房改革补贴</t>
  </si>
  <si>
    <t>根据区业务主管部门审核，事业单位住房改革补贴按实拨付，需调增资金</t>
  </si>
  <si>
    <t>绩效考核奖金及离退休人员慰问金</t>
  </si>
  <si>
    <t>社保股</t>
  </si>
  <si>
    <t>预留机关养老</t>
  </si>
  <si>
    <t>政策性配套</t>
  </si>
  <si>
    <t>休假补贴</t>
  </si>
  <si>
    <t>预留职业年金</t>
  </si>
  <si>
    <t>根据汕濠办文【2020】Z2-1145号</t>
  </si>
  <si>
    <t>综合股</t>
  </si>
  <si>
    <t>基本经费补充</t>
  </si>
  <si>
    <t>根据预测非税收入数调减</t>
  </si>
  <si>
    <t>二、政策性支出</t>
  </si>
  <si>
    <t>工贸股</t>
  </si>
  <si>
    <t>工信局</t>
  </si>
  <si>
    <t>提前复工生产疫情防控应急保障物资或零部件的企业奖励</t>
  </si>
  <si>
    <t>关于印发应对新型冠状病毒感染的肺炎疫情支持企业稳生产保经营促发展若干措施的通知</t>
  </si>
  <si>
    <t>预留新冠肺炎疫情支持企业专项资金</t>
  </si>
  <si>
    <t>新增项目在工信局，预留经费调减</t>
  </si>
  <si>
    <t>安装门式人体测温仪购置费用补贴</t>
  </si>
  <si>
    <t>提前下达2018年市级工业与信息化发展专项资金预算</t>
  </si>
  <si>
    <t>按要求缴回市局</t>
  </si>
  <si>
    <t>2020年第一季度工业产值、销售额和建安产值完成奖励资金</t>
  </si>
  <si>
    <t>提前下达2018年省级促进经济发展专项资金（省经济和信息化委经管部分用途）</t>
  </si>
  <si>
    <t>农业股</t>
  </si>
  <si>
    <t>乡村振兴示范片补助经费（涉农区级配套）</t>
  </si>
  <si>
    <t>涉农资金区级配套</t>
  </si>
  <si>
    <t>预留工业企业技术改造事后奖补区级配套资金</t>
  </si>
  <si>
    <t>企业离休干部生活补贴和建国前参加革命属工人编制的退休老同志生活补贴</t>
  </si>
  <si>
    <t>巨灾保险费区级配套资金</t>
  </si>
  <si>
    <t>根据实际用款需求调减</t>
  </si>
  <si>
    <t>预留工作性和政策性专项</t>
  </si>
  <si>
    <t>困难企业部分军队退役人员及部分军转干部、国企退休职工欠缴社保费挂账</t>
  </si>
  <si>
    <t>根据单位用款需求调减</t>
  </si>
  <si>
    <t>2020年广东省工业企业技术改造事后奖补（普惠性）资金项目</t>
  </si>
  <si>
    <t>关于汕头市工业企业技术改造事后奖补实施细则（汕经信〔2018〕198号）</t>
  </si>
  <si>
    <t>预留八一慰问（调往退役）</t>
  </si>
  <si>
    <t>预留资金。已按实结算，余额调减</t>
  </si>
  <si>
    <t>对有突出实绩的外贸出口企业的奖励</t>
  </si>
  <si>
    <t>《濠江区促进外贸回稳向好发展若干措施(2017-2019年)》（汕濠经信【2017】64号）</t>
  </si>
  <si>
    <t>统战部</t>
  </si>
  <si>
    <t>春节慰问困难归侨侨眷经费</t>
  </si>
  <si>
    <t>已按实结算，余额调减</t>
  </si>
  <si>
    <t>企业开拓国内外市场方面的奖励</t>
  </si>
  <si>
    <t>政协</t>
  </si>
  <si>
    <t>委员视察经费</t>
  </si>
  <si>
    <t>推动小微企业上规模奖补资金</t>
  </si>
  <si>
    <t>关于印发《汕头市濠江区关于促进实体经济高质量发展的若干措施（2019-2021年）》的通知（汕濠府【2019】34号）</t>
  </si>
  <si>
    <t>生产力促进中心</t>
  </si>
  <si>
    <t>濠江区科技创新公共服务平台</t>
  </si>
  <si>
    <t>关于申报2020-2021年汕头市科技专项项目的通知（汕府科【2020】50号）</t>
  </si>
  <si>
    <t>区政协全会闭会期间活动经费</t>
  </si>
  <si>
    <t>城管局</t>
  </si>
  <si>
    <t>玉新街道城市生活垃圾分类</t>
  </si>
  <si>
    <t>关于印发《濠江区玉新街道城市生活垃圾分类实施方案》的通知</t>
  </si>
  <si>
    <t>政府办</t>
  </si>
  <si>
    <t>区政府视频会议项目经费</t>
  </si>
  <si>
    <t>应急局</t>
  </si>
  <si>
    <t>区森林扑火物资储备库建设</t>
  </si>
  <si>
    <t>汕濠办文【2019】Z3-2789号、关于街道应急办、应急队伍、森防物资装备及扑火物资储备库建设的方案</t>
  </si>
  <si>
    <t>教育局</t>
  </si>
  <si>
    <t>政府履行教育职责考核工作经费</t>
  </si>
  <si>
    <t>住建局</t>
  </si>
  <si>
    <t>建筑业扶持专项资金区级配套</t>
  </si>
  <si>
    <t>关于印发《汕头市住房和城乡建设局 汕头市财政局扶持建筑业发展实施办法》的通知（汕住建【2017】184号）</t>
  </si>
  <si>
    <t>上划市高炮团经费</t>
  </si>
  <si>
    <t>普通高中残疾学生助学金（区级）</t>
  </si>
  <si>
    <t>民生项目资金，根据实际人数拨付，需按实调增金额</t>
  </si>
  <si>
    <t>卫健局</t>
  </si>
  <si>
    <t>严重精神障碍患者综治防控经费（定位护腕经费）</t>
  </si>
  <si>
    <t>家庭经济困难学生国家助学金</t>
  </si>
  <si>
    <t>计生家庭商业保险</t>
  </si>
  <si>
    <t>教师培训经费（学历提升）--教师队伍建设经费</t>
  </si>
  <si>
    <t>根据单位用款需求调增</t>
  </si>
  <si>
    <t>人社局</t>
  </si>
  <si>
    <t>技工院校建档立卡贫困家庭学生生活费补助</t>
  </si>
  <si>
    <t>2019年度原民代教师生活困难补助区级配套</t>
  </si>
  <si>
    <t>三、部门专项工作经费</t>
  </si>
  <si>
    <t>2020年度原民代教师生活困难补助区级配套</t>
  </si>
  <si>
    <t>市场监督局</t>
  </si>
  <si>
    <t>市场监督管理各类登记、检查、抽检、专用材料、执法办案、专项整治、标准化、办公楼维护等工作经费</t>
  </si>
  <si>
    <t>因单位本年度办公设备采购不了，暂不采购、调减预算</t>
  </si>
  <si>
    <t>农农水局</t>
  </si>
  <si>
    <t>汕头市离岗基层老兽医补助资金</t>
  </si>
  <si>
    <t>依据汕濠农农水办【2020】12号文及汕濠农农水办【2019】34号文，按文件规定区级必须配套资金3.1万元</t>
  </si>
  <si>
    <t>市政所</t>
  </si>
  <si>
    <t>南滨路十三座涵闸管养费</t>
  </si>
  <si>
    <t>合同到期，余额调减</t>
  </si>
  <si>
    <t>2020年度濠江区耕地土壤环境质量类别划分边界核实和受污染耕地安全利用项目</t>
  </si>
  <si>
    <t>汕市农农【2020】60号</t>
  </si>
  <si>
    <t>环卫局</t>
  </si>
  <si>
    <t>新增加主次干道清扫保洁经费（新纳入市场化运营管理道路广达大道）</t>
  </si>
  <si>
    <t>濠江区葛洲水道出海口、潮博馆至跳水馆、绿道前海域非法养殖清理整治项目</t>
  </si>
  <si>
    <t>汕濠办文【2020】Z4--1144号和《区政府工作会议纪要》2020年第56期</t>
  </si>
  <si>
    <t>青云岩六曲公厕配套水井挖掘经费</t>
  </si>
  <si>
    <t>濠江区农村土地承包经营权确权登记颁证工作档案数字化服务项目</t>
  </si>
  <si>
    <t>汕濠府办财函【2018】215号，濠江区农村土地承包经营权确权登记颁证工作档案数字化服务项目</t>
  </si>
  <si>
    <t>预留新增移交环卫作业市场化管理各项经费</t>
  </si>
  <si>
    <t>汕濠办文【2020】Z3-0924号</t>
  </si>
  <si>
    <t>濠江区河涌整治区级配套资金</t>
  </si>
  <si>
    <t>区农业农村和水务局、区财政局《关于印发&lt;汕头市濠江区河涌整治大提升行动方案&gt;的通知》（汕濠农农水办【2019】35号）</t>
  </si>
  <si>
    <t>国资股</t>
  </si>
  <si>
    <t>外地干部周转房经费</t>
  </si>
  <si>
    <t>项目已完成</t>
  </si>
  <si>
    <t>礐石街道</t>
  </si>
  <si>
    <t>礐石山体亮化（二期）工程范围内森林防灭火设施建设经费</t>
  </si>
  <si>
    <t>依据汕濠府办财函【2019】105号文，安排144万元作为建设经费</t>
  </si>
  <si>
    <t>政策性农村住房保险工作经费</t>
  </si>
  <si>
    <t>玉新街道</t>
  </si>
  <si>
    <t>濠江区大坪排洪沟河浦高级中学段改建工程</t>
  </si>
  <si>
    <t>区政府工作会议纪要第17期工作安排指示</t>
  </si>
  <si>
    <t>聘用水利技术负责人、质监人员费用</t>
  </si>
  <si>
    <t>残联</t>
  </si>
  <si>
    <t>残疾学生及困难残疾人子女助学金</t>
  </si>
  <si>
    <t>根据汕市财社【2020】121号，政策性配套</t>
  </si>
  <si>
    <t>动物疫病预防控制中心</t>
  </si>
  <si>
    <t>残疾人医疗康复助救基金区级配套</t>
  </si>
  <si>
    <t>根据汕残联通【2020】102号文，政策性配套</t>
  </si>
  <si>
    <t>水利所</t>
  </si>
  <si>
    <t>凤岗防潮水闸临时电排站管养包干经费</t>
  </si>
  <si>
    <t>康复中心购买服务经费</t>
  </si>
  <si>
    <t>根据区政府工作会议纪要2020第46期</t>
  </si>
  <si>
    <t>退役军人局</t>
  </si>
  <si>
    <t>复退军人服务专项购买服务经费</t>
  </si>
  <si>
    <t>项目已完结，余额调减</t>
  </si>
  <si>
    <t>民政局</t>
  </si>
  <si>
    <t>殡改年度工作补助经费</t>
  </si>
  <si>
    <t>根据《关于2019年度濠江区殡葬管理目标责任制督查情况通报》</t>
  </si>
  <si>
    <t>2020年区退役军人事务局春节慰问活动经费</t>
  </si>
  <si>
    <t>城镇低保</t>
  </si>
  <si>
    <t>人口和计生目标责任制服考核奖励</t>
  </si>
  <si>
    <t>根据汕濠府【2020】41号，考核结果取消了街道居委分类及奖励金发放</t>
  </si>
  <si>
    <t>农村低保</t>
  </si>
  <si>
    <t>2020年区残联春节慰问活动经费</t>
  </si>
  <si>
    <t>孤儿生活费</t>
  </si>
  <si>
    <t>2020年区民政局春节慰问活动经费</t>
  </si>
  <si>
    <t>养老床位费</t>
  </si>
  <si>
    <t>根据汕濠民【2020】27号</t>
  </si>
  <si>
    <t>捐资助学支出</t>
  </si>
  <si>
    <t>根据预测收入数调减</t>
  </si>
  <si>
    <t>临时价格补贴区级补助</t>
  </si>
  <si>
    <t>人防视频指挥系统高清化改造</t>
  </si>
  <si>
    <t>欠薪应急周转金</t>
  </si>
  <si>
    <t>根据汕人社发【2017】15号补充周转金资金量</t>
  </si>
  <si>
    <t>电动警报器及控制终端电声改造</t>
  </si>
  <si>
    <t>自然资源局</t>
  </si>
  <si>
    <t>鸡心屿及其周边海域管养、维护经费</t>
  </si>
  <si>
    <t>鸡心屿周边海域垃圾清漂工作已调整由其他职能部门实施</t>
  </si>
  <si>
    <t>城乡居民养老保险区级配套资金</t>
  </si>
  <si>
    <t>财政局</t>
  </si>
  <si>
    <t>协税经费补助</t>
  </si>
  <si>
    <t>企业军转干部生活补助和医保等补助</t>
  </si>
  <si>
    <t>根据汕退役军人通【2020】55号，调整生活困难补助标准</t>
  </si>
  <si>
    <t>农村财务管理经费</t>
  </si>
  <si>
    <t>部分退役士兵社保接续工作区级补助资金</t>
  </si>
  <si>
    <t>根据汕濠退役军人【2020】6号</t>
  </si>
  <si>
    <t>技术培训</t>
  </si>
  <si>
    <t>城乡退伍安置补助金（含西藏兵）</t>
  </si>
  <si>
    <t>根据汕市财社【2020】51号，汕市财社【2020】113号</t>
  </si>
  <si>
    <t>技术推广</t>
  </si>
  <si>
    <t>义务兵优待金（含一次性大学生入伍奖励金）</t>
  </si>
  <si>
    <t>根据汕市财社【2020】84号</t>
  </si>
  <si>
    <t>动物病虫害防治</t>
  </si>
  <si>
    <t>困难企业部分军人退役人员医疗保障费</t>
  </si>
  <si>
    <t>根据汕濠办文【2020】Z3-1202号</t>
  </si>
  <si>
    <t>农民专业合作社工作经费</t>
  </si>
  <si>
    <t>房管所</t>
  </si>
  <si>
    <t>教师公寓物业管理费</t>
  </si>
  <si>
    <t>新增支付2020年1-10月份教师公寓物业管理费</t>
  </si>
  <si>
    <t>经建股</t>
  </si>
  <si>
    <t>发放保障对象租赁补贴</t>
  </si>
  <si>
    <t>根据实际用款需求调增</t>
  </si>
  <si>
    <t>农田建设</t>
  </si>
  <si>
    <t>新型冠状病毒感染的肺炎应急防控专项经费</t>
  </si>
  <si>
    <t>根据1.汕市卫专函【2020】63号关于转发广东省卫生健康委 广东省财政厅 广东省医保局 关于加快新冠病毒核酸检测费用结算有关工作的通知；2.转发关于印发《加强临床基因扩增检验实验室建设管理提升核酸检测能力工作方案》的通知</t>
  </si>
  <si>
    <t>水法宣传经费</t>
  </si>
  <si>
    <t>2019年度全科医生补助金</t>
  </si>
  <si>
    <t>根据区政府批文</t>
  </si>
  <si>
    <t>预留厕所革命工作经费</t>
  </si>
  <si>
    <t>省城镇独生子女父母计生奖励</t>
  </si>
  <si>
    <t>根据汕市财社【2020】63号提标</t>
  </si>
  <si>
    <t>农业减灾增产经费</t>
  </si>
  <si>
    <t>严重精神障碍患者监护区级补助费用</t>
  </si>
  <si>
    <t>预留非税支出</t>
  </si>
  <si>
    <t>职教中心</t>
  </si>
  <si>
    <t>濠江职教中心拆迁费用</t>
  </si>
  <si>
    <t>汕濠办文【2020】Z3-0953号</t>
  </si>
  <si>
    <t>预留农村基层经费</t>
  </si>
  <si>
    <t>按上级文件要求调增</t>
  </si>
  <si>
    <t>四、上年结转支出</t>
  </si>
  <si>
    <t>小型水库安全鉴定费用</t>
  </si>
  <si>
    <t>年初预算数79万元，按签订合同实际需支付55.5万元，结余23.5万元调减预算数。</t>
  </si>
  <si>
    <t>发改局</t>
  </si>
  <si>
    <t>区重点办工作经费</t>
  </si>
  <si>
    <t>汕濠办文【2020】Z3-0466号</t>
  </si>
  <si>
    <t>2019年本级结转：复退军人服务专项购买服务经费</t>
  </si>
  <si>
    <t>经济发展目标工作经费补助</t>
  </si>
  <si>
    <t>汕濠办文【2020】Z3-0526号</t>
  </si>
  <si>
    <t>五、基础设施建设及维护</t>
  </si>
  <si>
    <t>汕头市产业转移工业园区濠江片区开展循环改造试点验收工作技术服务经费</t>
  </si>
  <si>
    <t>转发广东省工业和信息化厅关于组织开展2019年园区循环化改造工作的通知（汕工信函〔2019〕191号）</t>
  </si>
  <si>
    <t>324国道棉花路段裸露山体整治复绿工程</t>
  </si>
  <si>
    <t>项目取消，已完成工程量的70%</t>
  </si>
  <si>
    <t>全区生活垃圾前端转运项目</t>
  </si>
  <si>
    <t>围填海历史遗留问题生态保护修复项目</t>
  </si>
  <si>
    <t>已录入省级项目库，未批</t>
  </si>
  <si>
    <t>全区生活垃圾后端转运项目</t>
  </si>
  <si>
    <t>青林居委青云岩景区公厕后山体地质灾害隐患点建设区级配套资金</t>
  </si>
  <si>
    <t>项目尚在预算审核阶段，还未公开招标</t>
  </si>
  <si>
    <t>更新垃圾转运设备项目</t>
  </si>
  <si>
    <t>汕濠办文【2020】Z3-0643号</t>
  </si>
  <si>
    <t>河渡居委宫头山至破山一带山体地质灾害隐患点建设项目</t>
  </si>
  <si>
    <t>因项目还未立项，项目治理未能启动，因此无需列入本年度治理资金</t>
  </si>
  <si>
    <t>环保垃圾桶采购项目</t>
  </si>
  <si>
    <t>汕濠办文【2020】Z3-1205号</t>
  </si>
  <si>
    <t>濠江花园南区幼儿园园舍及配套设施建设</t>
  </si>
  <si>
    <t>濠江区道路环卫作业市场化运营管理项目</t>
  </si>
  <si>
    <t>汕濠办文【2020】Z3-0630号</t>
  </si>
  <si>
    <t>玉石小学教学楼升级改造工程</t>
  </si>
  <si>
    <t>濠江区园区道路环卫作业市场化管理项目</t>
  </si>
  <si>
    <t>汕濠办文【2020】Z2-0851号、汕濠办文【2020】Z2-0676号</t>
  </si>
  <si>
    <t>五一小学教学楼卫生间和用电线路及教室维修改造工程项目</t>
  </si>
  <si>
    <t>新增加主次干道清扫保洁经费（新纳入市场化运营管理道路）</t>
  </si>
  <si>
    <t>南山小学教学楼、校门及围墙修缮</t>
  </si>
  <si>
    <t>公厕管理项目</t>
  </si>
  <si>
    <t>华南师范大学附属濠江实验学校（中学部）</t>
  </si>
  <si>
    <t>环卫作业市场化管理经费（主次干道清洁保洁项目）</t>
  </si>
  <si>
    <t>2020年教育系统项目前期费用</t>
  </si>
  <si>
    <t>购置垃圾环保箱经费</t>
  </si>
  <si>
    <t>汕濠府办财函【2017】154号</t>
  </si>
  <si>
    <t>2019年结存森林半专业扑火队伍包干经费</t>
  </si>
  <si>
    <t>汕濠办文【2020】Z3-1213号，结存2万元中调剂使用</t>
  </si>
  <si>
    <t>解决广东三防信息接收应急保障系统购置资金（金视通）</t>
  </si>
  <si>
    <t>汕濠办文【2020】Z3-1229号</t>
  </si>
  <si>
    <t>森林专业扑火队（综合应急队）营区宿舍建设费用</t>
  </si>
  <si>
    <t>汕濠办文【2020】Z3-1203号</t>
  </si>
  <si>
    <t>生态环境保护“十四五”规划编制经费</t>
  </si>
  <si>
    <t>汕濠办文【2020】Z3-1223号</t>
  </si>
  <si>
    <t>公务用车购置.</t>
  </si>
  <si>
    <t>区政府办申请调增</t>
  </si>
  <si>
    <t>国资</t>
  </si>
  <si>
    <t>纪委</t>
  </si>
  <si>
    <t>区纪委公务用车购置</t>
  </si>
  <si>
    <t>区纪委申请调增</t>
  </si>
  <si>
    <t>补充工作经费</t>
  </si>
  <si>
    <t>租金返拨</t>
  </si>
  <si>
    <t>春节、重阳节的节日慰问、特困退休人员的探望慰问费用</t>
  </si>
  <si>
    <t>金融债务管理工作经费</t>
  </si>
  <si>
    <t>数字财政工作经费</t>
  </si>
  <si>
    <t>政府采购工作经费</t>
  </si>
  <si>
    <t>基建项目财政承受能力论证工作经费</t>
  </si>
  <si>
    <t>会计监督工作经费</t>
  </si>
  <si>
    <t>司法局</t>
  </si>
  <si>
    <t>依法治区工作经费</t>
  </si>
  <si>
    <t>组织部</t>
  </si>
  <si>
    <t>第三批优秀拔尖人才津贴</t>
  </si>
  <si>
    <t>政法委</t>
  </si>
  <si>
    <t>综治中心中海信电费</t>
  </si>
  <si>
    <t>文广旅体局</t>
  </si>
  <si>
    <t>区文化馆达标升级包干补助经费</t>
  </si>
  <si>
    <t>根据汕濠办文【2020】Z3-0865号调增</t>
  </si>
  <si>
    <t>公共资源交易中心</t>
  </si>
  <si>
    <t>中介超市运营劳务服务外包购买服务包干经费</t>
  </si>
  <si>
    <t>根据汕濠办文【2020】Z3-0837号调增</t>
  </si>
  <si>
    <t>审计局</t>
  </si>
  <si>
    <t>审计助理人员薪酬经费</t>
  </si>
  <si>
    <t>根据汕濠办文【2020】Z3-1211号调增</t>
  </si>
  <si>
    <t>政协工作经费</t>
  </si>
  <si>
    <t>建设区政府会场信息化系统项目</t>
  </si>
  <si>
    <t>区政府一号楼5楼党委会议室音响话筒设备经费</t>
  </si>
  <si>
    <t>区政府一号楼4楼2号会议室音响系统升级改造经费</t>
  </si>
  <si>
    <t>学校周边交通标志标线项目资金</t>
  </si>
  <si>
    <t>华南师范大学品牌费、管理费</t>
  </si>
  <si>
    <t>根据汕濠办文【2019】Z3-区政府工作会议纪要29期调增</t>
  </si>
  <si>
    <t>濠江花园南区幼儿园和广澳街道中心幼儿园购买服务包干经费</t>
  </si>
  <si>
    <t>根据汕濠办文【2020】Z2-0800号按实结算</t>
  </si>
  <si>
    <t>统计工作经费</t>
  </si>
  <si>
    <t>劳动教育活动经费</t>
  </si>
  <si>
    <t>配套补助学校少年宫活动经费</t>
  </si>
  <si>
    <t>区纪委监委机关陪护购买服务经费</t>
  </si>
  <si>
    <t>根据汕濠办文【2020】Z1-3185号调增</t>
  </si>
  <si>
    <t>纪检监察检举举报平台处置子平台建设项目及内部保密整改工作经费</t>
  </si>
  <si>
    <t>公安分局</t>
  </si>
  <si>
    <t>特勤队伍建设经费</t>
  </si>
  <si>
    <t>按现有政府批文2020年需预算金额782万元。已报政府要求重新确定额度，待批复拨付。</t>
  </si>
  <si>
    <t>“平安濠江”视频监控线路租金</t>
  </si>
  <si>
    <t>按政府批文全年需编列资金56.4万元，需调整14.1万元</t>
  </si>
  <si>
    <t>预留公安专项经费</t>
  </si>
  <si>
    <t>华附学校</t>
  </si>
  <si>
    <t>物业管理购买服务费用</t>
  </si>
  <si>
    <t>建设改革创新示范学校专项经费</t>
  </si>
  <si>
    <t>居务监督委员会成员培训费</t>
  </si>
  <si>
    <t>农村集体产权制度改革试点工作经费</t>
  </si>
  <si>
    <t>慈善会宣传办公经费</t>
  </si>
  <si>
    <t>第二次全国地名普查成果转化经费</t>
  </si>
  <si>
    <t>根据汕濠办文【2020】Z3-0834号</t>
  </si>
  <si>
    <t>地名普查档案整理归档工作经费</t>
  </si>
  <si>
    <t>卫健局及属下事业单位运转经费</t>
  </si>
  <si>
    <t>根据汕濠办文【2019】Z4-2527号</t>
  </si>
  <si>
    <t>旧城办</t>
  </si>
  <si>
    <t>金中预留发展用地回迁户办理房产登记等经费</t>
  </si>
  <si>
    <t>根据实际申请办理情况调增</t>
  </si>
  <si>
    <t>疾控中心</t>
  </si>
  <si>
    <t>二类疫苗费</t>
  </si>
  <si>
    <t>根据预测收入数调增</t>
  </si>
  <si>
    <t>达濠街道</t>
  </si>
  <si>
    <t>达濠海旁路供电变压台拆迁及周边环境整治补助经费</t>
  </si>
  <si>
    <t>根据单位申请情况调增</t>
  </si>
  <si>
    <t>河浦街道</t>
  </si>
  <si>
    <t>恒大金碧江湾片区管理工作经费</t>
  </si>
  <si>
    <t>汕濠办文【2020】Z4-1298号</t>
  </si>
  <si>
    <t>税务局</t>
  </si>
  <si>
    <t>征管经费</t>
  </si>
  <si>
    <t>一般债券利息及服务费</t>
  </si>
  <si>
    <t>根据用款需求调增</t>
  </si>
  <si>
    <t>四、基础设施建设及维护</t>
  </si>
  <si>
    <t>区档案馆购置及前期费用</t>
  </si>
  <si>
    <t>调增区档案馆2019年底因手续未完善未能支出收回的装修工程项目设计费尾款</t>
  </si>
  <si>
    <t>经建</t>
  </si>
  <si>
    <t>濠江花园南区幼儿园装饰工程</t>
  </si>
  <si>
    <t>青篮小学教学综合楼建设</t>
  </si>
  <si>
    <t>棉花小学运动场及配套</t>
  </si>
  <si>
    <t>达濠民生学校教学楼屋面补漏及墙体维修</t>
  </si>
  <si>
    <t>西墩小学教学楼墙体和卫生间及配套修缮</t>
  </si>
  <si>
    <t>珠浦第二小学大门围墙及运动场配套改造</t>
  </si>
  <si>
    <t>埭头学校大门和山体挡土墙及场区配套建设</t>
  </si>
  <si>
    <r>
      <rPr>
        <sz val="10"/>
        <color rgb="FF000000"/>
        <rFont val="宋体"/>
        <charset val="134"/>
        <scheme val="minor"/>
      </rPr>
      <t>岗背小学教学楼卫生间及校舍</t>
    </r>
    <r>
      <rPr>
        <sz val="10"/>
        <rFont val="宋体"/>
        <charset val="134"/>
        <scheme val="minor"/>
      </rPr>
      <t>维修改造</t>
    </r>
  </si>
  <si>
    <t>华桥小学新建综合楼及运动场改造</t>
  </si>
  <si>
    <t>玉新中学运动场改造、排污管网改造及配套项目</t>
  </si>
  <si>
    <t>东湖金碧湾公租房后续配套设施建设费用</t>
  </si>
  <si>
    <t>政府采购项目，已备案</t>
  </si>
  <si>
    <t>人民医院</t>
  </si>
  <si>
    <t>濠江区人民医院改扩建（含医疗设备）</t>
  </si>
  <si>
    <t>2020年特殊转移支付资金直达资金（汕市财预【2020】107号）用于该项目的1680万元已调整为用于保障“三保”支出，安排对我区教师工资的补助，需调增本级资金列入预算调整</t>
  </si>
  <si>
    <t>2019年雨污分流</t>
  </si>
  <si>
    <t>按2020年第一次会议纪要的内容调增资金</t>
  </si>
  <si>
    <t>预留创文经费</t>
  </si>
  <si>
    <t>南粤家政工程配套设备经费</t>
  </si>
  <si>
    <t>汕濠办文【2020】Z3-1212号</t>
  </si>
  <si>
    <t>人民医院建设新冠肺炎核酸检测实验室</t>
  </si>
  <si>
    <t>根据汕濠府办【2020】Z4-1060号</t>
  </si>
  <si>
    <t>附表4</t>
  </si>
  <si>
    <t>汕头市濠江区2020年公共财政上级财力性补助收支预算调整表</t>
  </si>
  <si>
    <t>金额：万元</t>
  </si>
  <si>
    <t>上级财力性补助收入</t>
  </si>
  <si>
    <t>使用范围</t>
  </si>
  <si>
    <t>年初预算</t>
  </si>
  <si>
    <t>调整预算</t>
  </si>
  <si>
    <t>民生支出</t>
  </si>
  <si>
    <t>运转支出</t>
  </si>
  <si>
    <t>协调发展支出</t>
  </si>
  <si>
    <t>省</t>
  </si>
  <si>
    <t>市</t>
  </si>
  <si>
    <t>城乡低保</t>
  </si>
  <si>
    <t>临时救助、医疗救助</t>
  </si>
  <si>
    <t>城乡居民养老、城乡居民医保</t>
  </si>
  <si>
    <t>残疾人生活津贴及护理补贴、残疾人居家无障碍改造配套经费及残疾学生及困难残疾人子女助学金</t>
  </si>
  <si>
    <t>城镇三无人员、农村籍退役士兵补贴</t>
  </si>
  <si>
    <t>退伍兵安置金、义务兵优待金</t>
  </si>
  <si>
    <t>随军家属生活补</t>
  </si>
  <si>
    <t>精准扶贫</t>
  </si>
  <si>
    <t>儿童、老年福利</t>
  </si>
  <si>
    <t>殡葬公共服务均等化</t>
  </si>
  <si>
    <t>教育义教、特殊教育公用经费</t>
  </si>
  <si>
    <t>中职、高中助学金免费学</t>
  </si>
  <si>
    <t>教师绩效工资</t>
  </si>
  <si>
    <t>基本、重大公共卫生</t>
  </si>
  <si>
    <t>三屿围海堤达标加固工程、濠江区洲角闸应急强排站新建工程、汕头市后江湾海堤修复加固工程</t>
  </si>
  <si>
    <t>赤脚医生生活补</t>
  </si>
  <si>
    <t>计生对象奖励和商业保险等计生专项</t>
  </si>
  <si>
    <t>高龄老人政府津贴、百岁老人保健金及“银龄安康”行动60周岁以上老人保险费等</t>
  </si>
  <si>
    <t>严重精神病监护补助</t>
  </si>
  <si>
    <t>“平安濠江”视频监控系统专项</t>
  </si>
  <si>
    <t>“平安汕头”智能视频监控系统租赁资金</t>
  </si>
  <si>
    <t>基层组织建设</t>
  </si>
  <si>
    <t>区级森防扑火物资、消防装备和个人防护器材经费</t>
  </si>
  <si>
    <t>小计</t>
  </si>
  <si>
    <t>增值税和消费税税收返还收入</t>
  </si>
  <si>
    <t>增值税五五分成税收返还收入</t>
  </si>
  <si>
    <t>所得税基数返还收入</t>
  </si>
  <si>
    <t>其他一般性转移支付收入（下划机构经费）</t>
  </si>
  <si>
    <t>其他一般性转移支付收入（监察体制改革划转基数）</t>
  </si>
  <si>
    <t>其他一般性转移支付收入（缓解县乡财政困难综合性财力补助）</t>
  </si>
  <si>
    <t>其他一般性转移支付收入（农业转移人口市民化奖励资金）</t>
  </si>
  <si>
    <t>其他一般性转移支付收入（生态保护区财政补偿转移支付资金）</t>
  </si>
  <si>
    <t>其他税收返还收入</t>
  </si>
  <si>
    <t>体制补助收入</t>
  </si>
  <si>
    <t>调整工资转移支付补助收入</t>
  </si>
  <si>
    <t>农村税费改革补助收入</t>
  </si>
  <si>
    <t>市体制确定返还濠江不足2017-2019年3年共享收入平均数的基数</t>
  </si>
  <si>
    <t>县级基本财力保障机制奖补资金收入</t>
  </si>
  <si>
    <t>特殊转移支付资金收入</t>
  </si>
  <si>
    <t>均衡性补助收入</t>
  </si>
  <si>
    <t>调增数</t>
  </si>
  <si>
    <t>增减数</t>
  </si>
  <si>
    <t>说明：根据《广东省人民政府办公厅关于印发广东省财政一般性转移支付资金管理办法的通知》（粤府办【2014】31号）要求编制。</t>
  </si>
  <si>
    <t>附表5</t>
  </si>
  <si>
    <t>汕头市濠江区2020年政府性基金预算收入计划调整表</t>
  </si>
  <si>
    <t>比增 %</t>
  </si>
  <si>
    <t>一、非税收入</t>
  </si>
  <si>
    <t xml:space="preserve">    1、国有土地收益基金收入</t>
  </si>
  <si>
    <t xml:space="preserve">    2、农业土地开发资金收入</t>
  </si>
  <si>
    <t xml:space="preserve">    3、土地出让价款收入</t>
  </si>
  <si>
    <t xml:space="preserve">    4、其他土地出让收入</t>
  </si>
  <si>
    <t xml:space="preserve">    5、补缴的土地价款</t>
  </si>
  <si>
    <t xml:space="preserve">    6、划拨土地收入</t>
  </si>
  <si>
    <t xml:space="preserve">    7、缴纳新增建设用地土地有偿使用费</t>
  </si>
  <si>
    <t xml:space="preserve">    8、福利彩票公益金收入</t>
  </si>
  <si>
    <t xml:space="preserve">    9、城市基础设施配套费收入</t>
  </si>
  <si>
    <t>二.转移性收入</t>
  </si>
  <si>
    <t xml:space="preserve">   1.上级专项性补助收入</t>
  </si>
  <si>
    <t xml:space="preserve">   2.上年结余收入</t>
  </si>
  <si>
    <t xml:space="preserve">   3.上级债券收入</t>
  </si>
  <si>
    <t xml:space="preserve">   4.调入资金</t>
  </si>
  <si>
    <t>附表6</t>
  </si>
  <si>
    <t>汕头市濠江区2020年本级政府性基金预算收入项目调整表</t>
  </si>
  <si>
    <t>序号</t>
  </si>
  <si>
    <t>负责单位</t>
  </si>
  <si>
    <t>用地性质/项目</t>
  </si>
  <si>
    <t>用地位置</t>
  </si>
  <si>
    <t>面积（亩）</t>
  </si>
  <si>
    <t>1-8月已实现收入</t>
  </si>
  <si>
    <t>单位         建议数</t>
  </si>
  <si>
    <t>增减变动</t>
  </si>
  <si>
    <t>预算调整</t>
  </si>
  <si>
    <t>变动依据或原因</t>
  </si>
  <si>
    <t>出让方式</t>
  </si>
  <si>
    <t>新城办          土储中心</t>
  </si>
  <si>
    <t>二类住宅用地           （统征地）</t>
  </si>
  <si>
    <t>中信滨海南滨片区
02-05-03地块</t>
  </si>
  <si>
    <t>已收入（第二期收入）</t>
  </si>
  <si>
    <t>挂牌</t>
  </si>
  <si>
    <t>二类住宅用地              （非统征地）</t>
  </si>
  <si>
    <t>南滨片区
04-04-02</t>
  </si>
  <si>
    <t>二类住宅用地             （非统征地）</t>
  </si>
  <si>
    <t>南滨片区
04-04-04</t>
  </si>
  <si>
    <t>二类住宅用地              （统征地）</t>
  </si>
  <si>
    <t>南滨片区
03-01-11</t>
  </si>
  <si>
    <t>商业用地                （统征地）</t>
  </si>
  <si>
    <t>南滨片区
02-04-01</t>
  </si>
  <si>
    <t>6.3汕头冠炜有限公司成交3740万元，一次性上缴</t>
  </si>
  <si>
    <t>商业用地                   （统征地）</t>
  </si>
  <si>
    <t>南滨片区
02-04-11</t>
  </si>
  <si>
    <t>6.3汕头冠炜有限公司成交5808万元，分两次上缴</t>
  </si>
  <si>
    <t>中信项目小计</t>
  </si>
  <si>
    <t>土储中心</t>
  </si>
  <si>
    <t>住宅用地                 （正集源投资公司）</t>
  </si>
  <si>
    <t>青云山庄居住片区
B-5-06地块</t>
  </si>
  <si>
    <t>已收入（地价款7000万元，已缴竞买保证金930万元）</t>
  </si>
  <si>
    <t>青云山庄居住片区
B-5-06地块其他收入</t>
  </si>
  <si>
    <t>其他</t>
  </si>
  <si>
    <t>土储中心
招商局</t>
  </si>
  <si>
    <t>住宅用地</t>
  </si>
  <si>
    <t>濠江区茂洲A15\B04地块</t>
  </si>
  <si>
    <t>第二期收入</t>
  </si>
  <si>
    <t>商住用地</t>
  </si>
  <si>
    <t>渔港B-02地块</t>
  </si>
  <si>
    <t>第四季度预计18070</t>
  </si>
  <si>
    <t>渔港B-03地块</t>
  </si>
  <si>
    <t>挂牌起始价71100万元，一次加价720万元,合计71820万元，其中保证金35550万元</t>
  </si>
  <si>
    <t>350高铁配套圈</t>
  </si>
  <si>
    <t>青洲盐场一期</t>
  </si>
  <si>
    <t>青洲盐场</t>
  </si>
  <si>
    <t>高尔夫球场</t>
  </si>
  <si>
    <t>河浦斧头山地段</t>
  </si>
  <si>
    <t>马滘综合体</t>
  </si>
  <si>
    <t>马滘大桥东西侧</t>
  </si>
  <si>
    <t>北山湾生活配套区</t>
  </si>
  <si>
    <t>东湖</t>
  </si>
  <si>
    <t>高铁南站配套用地（战备油站）</t>
  </si>
  <si>
    <t>上头</t>
  </si>
  <si>
    <t>台商投资区B02单元（潮洲雅华、邱汉周、邱汉义）</t>
  </si>
  <si>
    <t>市台商投资区濠江片
A、B、C1、C2地块</t>
  </si>
  <si>
    <t>流拍。挂牌起始价2768万元，一次加价235万元,合计2903万元</t>
  </si>
  <si>
    <t>汕头市河浦产业转移工业园内（联兴公司）</t>
  </si>
  <si>
    <t>河浦工业片区范围内</t>
  </si>
  <si>
    <t>未挂牌。挂牌起始价5500万元，一次加价250万元,合计5750万元</t>
  </si>
  <si>
    <t>物流仓储用地</t>
  </si>
  <si>
    <t>汕头市广澳物流园
B02地块东北侧</t>
  </si>
  <si>
    <t>已成交。挂牌起始价950万元，一次加价45万元,合995万元，其中保证金200万元</t>
  </si>
  <si>
    <t>汕头市广澳物流园
B02地块西北侧</t>
  </si>
  <si>
    <t>已成交。挂牌起始价1000万元，一次加价50万元,合1050万元，其中保证金200万元</t>
  </si>
  <si>
    <t>工业用地</t>
  </si>
  <si>
    <t>汕头市广澳物流园
B02地块西南侧</t>
  </si>
  <si>
    <t>已成交。挂牌起始价3720万元，一次加价180万元,合3900万元，其中保证金750万元</t>
  </si>
  <si>
    <t>交通枢纽用地</t>
  </si>
  <si>
    <t>磊口至过溪洋片区
B-03-05地块</t>
  </si>
  <si>
    <t>已成交。挂牌起始价2500万元，一次加价50万元,合2550万元，其中保证金550万元</t>
  </si>
  <si>
    <t>供电用地</t>
  </si>
  <si>
    <t>汕头市广澳物流园
F01-01地块内</t>
  </si>
  <si>
    <t>已收入</t>
  </si>
  <si>
    <t>广澳物流园污水处理厂一期工程南侧</t>
  </si>
  <si>
    <t>招商局        南山湾办</t>
  </si>
  <si>
    <t>工矿仓储用地</t>
  </si>
  <si>
    <t>河浦中心工业区
A04-03地块</t>
  </si>
  <si>
    <t>“三旧”改造项目</t>
  </si>
  <si>
    <t>青林塔脚池</t>
  </si>
  <si>
    <t>该项目涉及完善历史用地手续，预计今年无法实现出让收入</t>
  </si>
  <si>
    <t>划留</t>
  </si>
  <si>
    <t>达西路地段</t>
  </si>
  <si>
    <t>受疫情影响，我区三旧改造年度实施计划6月份下达，申报主体需依程序确定改造主体、编制改造方案等，预计今年无法实现出让收入</t>
  </si>
  <si>
    <t>补缴</t>
  </si>
  <si>
    <t>达南路地段</t>
  </si>
  <si>
    <t>利息收入</t>
  </si>
  <si>
    <t>其他补缴土地收入</t>
  </si>
  <si>
    <t>寰宇天下花园四期一区项目</t>
  </si>
  <si>
    <t>已收入，房企兼容补缴</t>
  </si>
  <si>
    <t>广东联泰房地产有限公司</t>
  </si>
  <si>
    <t>房企兼容补缴</t>
  </si>
  <si>
    <t>其他零星项目</t>
  </si>
  <si>
    <t>其他补缴项目增加</t>
  </si>
  <si>
    <t>补缴/划拨</t>
  </si>
  <si>
    <t>上缴新增建设用地有偿使用费                          及有关资金</t>
  </si>
  <si>
    <t>土地基金区内项目小计</t>
  </si>
  <si>
    <t xml:space="preserve">                一、土地基金合计</t>
  </si>
  <si>
    <t xml:space="preserve">                二、城市基础设施配套费收入</t>
  </si>
  <si>
    <t xml:space="preserve">                三、福彩公益金收入</t>
  </si>
  <si>
    <t xml:space="preserve">              2020年度政府性基金收入合计</t>
  </si>
  <si>
    <t xml:space="preserve">          其中：本级项目收入（不含中信项目）</t>
  </si>
  <si>
    <t>附表7</t>
  </si>
  <si>
    <t>汕头市濠江区2020年政府性基金预算支出计划功能科目调整表</t>
  </si>
  <si>
    <t>科目  编码</t>
  </si>
  <si>
    <t>本级支出</t>
  </si>
  <si>
    <t>上级支出</t>
  </si>
  <si>
    <t>政策性调整</t>
  </si>
  <si>
    <t>批增</t>
  </si>
  <si>
    <t>其他调整</t>
  </si>
  <si>
    <t>同类调剂</t>
  </si>
  <si>
    <t>跨类调剂</t>
  </si>
  <si>
    <t>205</t>
  </si>
  <si>
    <t>教育</t>
  </si>
  <si>
    <t>20510</t>
  </si>
  <si>
    <t xml:space="preserve">  地方教育附加安排的支出</t>
  </si>
  <si>
    <t>2051001</t>
  </si>
  <si>
    <t xml:space="preserve">    农村中小学校舍建设</t>
  </si>
  <si>
    <t>2051099</t>
  </si>
  <si>
    <t xml:space="preserve">    其他地方教育附加安排的支出</t>
  </si>
  <si>
    <t>207</t>
  </si>
  <si>
    <t>文化体育与传媒</t>
  </si>
  <si>
    <t>20707</t>
  </si>
  <si>
    <t xml:space="preserve">  国家电影事业发展专项资金及对应专项债务收入安排的支出</t>
  </si>
  <si>
    <t>2070799</t>
  </si>
  <si>
    <t xml:space="preserve">    其他国家电影事业发展专项资金支出</t>
  </si>
  <si>
    <t>20799</t>
  </si>
  <si>
    <t xml:space="preserve">  其他文化体育与传媒支出</t>
  </si>
  <si>
    <t xml:space="preserve">    文化事业建设费支出</t>
  </si>
  <si>
    <t>208</t>
  </si>
  <si>
    <t>社会保障和就业</t>
  </si>
  <si>
    <t>20811</t>
  </si>
  <si>
    <t xml:space="preserve">  残疾人事业</t>
  </si>
  <si>
    <t xml:space="preserve">    扶持农村残疾人生产</t>
  </si>
  <si>
    <t xml:space="preserve">    其他残疾人就业保障金支出</t>
  </si>
  <si>
    <t>20860</t>
  </si>
  <si>
    <t xml:space="preserve">  残疾人就业保障金支出</t>
  </si>
  <si>
    <t xml:space="preserve">     其他残疾人就业保障金支出</t>
  </si>
  <si>
    <t>212</t>
  </si>
  <si>
    <t>城乡社区事务</t>
  </si>
  <si>
    <t>21207</t>
  </si>
  <si>
    <t xml:space="preserve">  政府住房基金支出</t>
  </si>
  <si>
    <t xml:space="preserve">    公共租赁住房租金支出</t>
  </si>
  <si>
    <t>21208</t>
  </si>
  <si>
    <t xml:space="preserve">  国有土地使用权出让收入安排的支出</t>
  </si>
  <si>
    <r>
      <rPr>
        <sz val="10"/>
        <rFont val="Times New Roman"/>
        <charset val="134"/>
      </rPr>
      <t xml:space="preserve">         </t>
    </r>
    <r>
      <rPr>
        <sz val="10"/>
        <rFont val="宋体"/>
        <charset val="134"/>
      </rPr>
      <t>征地和拆迁补偿支出</t>
    </r>
  </si>
  <si>
    <r>
      <rPr>
        <sz val="10"/>
        <rFont val="Times New Roman"/>
        <charset val="134"/>
      </rPr>
      <t xml:space="preserve">         </t>
    </r>
    <r>
      <rPr>
        <sz val="10"/>
        <rFont val="宋体"/>
        <charset val="134"/>
      </rPr>
      <t>土地开发支出</t>
    </r>
  </si>
  <si>
    <t xml:space="preserve">    城市建设支出</t>
  </si>
  <si>
    <r>
      <rPr>
        <sz val="10"/>
        <rFont val="Times New Roman"/>
        <charset val="134"/>
      </rPr>
      <t xml:space="preserve">         </t>
    </r>
    <r>
      <rPr>
        <sz val="10"/>
        <rFont val="宋体"/>
        <charset val="134"/>
      </rPr>
      <t>农村基础设施建设支出</t>
    </r>
  </si>
  <si>
    <t xml:space="preserve">    补助被征地农民支出</t>
  </si>
  <si>
    <r>
      <rPr>
        <sz val="10"/>
        <rFont val="Times New Roman"/>
        <charset val="134"/>
      </rPr>
      <t xml:space="preserve">         </t>
    </r>
    <r>
      <rPr>
        <sz val="10"/>
        <rFont val="宋体"/>
        <charset val="134"/>
      </rPr>
      <t>土地出让业务支出</t>
    </r>
  </si>
  <si>
    <r>
      <rPr>
        <sz val="10"/>
        <rFont val="Times New Roman"/>
        <charset val="134"/>
      </rPr>
      <t xml:space="preserve">          </t>
    </r>
    <r>
      <rPr>
        <sz val="10"/>
        <rFont val="宋体"/>
        <charset val="134"/>
      </rPr>
      <t>廉租住房支出</t>
    </r>
  </si>
  <si>
    <t xml:space="preserve">    教育资金安排的支出</t>
  </si>
  <si>
    <t>2120809</t>
  </si>
  <si>
    <t xml:space="preserve">    支付破产或改制企业职工安置费</t>
  </si>
  <si>
    <t xml:space="preserve">    公共租赁住房支出</t>
  </si>
  <si>
    <t xml:space="preserve">    农田水利建设资金安排的支出</t>
  </si>
  <si>
    <t xml:space="preserve">    其他国有土地使用权出让收入安排的支出</t>
  </si>
  <si>
    <t>21209</t>
  </si>
  <si>
    <t xml:space="preserve">  城市公用事业附加安排的支出</t>
  </si>
  <si>
    <t>2120901</t>
  </si>
  <si>
    <t xml:space="preserve">    城市公共设施</t>
  </si>
  <si>
    <t>2120902</t>
  </si>
  <si>
    <t xml:space="preserve">    城市环境卫生（城市公用事业附加安排的支出）</t>
  </si>
  <si>
    <t xml:space="preserve">    其他城市公用事业附加安排的支出</t>
  </si>
  <si>
    <t>21210</t>
  </si>
  <si>
    <t xml:space="preserve">  国有土地收益基金支出</t>
  </si>
  <si>
    <t xml:space="preserve">    征地和拆迁补偿支出</t>
  </si>
  <si>
    <t xml:space="preserve">    土地开发支出</t>
  </si>
  <si>
    <t xml:space="preserve">    其他国有土地收益基金支出</t>
  </si>
  <si>
    <t>21211</t>
  </si>
  <si>
    <t xml:space="preserve">  农业土地开发资金支出</t>
  </si>
  <si>
    <t>21212</t>
  </si>
  <si>
    <t xml:space="preserve">  新增建设用地土地有偿使用费安排的支出</t>
  </si>
  <si>
    <t xml:space="preserve">    基本农田建设和保护支出</t>
  </si>
  <si>
    <t xml:space="preserve">    土地整理支出</t>
  </si>
  <si>
    <t>21213</t>
  </si>
  <si>
    <t xml:space="preserve">  城市基础设施配套费安排的支出</t>
  </si>
  <si>
    <t>2121301</t>
  </si>
  <si>
    <t>2121302</t>
  </si>
  <si>
    <t xml:space="preserve">    城市环境卫生</t>
  </si>
  <si>
    <t xml:space="preserve">    其他城市基础设施配套费安排的支出</t>
  </si>
  <si>
    <t>213</t>
  </si>
  <si>
    <t>农林水事务</t>
  </si>
  <si>
    <t>21362</t>
  </si>
  <si>
    <t xml:space="preserve">  森林植被恢复费安排的支出</t>
  </si>
  <si>
    <t xml:space="preserve">    森林培育</t>
  </si>
  <si>
    <t xml:space="preserve">    其他森林植被恢复费安排的支出</t>
  </si>
  <si>
    <t>21364</t>
  </si>
  <si>
    <t xml:space="preserve">  地方水利建设基金支出</t>
  </si>
  <si>
    <t xml:space="preserve">    其他地方水利建设基金支出</t>
  </si>
  <si>
    <t>21370</t>
  </si>
  <si>
    <t xml:space="preserve">  水土保持补偿费安排的支出</t>
  </si>
  <si>
    <t>2137003</t>
  </si>
  <si>
    <t xml:space="preserve">    其他水土保持补偿费安排的支出</t>
  </si>
  <si>
    <t>21399</t>
  </si>
  <si>
    <t>2139999</t>
  </si>
  <si>
    <t>214</t>
  </si>
  <si>
    <t>交通运输</t>
  </si>
  <si>
    <t>21401</t>
  </si>
  <si>
    <t xml:space="preserve">  公路水路运输</t>
  </si>
  <si>
    <t xml:space="preserve">    船舶港务费安排的支出</t>
  </si>
  <si>
    <t>21462</t>
  </si>
  <si>
    <t xml:space="preserve">  车辆通行费安排支出</t>
  </si>
  <si>
    <t>2146299</t>
  </si>
  <si>
    <t xml:space="preserve">    其他车辆通行费安排的支出</t>
  </si>
  <si>
    <t>215</t>
  </si>
  <si>
    <t>资源勘探信息等支出</t>
  </si>
  <si>
    <t>21560</t>
  </si>
  <si>
    <t xml:space="preserve">  散装水泥专项资金及对应专项债务收入安排的支出</t>
  </si>
  <si>
    <t>2156099</t>
  </si>
  <si>
    <t xml:space="preserve">    散装水泥专项资金安排的支出</t>
  </si>
  <si>
    <t>21561</t>
  </si>
  <si>
    <t xml:space="preserve">  新型墙体材料专项基金及对应专项债务收入安排的支出</t>
  </si>
  <si>
    <t>2156199</t>
  </si>
  <si>
    <t xml:space="preserve">    新型墙体材料专项基金安排的支出</t>
  </si>
  <si>
    <t>216</t>
  </si>
  <si>
    <t>21660</t>
  </si>
  <si>
    <t xml:space="preserve">  旅游发展基金支出</t>
  </si>
  <si>
    <t>2166004</t>
  </si>
  <si>
    <t xml:space="preserve">    地方旅游开发项目补助</t>
  </si>
  <si>
    <t>229</t>
  </si>
  <si>
    <t>22904</t>
  </si>
  <si>
    <t xml:space="preserve"> 其他政府性基金及对应专项收入安排的支出</t>
  </si>
  <si>
    <t>2290402</t>
  </si>
  <si>
    <t xml:space="preserve">   其他地方自行试点项目收益专项债券收入安排的支出</t>
  </si>
  <si>
    <t>22960</t>
  </si>
  <si>
    <r>
      <rPr>
        <sz val="10"/>
        <rFont val="Times New Roman"/>
        <charset val="134"/>
      </rPr>
      <t xml:space="preserve">     </t>
    </r>
    <r>
      <rPr>
        <sz val="10"/>
        <rFont val="宋体"/>
        <charset val="134"/>
      </rPr>
      <t>彩票公益金安排的支出</t>
    </r>
  </si>
  <si>
    <t>2296001</t>
  </si>
  <si>
    <r>
      <rPr>
        <sz val="10"/>
        <rFont val="Times New Roman"/>
        <charset val="134"/>
      </rPr>
      <t xml:space="preserve">         </t>
    </r>
    <r>
      <rPr>
        <sz val="10"/>
        <rFont val="宋体"/>
        <charset val="134"/>
      </rPr>
      <t>用于补充全国社会保障基金的彩票公益金支出</t>
    </r>
  </si>
  <si>
    <t>2296002</t>
  </si>
  <si>
    <t xml:space="preserve">        用于社会福利的彩票公益金支出</t>
  </si>
  <si>
    <t>2296003</t>
  </si>
  <si>
    <t xml:space="preserve">        用于体育事业的彩票公益金支出</t>
  </si>
  <si>
    <t>2296004</t>
  </si>
  <si>
    <t xml:space="preserve">        用于教育事业的彩票公益金支出</t>
  </si>
  <si>
    <t>2296006</t>
  </si>
  <si>
    <t xml:space="preserve">        用于残疾人事务的彩票公益金支出</t>
  </si>
  <si>
    <t>2296007</t>
  </si>
  <si>
    <t xml:space="preserve">        用于城市医疗救助的彩票公益金支出 </t>
  </si>
  <si>
    <t>2296008</t>
  </si>
  <si>
    <t xml:space="preserve">        用于农村医疗救助的彩票公益金支出 </t>
  </si>
  <si>
    <t>2296010</t>
  </si>
  <si>
    <t xml:space="preserve">        用于文化事业的彩票公益金支出 </t>
  </si>
  <si>
    <t>2296013</t>
  </si>
  <si>
    <t xml:space="preserve">        用于城乡医疗救助的彩票公益金支出 </t>
  </si>
  <si>
    <t>2296099</t>
  </si>
  <si>
    <t xml:space="preserve">        用于其他社会公益事业的彩票公益金支出</t>
  </si>
  <si>
    <t>230</t>
  </si>
  <si>
    <t>23004</t>
  </si>
  <si>
    <t xml:space="preserve">  政府性基金转移支付</t>
  </si>
  <si>
    <r>
      <rPr>
        <sz val="10"/>
        <rFont val="宋体"/>
        <charset val="134"/>
      </rPr>
      <t xml:space="preserve"> </t>
    </r>
    <r>
      <rPr>
        <sz val="10"/>
        <rFont val="宋体"/>
        <charset val="134"/>
      </rPr>
      <t xml:space="preserve">   </t>
    </r>
    <r>
      <rPr>
        <sz val="10"/>
        <rFont val="宋体"/>
        <charset val="134"/>
      </rPr>
      <t>政府性基金补助支出</t>
    </r>
  </si>
  <si>
    <t>23008</t>
  </si>
  <si>
    <t xml:space="preserve">  调出资金</t>
  </si>
  <si>
    <t>23009</t>
  </si>
  <si>
    <t xml:space="preserve">  年终结余</t>
  </si>
  <si>
    <t>231</t>
  </si>
  <si>
    <t>23204</t>
  </si>
  <si>
    <t xml:space="preserve">  地方政府专项债务付息支出</t>
  </si>
  <si>
    <t>2320411</t>
  </si>
  <si>
    <t xml:space="preserve">    国有土地使用权出让金债务付息支出</t>
  </si>
  <si>
    <t>2320431</t>
  </si>
  <si>
    <t xml:space="preserve">    土地储备专项债券付息支出</t>
  </si>
  <si>
    <t>2320498</t>
  </si>
  <si>
    <t xml:space="preserve">    其他地方自行试点项目收益专项债券付息支出</t>
  </si>
  <si>
    <t>233</t>
  </si>
  <si>
    <t>23304</t>
  </si>
  <si>
    <t xml:space="preserve">  地方政府专项债务发行费用支出</t>
  </si>
  <si>
    <t>2330411</t>
  </si>
  <si>
    <t xml:space="preserve">    国有土地使用权出让金债务发行费用支出</t>
  </si>
  <si>
    <t>2330431</t>
  </si>
  <si>
    <t xml:space="preserve">    土地储备专项债券发行费用支出</t>
  </si>
  <si>
    <t>2330498</t>
  </si>
  <si>
    <t xml:space="preserve">    其他地方自行试点项目收益专项债券发行费用支出</t>
  </si>
  <si>
    <t>234</t>
  </si>
  <si>
    <t>抗疫特别国债安排的支出</t>
  </si>
  <si>
    <t>23401</t>
  </si>
  <si>
    <t>基础设施建设</t>
  </si>
  <si>
    <t>2340101</t>
  </si>
  <si>
    <t>公共卫生体系建设</t>
  </si>
  <si>
    <t>2340199</t>
  </si>
  <si>
    <t>其他基础设施建设</t>
  </si>
  <si>
    <t>基金预算支出合计</t>
  </si>
  <si>
    <t>附表8</t>
  </si>
  <si>
    <t>汕头市濠江区2020年本级政府性基金预算支出项目调整表</t>
  </si>
  <si>
    <t/>
  </si>
  <si>
    <t>归口股室名称</t>
  </si>
  <si>
    <t>预算单位名称</t>
  </si>
  <si>
    <t>项目名称</t>
  </si>
  <si>
    <t>年初单位上报数</t>
  </si>
  <si>
    <t xml:space="preserve">单位上报预算调整情况                     </t>
  </si>
  <si>
    <t>截止8月底下达数</t>
  </si>
  <si>
    <t>调整原因及文件依据</t>
  </si>
  <si>
    <t>项目分类</t>
  </si>
  <si>
    <t>资金来源</t>
  </si>
  <si>
    <t>功能科目</t>
  </si>
  <si>
    <t>调整变动（2）            （调增以正数填列，          调减以负数填列）</t>
  </si>
  <si>
    <t>单位上报          调整预算数       （1）+（2）</t>
  </si>
  <si>
    <t>综合股
（土地基金）</t>
  </si>
  <si>
    <t>区土地储备中心</t>
  </si>
  <si>
    <t>中信南滨片区统征地项目土地开发专项费用</t>
  </si>
  <si>
    <t>其中19年欠拨22301万元</t>
  </si>
  <si>
    <t>中信新城</t>
  </si>
  <si>
    <t>土地基金</t>
  </si>
  <si>
    <t>中信南滨片区统征地项目土地开发专项资金</t>
  </si>
  <si>
    <t>2120802、2121002</t>
  </si>
  <si>
    <t>高铁南站配套用地</t>
  </si>
  <si>
    <t>面积约72.31亩。总费用3018万元，其中：土地补偿13万元/亩940万元；青苗附着物、排洪沟改造补助1121万元；包干奖励1.8万元/亩131万元；社保8万元/亩578万元，耕地占用税238万元，执法处罚补助10万元。19年已拨500万元</t>
  </si>
  <si>
    <t>征地收储</t>
  </si>
  <si>
    <t>2120801、2120802、2120805</t>
  </si>
  <si>
    <t>高铁南站配套用地平整项目</t>
  </si>
  <si>
    <t>面积约72.31亩，按每亩8万计（包围护）</t>
  </si>
  <si>
    <t>马滘综合体征地项目（除PPP项目资金）</t>
  </si>
  <si>
    <t>面积约10亩，所需资金暂按65万/亩计算</t>
  </si>
  <si>
    <t>河浦医院二期征地项目</t>
  </si>
  <si>
    <t>土地移交后，需支付补偿协议10%，90.4106万元，清障奖励金102.8684万元；玉新街道协调费9.8445万元，滨海街道协调费5.9814万元；玉新街道清障奖励金14.7668万元，滨海街道清障奖励金8.9721万元</t>
  </si>
  <si>
    <t>河浦中心区交通设施用地（河浦客运站）收储项目</t>
  </si>
  <si>
    <t>一次性补偿款10% 2.0856万元，街道协调费1.433万元，河南社区清障奖励7.43145万元</t>
  </si>
  <si>
    <t>河浦粮库用地平整项目</t>
  </si>
  <si>
    <t>仍需平整工程相关费用共57.163564 
万元，其中：监理费70% 1.25664万元；剩余90%进度款54.732846万元；文明措施费50% 1.174078万元</t>
  </si>
  <si>
    <t>滨海工业区征地项目</t>
  </si>
  <si>
    <t>土地移交后，需支付补偿协议10%，21.8062万元，街道、企投协调费10.0847万元，社保调增预计20万元。</t>
  </si>
  <si>
    <t>土地移交后，需支付补偿协议10%，21.8062万元，街道、企投协调费10.0847万元</t>
  </si>
  <si>
    <t>巨峰景区入口前区A07-A08、A15-A16地块</t>
  </si>
  <si>
    <t>街道协调费13.58835万元；耕地占用税222.655万元</t>
  </si>
  <si>
    <t>汕濠办文[2020]Z2-0870号。面积约100亩。参照同片区标准，按50万元/亩暂计。19年已拨370万元</t>
  </si>
  <si>
    <t>面积约100亩。参照同片区标准，按50万元/亩暂计。19年已拨370万元</t>
  </si>
  <si>
    <t>青洲盐场一期二步</t>
  </si>
  <si>
    <t>面积983.14亩，收购价款8868.1125万元，已下达6600万元，需调增2268.1125万元</t>
  </si>
  <si>
    <t>青洲盐场二期</t>
  </si>
  <si>
    <t>面积1738.78亩，收购费用（按区政府办文件处理表《关于青洲盐场土地收储工作有关问题的签报意见》（汕濠办文[2019]Z3-1390号）精神，不需土地收购费用，清障奖励695.512万元</t>
  </si>
  <si>
    <t>面积1738.78亩，收购费用（按区政府办文件处理表《关于青洲盐场土地收储工作有关问题的签报意见》（汕濠办文[2019]Z3-1390号））精神，不需土地收购费用，已支付青苗地上附着物补偿包干费82.7446万元，尚需按每亩0.2万元计付清障奖励348万元</t>
  </si>
  <si>
    <t>青洲盐场一、二期项目</t>
  </si>
  <si>
    <t>耕地占用税</t>
  </si>
  <si>
    <t>马滘工业园区生活配套区基础设施工程项目（二期平整）</t>
  </si>
  <si>
    <t>按财政预算审核定案书建安费用5543.22万元，其它425.11万元，预备费358.10万元；按2020年工程剩余工程量计算</t>
  </si>
  <si>
    <t>茂州片区A-04-02与玉新街道北片区A-7-02土地整理开发工程</t>
  </si>
  <si>
    <t>按项目预算审核定案内容</t>
  </si>
  <si>
    <t>350高铁汕头南站配套用地项目</t>
  </si>
  <si>
    <t>1、征地：征地费用约36695万元。其中①征地补偿、青苗及附着物、奖励金、协调费29万元/亩，计25293.8万元；②失地农民养老保障金约2.5万元/亩，计2180.5万元；③新增建设用地有偿使用费3.7333万元/亩，计3000万元；④耕地占用税3.3333万元/亩，计2800万元；⑤留用地划留资金9万/亩,计1177万元;⑥森林植被费500万元；⑦测量、评估、围护等费用2万/亩，计1744万元。 
2、平整：6977.532万元，按每亩8万计，总面积872.1915亩。</t>
  </si>
  <si>
    <r>
      <rPr>
        <sz val="10"/>
        <rFont val="宋体"/>
        <charset val="134"/>
        <scheme val="minor"/>
      </rPr>
      <t>面积约872.2亩，征地</t>
    </r>
    <r>
      <rPr>
        <sz val="10"/>
        <rFont val="宋体"/>
        <charset val="134"/>
      </rPr>
      <t>1.43亿元；平整约0.53亿元，</t>
    </r>
    <r>
      <rPr>
        <sz val="10"/>
        <rFont val="宋体"/>
        <charset val="134"/>
      </rPr>
      <t>按每亩7万计（包围护）。视土储人力、项目进展情况及区财力而定</t>
    </r>
  </si>
  <si>
    <t>2120801、2120805</t>
  </si>
  <si>
    <t>青洲盐场一、二期平整项目</t>
  </si>
  <si>
    <t>先平整拟出让300亩。面积约2721.92亩，按每亩8万计（不含道路）。视土储人力、项目进展情况及区财力而定</t>
  </si>
  <si>
    <t>河浦医院二期平整项目</t>
  </si>
  <si>
    <t>已完结</t>
  </si>
  <si>
    <t>马滘工业园区生活配套区基础设施工程项目二期横一路征收项目</t>
  </si>
  <si>
    <t>根据11月4日郭区主持会议，拟征收海星社区集体用地5.3亩，需支付补充协议10%约12.584万，征地预存款69万，奖励金8.84万；社保148.4万。已拨付110万元</t>
  </si>
  <si>
    <t>19年已拨110万元</t>
  </si>
  <si>
    <t>巨峰旅游区（A15-A16地块）收购项目</t>
  </si>
  <si>
    <t>面积约18亩，收购款需1854.0834万元。已拨付50万元</t>
  </si>
  <si>
    <t>面积约18亩</t>
  </si>
  <si>
    <t>达濠渔港一期平整项目</t>
  </si>
  <si>
    <t>区政府工作会议纪要（2020年第2期）；汕濠发改投[2020]20号。根据《关于汕头市濠江区渔港经济区B-02、B-03土地整理开发工程项目列入2020年固定资产投资计划的通知》（汕濠发改投[2020]20号），项目总投资5916.48万元（其中建安费4848.13万元）</t>
  </si>
  <si>
    <t>区工业和信息化局</t>
  </si>
  <si>
    <t>青洲盐场土地收储工作协调经费</t>
  </si>
  <si>
    <t>按照区政府常务会议纪要，按0.2万元/亩拨给经信局作为收储工作协调经费，其中首期197万元还剩资金97万元，二期1906.22亩，拟先申请103万元。合计200万元</t>
  </si>
  <si>
    <t>区供销社</t>
  </si>
  <si>
    <t>濠江区肉食品安全生产基地平整费</t>
  </si>
  <si>
    <t>区住房和城乡建设局</t>
  </si>
  <si>
    <t>磊广路征地款</t>
  </si>
  <si>
    <t>南山湾办</t>
  </si>
  <si>
    <t>河浦街道河南社区尖山洋段用地征地补偿款</t>
  </si>
  <si>
    <r>
      <rPr>
        <sz val="10"/>
        <rFont val="宋体"/>
        <charset val="134"/>
      </rPr>
      <t>汕濠办文【</t>
    </r>
    <r>
      <rPr>
        <sz val="10"/>
        <rFont val="宋体"/>
        <charset val="134"/>
      </rPr>
      <t>2019】Z3-2390号</t>
    </r>
  </si>
  <si>
    <r>
      <rPr>
        <sz val="10"/>
        <rFont val="宋体"/>
        <charset val="134"/>
        <scheme val="minor"/>
      </rPr>
      <t>汕濠办文【</t>
    </r>
    <r>
      <rPr>
        <sz val="10"/>
        <rFont val="宋体"/>
        <charset val="134"/>
      </rPr>
      <t>2019】Z3-2390号</t>
    </r>
  </si>
  <si>
    <t>园区建设用地土地征收实施方案耕地开垦费</t>
  </si>
  <si>
    <t>已完结。汕濠办文【2019】Z3-2804号</t>
  </si>
  <si>
    <r>
      <rPr>
        <sz val="10"/>
        <rFont val="宋体"/>
        <charset val="134"/>
        <scheme val="minor"/>
      </rPr>
      <t>汕濠办文【</t>
    </r>
    <r>
      <rPr>
        <sz val="10"/>
        <rFont val="宋体"/>
        <charset val="134"/>
      </rPr>
      <t>2019】Z3-2804号</t>
    </r>
  </si>
  <si>
    <t>区自然资源局</t>
  </si>
  <si>
    <t>停车楼二期征地成本费用</t>
  </si>
  <si>
    <t>增加风险评估报告编制预算费</t>
  </si>
  <si>
    <t>收回河浦街道一工区18.366亩存量工业用地的国有建设用地使用权费用</t>
  </si>
  <si>
    <t>原达濠区东湖片区30亩闲置土地历史征地成本</t>
  </si>
  <si>
    <t>礐石街道办事处</t>
  </si>
  <si>
    <t>礐石大桥南岸片区及南滨基础设施改造</t>
  </si>
  <si>
    <t>年初预算1000万元改为新增债券安排支出，单位要求调增项目工作经费550万元</t>
  </si>
  <si>
    <t>三联工业区历史征地款及利息</t>
  </si>
  <si>
    <t>汕濠办文【2020】Z2-0064号</t>
  </si>
  <si>
    <t>区农业农村和水务局</t>
  </si>
  <si>
    <t>渔港经济区综合运营项目</t>
  </si>
  <si>
    <t>汕濠办文【2020】Z3-0458号从南山湾产业园（一期）及连接主干道工程项目贷款中调剂</t>
  </si>
  <si>
    <t>河渡海岸边违建整改拆除专项行动经费</t>
  </si>
  <si>
    <t>汕濠办文【2020】Z2-0060号从预留调剂</t>
  </si>
  <si>
    <t>区教育局</t>
  </si>
  <si>
    <t>征地应缴耕地开垦费</t>
  </si>
  <si>
    <t>汕濠办文【2020】Z3-0391号从预留调剂</t>
  </si>
  <si>
    <t>预交水田储备指标收入</t>
  </si>
  <si>
    <t>汕濠办文【2020】Z3-0582号从预留调剂</t>
  </si>
  <si>
    <t>汕濠办文【2020】Z3-0832号已预拨1000万，余额纳入预算调整或以后年度预算</t>
  </si>
  <si>
    <t>礐石街道茂南经联社大头埔地段约4.5075亩集体用地</t>
  </si>
  <si>
    <t>汕濠办文【2020】Z2-0780号已预拨</t>
  </si>
  <si>
    <t>濠江区2013年第四批次征收用地</t>
  </si>
  <si>
    <t>汕濠办文【2020】Z2-0726号已预拨</t>
  </si>
  <si>
    <t>礐石派出所项目用地</t>
  </si>
  <si>
    <t>汕濠办文【2020】Z2-0871号已预拨</t>
  </si>
  <si>
    <t>征地应缴耕地占用税</t>
  </si>
  <si>
    <t>汕濠办文【2020】Z3-0928号已预拨</t>
  </si>
  <si>
    <t>广澳物流园E01地块</t>
  </si>
  <si>
    <t>清障工作奖励金5万元、围护及平整工程24.61万元</t>
  </si>
  <si>
    <t>2120801、2120802</t>
  </si>
  <si>
    <t>达濠客运站平整项目</t>
  </si>
  <si>
    <t>区政府工作会议纪要（2020年第2期）；汕濠发改预[2020]22号</t>
  </si>
  <si>
    <t>区发改局</t>
  </si>
  <si>
    <t>河浦粮所土地确权地价款</t>
  </si>
  <si>
    <r>
      <rPr>
        <sz val="10"/>
        <rFont val="宋体"/>
        <charset val="134"/>
        <scheme val="minor"/>
      </rPr>
      <t>汕濠办文【2020】Z3</t>
    </r>
    <r>
      <rPr>
        <sz val="10"/>
        <rFont val="宋体"/>
        <charset val="134"/>
      </rPr>
      <t>-0</t>
    </r>
    <r>
      <rPr>
        <sz val="10"/>
        <rFont val="宋体"/>
        <charset val="134"/>
      </rPr>
      <t>858</t>
    </r>
    <r>
      <rPr>
        <sz val="10"/>
        <rFont val="宋体"/>
        <charset val="134"/>
      </rPr>
      <t>号</t>
    </r>
    <r>
      <rPr>
        <sz val="10"/>
        <rFont val="宋体"/>
        <charset val="134"/>
      </rPr>
      <t>纳入预算调整或以后年度预算</t>
    </r>
  </si>
  <si>
    <t>区房管所</t>
  </si>
  <si>
    <t>保障性住房储备用地用地款</t>
  </si>
  <si>
    <t>茂洲片区新型城镇化综合开发PPP项目征地</t>
  </si>
  <si>
    <t>濠江区虎头山隧道及南延工程耕地占用税</t>
  </si>
  <si>
    <t>汕濠办文【2020】Z3-0929号（已暂付）</t>
  </si>
  <si>
    <t>濠江区虎头山隧道及南延工程清障补偿费用</t>
  </si>
  <si>
    <t>汕濠办文【2020】Z3-1006号（已暂付）</t>
  </si>
  <si>
    <t>濠江区虎头山隧道及南延工程项目购买水田储备指标</t>
  </si>
  <si>
    <t>文件处理表汕濠办文【2020】Z2-1195号、汕濠自然资函【2019】148号</t>
  </si>
  <si>
    <t>区人社局</t>
  </si>
  <si>
    <t>被征地农民养老保障金</t>
  </si>
  <si>
    <t>征地收储小计</t>
  </si>
  <si>
    <t>汕头市台商投资区（濠江片）道路及市政配套工程</t>
  </si>
  <si>
    <r>
      <rPr>
        <sz val="10"/>
        <rFont val="宋体"/>
        <charset val="134"/>
        <scheme val="minor"/>
      </rPr>
      <t>汕濠审函【</t>
    </r>
    <r>
      <rPr>
        <sz val="10"/>
        <rFont val="宋体"/>
        <charset val="134"/>
      </rPr>
      <t>2019】15号、汕濠办文【2019】Z2-1499-7号</t>
    </r>
  </si>
  <si>
    <t>园区投入</t>
  </si>
  <si>
    <t>台商投资区台纵二路、台横三路土建及配套工程</t>
  </si>
  <si>
    <t>汕濠办文【2019】Z2-0750号</t>
  </si>
  <si>
    <t>偿还南山湾产业园（一期）及连接主干道工程项目贷款</t>
  </si>
  <si>
    <t>根据汕濠办文[2020]Z3-0458号，调剂9000万给渔港经济区综合运营项目，根据汕濠办文[2020]Z3-1077号，调减3420万。</t>
  </si>
  <si>
    <t>2020年6月7日应付5000万，6月8日应付3亿元</t>
  </si>
  <si>
    <t>南山湾产业园（一期）及连接主干道工程项目2020年第一、二季度贷款利息</t>
  </si>
  <si>
    <t>河浦大道改造工程、安海路一期工程缴纳城市基础设施配套费</t>
  </si>
  <si>
    <t>汕濠办文[2020]Z2-1072号</t>
  </si>
  <si>
    <t>南山湾产业园（一期）及连接主干道工程项目及人行天桥工程进度欠款</t>
  </si>
  <si>
    <t>合同</t>
  </si>
  <si>
    <t>达南路西侧南山湾产业公园配套工程项目</t>
  </si>
  <si>
    <t>汕濠办文[2019]Z2-2849号、汕濠发改投[2020]5号、汕濠办文[2020]Z2-0667号</t>
  </si>
  <si>
    <t>疏港大道10kv澳柏线电力通道</t>
  </si>
  <si>
    <t>澳旺路、同盛路、三寮路道路建设</t>
  </si>
  <si>
    <t>滨海工业区道路建设项目</t>
  </si>
  <si>
    <t>滨海工业区电力通道</t>
  </si>
  <si>
    <t>广澳物流园电力通道</t>
  </si>
  <si>
    <t>滨海工业区经二路</t>
  </si>
  <si>
    <t>园区投入小计</t>
  </si>
  <si>
    <t>广澳街道办事处</t>
  </si>
  <si>
    <t>开放公园建设</t>
  </si>
  <si>
    <t>建设3592.824311万元、清障1200万元（汕濠府办财函【2019】60号）</t>
  </si>
  <si>
    <t>基建</t>
  </si>
  <si>
    <t>2120801、2120803</t>
  </si>
  <si>
    <t>礐石片区山体亮化二期工程</t>
  </si>
  <si>
    <t>区残疾人联合会</t>
  </si>
  <si>
    <t>残疾人康复中心建设资金</t>
  </si>
  <si>
    <t>根据工程结算送审价预测。年初预算用配套费安排，改为用土地基金安排</t>
  </si>
  <si>
    <t>项目待送结算审核，合同工程款1048万，已拨830万，剩余218万</t>
  </si>
  <si>
    <t>疏港大道、安海路、河中路人行道及港湾式公交站周边标识线</t>
  </si>
  <si>
    <r>
      <rPr>
        <sz val="10"/>
        <rFont val="宋体"/>
        <charset val="134"/>
        <scheme val="minor"/>
      </rPr>
      <t>汕濠办文[2019]Z2-2</t>
    </r>
    <r>
      <rPr>
        <sz val="10"/>
        <rFont val="宋体"/>
        <charset val="134"/>
      </rPr>
      <t>172</t>
    </r>
    <r>
      <rPr>
        <sz val="10"/>
        <rFont val="宋体"/>
        <charset val="134"/>
      </rPr>
      <t>号</t>
    </r>
  </si>
  <si>
    <t>汕濠办文【2019】Z2-2172号，2019年拟在创文经费中支出，因手续未完善，未支出</t>
  </si>
  <si>
    <t>濠江区磊广路（华侨中学处）人行天桥国防光缆加固维护迁改经费</t>
  </si>
  <si>
    <t>协议委托城市光缆建设管理服务中心，139.9万，南山湾已用园区建设资金付83.94万，60%</t>
  </si>
  <si>
    <t>濠江区磊广路珠浦人行天桥国防光缆加护维护迁改工程费用</t>
  </si>
  <si>
    <t>概算审查工作经费</t>
  </si>
  <si>
    <t>《汕头经济特区政府投资项目管理条例》</t>
  </si>
  <si>
    <t>应急救灾物资储备仓库修缮经费</t>
  </si>
  <si>
    <t>项目已完成，余额调减</t>
  </si>
  <si>
    <t>汕濠办文【2019】Z3-2467-5号，在2019年区财政预算计划编列于区财政局的预留各项经费中列支</t>
  </si>
  <si>
    <t>区图书馆搬迁修缮工程包干经费</t>
  </si>
  <si>
    <t>汕濠办文【2020】Z3-0864号</t>
  </si>
  <si>
    <t>综合文化中心建设工程项目质量保证金</t>
  </si>
  <si>
    <t>至2020年8月已满保修期两年</t>
  </si>
  <si>
    <t>工程总造价2.5%</t>
  </si>
  <si>
    <t>区文化广电旅游体育局</t>
  </si>
  <si>
    <t>濠江区博物馆装装饰装修工程</t>
  </si>
  <si>
    <t>汕濠府办财函【2019】83号（所需资金497.037571万元）</t>
  </si>
  <si>
    <t>区综合文化活动中心建设项目夹胶钢化玻璃屋面及新建冲孔板外墙装饰面工程资金</t>
  </si>
  <si>
    <t>汕濠府办财函【2019】45号</t>
  </si>
  <si>
    <t>区人民政府办公室</t>
  </si>
  <si>
    <t>区政府大院各办公楼及附属楼零星修缮项目</t>
  </si>
  <si>
    <t>达濠国家一级渔港建设项目</t>
  </si>
  <si>
    <t>陆域工程</t>
  </si>
  <si>
    <t>双泉公园改造（一期）及体育馆建设项目</t>
  </si>
  <si>
    <t>已竣工验收，拨付至合同价85%，正在办理结算审核，结算定案后一个月内需付至结算价95%</t>
  </si>
  <si>
    <t>汕头市濠江区2019年“四好农村路”建设工程项目</t>
  </si>
  <si>
    <t>《汕头市濠江区2019年“四好农村路”建设工程项目初步设计概算》、汕头市交通运输局关于汕头市濠江区西濠线等15个“四好农村路”建设工程初步设计的批复</t>
  </si>
  <si>
    <t>广达大道、达南路、安海路、河浦大道、南滨西段等公交站亭和站牌配套建设</t>
  </si>
  <si>
    <t>汕头市濠江区濠洲路（县道X053）天公岭路段改造扩建工程</t>
  </si>
  <si>
    <t>文件处理表汕濠办文[2020]Z3-0995号《关于要求理顺濠洲路（县道X053）天公岭路段改扩建工程建设资金的请示》</t>
  </si>
  <si>
    <t>2020年一般债券申报1亿</t>
  </si>
  <si>
    <t>沿江北（河中路-磊口）污水管网</t>
  </si>
  <si>
    <t>2020年一般债券申报2亿</t>
  </si>
  <si>
    <t>冠炜冷链物流生态圈产业园区间道路配套建设</t>
  </si>
  <si>
    <t>汕濠财函【2019】549号</t>
  </si>
  <si>
    <t>购买抽检区内房屋市政工程在建项目建材质量检测服务经费</t>
  </si>
  <si>
    <t>区代建中心、运营中心办公场所修缮改造项目</t>
  </si>
  <si>
    <t>汕濠办文【2019】Z3-2802-3号</t>
  </si>
  <si>
    <t>建设项目印花税</t>
  </si>
  <si>
    <t>广达大道港口段改道</t>
  </si>
  <si>
    <t>并入汕头市濠江区亚青会基础设施及场馆改造项目（广达大道改造工程）</t>
  </si>
  <si>
    <t>珠浦医院</t>
  </si>
  <si>
    <t>珠浦医院预防接种门诊标准化改造和污水处理系统建设包干经费</t>
  </si>
  <si>
    <t>汕濠办文【2020】Z3-1209号</t>
  </si>
  <si>
    <t>区人民医院</t>
  </si>
  <si>
    <t>新住院楼配电扩容工程增项</t>
  </si>
  <si>
    <t>2019年收回40.66万元，预算审核金额247.39万元。</t>
  </si>
  <si>
    <t>达濠街道办事处</t>
  </si>
  <si>
    <t>汕头市濠江区沿江路改造升级工程</t>
  </si>
  <si>
    <t>已支付工程预付款106万，申请11.76万元前期费用尚未下达，工程已完成预算审核，年底前支付完毕</t>
  </si>
  <si>
    <t>汕濠办文【2019】Z3-2270号，由区财政统筹安排。2020年一般债券申报1000万元</t>
  </si>
  <si>
    <t>会汀港排洪渠污水整治及生态修复工程</t>
  </si>
  <si>
    <t>工程预算审核中，年底前完成支付</t>
  </si>
  <si>
    <t>暂慢</t>
  </si>
  <si>
    <t>汕头市英国领事署旧址修缮工程</t>
  </si>
  <si>
    <t>区委政法委员会</t>
  </si>
  <si>
    <t>政法信息网工程建设经费</t>
  </si>
  <si>
    <t>濠江区残疾人联合会办公用房修缮项目</t>
  </si>
  <si>
    <t>汕濠办文【2019】Z3-2802-5（1）号</t>
  </si>
  <si>
    <t>区卫生健康局</t>
  </si>
  <si>
    <t>濠江区妇幼保健院门诊部建设项目</t>
  </si>
  <si>
    <t>区卫生健康局办公场地改建经费</t>
  </si>
  <si>
    <t>汕濠办文【2019】Z3-2802-4（1）号</t>
  </si>
  <si>
    <t>区应急管理局</t>
  </si>
  <si>
    <t>区应急管理局办公场地维修改造经费</t>
  </si>
  <si>
    <t>汕濠办文【2019】Z2-1939（1）号，2019年机构改革经费</t>
  </si>
  <si>
    <t>区市场监督管理局</t>
  </si>
  <si>
    <t>食品药品快筛快检实验室易址建设经费</t>
  </si>
  <si>
    <t>汕濠办文【2019】Z2-1499-1（2）号，2019年机构改革经费.2019年已支付设计费、预算编制费9380.31元</t>
  </si>
  <si>
    <t>达濠渔港一期周边道路建设</t>
  </si>
  <si>
    <t>项目准备启动，年底前完成支付前期费用及工程预付款</t>
  </si>
  <si>
    <t>濠江区东湖东路和周边基础设施及东湖西路污水管网建设项目</t>
  </si>
  <si>
    <t>区城市管理和综合执法局</t>
  </si>
  <si>
    <t>区劳资纠纷应急指挥（处置）中心重建经费</t>
  </si>
  <si>
    <t>汕濠办文【2020】Z3-1002号</t>
  </si>
  <si>
    <t>濠江区迎“亚青会”基础设施改造提升工程项目</t>
  </si>
  <si>
    <t>濠江区迎“亚青会”城市配套项目</t>
  </si>
  <si>
    <t>濠江区亚青会城乡配套设施项目</t>
  </si>
  <si>
    <t>项目暂不启动</t>
  </si>
  <si>
    <t>亚青会基础设施及场馆改造项目</t>
  </si>
  <si>
    <t>调整预算项目名称为：汕头市濠江区亚青会基础设施及场馆改造项目（广达大道改造工程）</t>
  </si>
  <si>
    <t>区代建中心</t>
  </si>
  <si>
    <t>汕头市濠江区亚青会基础设施及场馆改造项目（广达大道改造工程）</t>
  </si>
  <si>
    <t>汕濠办文【2020】Z3-1189号，先行拨付3000万，其中未列入预算的500万及其他所需资金列入2020年基金调整或争取上级资金、债券资金解决。</t>
  </si>
  <si>
    <t>汕头市濠江区亚青会基础设施及场馆改造项目（双泉公园体育馆建设提升改造项目）</t>
  </si>
  <si>
    <t>《设计概算审核报告书》、设计合同</t>
  </si>
  <si>
    <t>汕头市濠江区亚青会基础设施及场馆改造项目（华南师范大学附属濠江实验学校9#体艺馆提升改造项目）</t>
  </si>
  <si>
    <t>《工程概算审核报告书》、设计合同</t>
  </si>
  <si>
    <t>区红十字会</t>
  </si>
  <si>
    <t>区红十字会新迁办公及业务用房维修改造</t>
  </si>
  <si>
    <t>机关事务局正在办理调整手续</t>
  </si>
  <si>
    <t>汕头市濠江区城乡雨污分流升级改造项目</t>
  </si>
  <si>
    <t>基建小计</t>
  </si>
  <si>
    <t>区行政服务中心管理办公室</t>
  </si>
  <si>
    <t>购置业务用房经费</t>
  </si>
  <si>
    <t>2019年未支出，2020年待支出</t>
  </si>
  <si>
    <t>国有资产投入</t>
  </si>
  <si>
    <t>区人民医院改扩建工程</t>
  </si>
  <si>
    <t>政府购买服务</t>
  </si>
  <si>
    <t>汕头市达濠华侨中学学生宿舍楼及配套建设项目</t>
  </si>
  <si>
    <t>区建设管理和环保局</t>
  </si>
  <si>
    <t>三路一桥</t>
  </si>
  <si>
    <t>茂洲片区新型城镇化综合开发PPP项目股权投资</t>
  </si>
  <si>
    <t>PPP项目合同约定</t>
  </si>
  <si>
    <t>党建中心基建及采购固定资产</t>
  </si>
  <si>
    <t>未支付购房款项679.06104万元及设计费等，另有100万为固定资产采购资金</t>
  </si>
  <si>
    <t>新办公楼搬迁修缮</t>
  </si>
  <si>
    <t>2019年结转资金</t>
  </si>
  <si>
    <t>汕头市濠江区智慧型机械式公共停车楼PPP项目绩效服务费（政府性基金）</t>
  </si>
  <si>
    <t>濠江区五南沟片区内涝整治工程政府购买服务资金</t>
  </si>
  <si>
    <t>各街道</t>
  </si>
  <si>
    <t>人居环境综合整治建设项目</t>
  </si>
  <si>
    <t>2017年债券调整用于其他项目，使用本级资金投入尚需支出部分</t>
  </si>
  <si>
    <t>一路一桥</t>
  </si>
  <si>
    <t>政府购买服务及项目建设资金（第1、2、3期已竣工）</t>
  </si>
  <si>
    <t>全区污水管网完善建设项目</t>
  </si>
  <si>
    <t>国有资产投入小计</t>
  </si>
  <si>
    <t>土储购买服务经费支出</t>
  </si>
  <si>
    <t>土地储备业务费补充土储人员与基本经费</t>
  </si>
  <si>
    <t>土地储备项目前期经费支出</t>
  </si>
  <si>
    <t>后勤管理服务支出</t>
  </si>
  <si>
    <t>其他土地储备业务经费支出</t>
  </si>
  <si>
    <t>农村地籍调查项目</t>
  </si>
  <si>
    <t>第三次全国土地调查</t>
  </si>
  <si>
    <t>汕头市濠江区“房地一体”农村宅基地和集体建设用地确权登记发证</t>
  </si>
  <si>
    <t>汕濠办文【2020】Z2-0584号，按照合同约定及工作进度安排，2020年9-12月该项工作预计支出675万元，其中200万元从不动产登记数据奖补资金中支出，剩余支出475万元，故调减预算支出25万元</t>
  </si>
  <si>
    <t>年度土地变更调查</t>
  </si>
  <si>
    <t>不动产登记业务经费</t>
  </si>
  <si>
    <t>减少叫号机50%费用</t>
  </si>
  <si>
    <t>不动产登记档案管理</t>
  </si>
  <si>
    <t>土地挂牌出让业务费用</t>
  </si>
  <si>
    <t>国有土地资源资产量核算试点项目费用</t>
  </si>
  <si>
    <t>推进工业园区低效产业用地再利用项目费用</t>
  </si>
  <si>
    <t>推进街道辖区低效产业用地再利用项目费用</t>
  </si>
  <si>
    <t>汕头市濠江区永久基本农田调整方案（2020-2030年）编制工作</t>
  </si>
  <si>
    <t>基本农田保护经济补偿区级补助资金</t>
  </si>
  <si>
    <t>濠江区各年度水田耕作层剥离再利用年度实施方案编制工作</t>
  </si>
  <si>
    <t>粤国土资耕保发﹝2018﹞37号</t>
  </si>
  <si>
    <t>垦造水田任务专项工作（耕地提质改造项目）</t>
  </si>
  <si>
    <t>年度永久基本农田标志牌界桩维护设置工作经费</t>
  </si>
  <si>
    <t>受疫情影响，今年原计划开展的永久基本农田标志牌界桩维护设置工作暂无法开展，将延迟至明年开展实施</t>
  </si>
  <si>
    <t>汕头市濠江区农村建设用地拆旧复垦项目</t>
  </si>
  <si>
    <r>
      <rPr>
        <sz val="10"/>
        <rFont val="宋体"/>
        <charset val="134"/>
        <scheme val="minor"/>
      </rPr>
      <t>受疫情影响，下半年预计完成拆旧复垦项目45亩，需落实前期工作经费及建设费用250万元，可调减财政预算150万元，后续预算资金根据完成进度进行申报。汕濠办文【</t>
    </r>
    <r>
      <rPr>
        <sz val="10"/>
        <rFont val="宋体"/>
        <charset val="134"/>
      </rPr>
      <t>2019</t>
    </r>
    <r>
      <rPr>
        <sz val="10"/>
        <rFont val="宋体"/>
        <charset val="134"/>
      </rPr>
      <t>】</t>
    </r>
    <r>
      <rPr>
        <sz val="10"/>
        <rFont val="宋体"/>
        <charset val="134"/>
      </rPr>
      <t>Z2-2352</t>
    </r>
    <r>
      <rPr>
        <sz val="10"/>
        <rFont val="宋体"/>
        <charset val="134"/>
      </rPr>
      <t>号，专项费用</t>
    </r>
    <r>
      <rPr>
        <sz val="10"/>
        <rFont val="宋体"/>
        <charset val="134"/>
      </rPr>
      <t>1000万元、工作经费155万元</t>
    </r>
  </si>
  <si>
    <t>濠江区农村占用耕地建房摸排工作数据处理及外业核查服务</t>
  </si>
  <si>
    <t>执法监察经费</t>
  </si>
  <si>
    <t>机关公共管理事务支出</t>
  </si>
  <si>
    <t>国土管理业务工作专项购买服务</t>
  </si>
  <si>
    <t>其他业务工作委托业务费</t>
  </si>
  <si>
    <t>基层自然资源管理系统建设管理</t>
  </si>
  <si>
    <t>土地出让管理相关工作经费</t>
  </si>
  <si>
    <t>缴纳国有土地使用权出让合同印花税</t>
  </si>
  <si>
    <t>汕濠办文【2020】Z3-0429号从预留调剂</t>
  </si>
  <si>
    <t>土地评估费用</t>
  </si>
  <si>
    <t>土地评估按规定列入采购计划</t>
  </si>
  <si>
    <t>汕头市濠江区不动产登记“双提升”及“互联网+登记”技术服务</t>
  </si>
  <si>
    <t>汕自然资发〔2019〕70号</t>
  </si>
  <si>
    <t>汕头市公共卫生医学中心项目土地利用总体规划预留规模落实方案和农保补划方案编制工作</t>
  </si>
  <si>
    <t>区政府工作会议纪要 第19期</t>
  </si>
  <si>
    <t>汕头市公共卫生医学中心项目占用水田耕作层剥离再利用方案编制工作</t>
  </si>
  <si>
    <t>汕头市濠江区土地利用总体规划（2010-2020年）预留规模落实方案（汕头至汕尾铁路配套用地及历史留用地）编制工作</t>
  </si>
  <si>
    <t>汕自然资通〔2020〕461号</t>
  </si>
  <si>
    <t>区房屋管理所</t>
  </si>
  <si>
    <t>住房保障工作经费</t>
  </si>
  <si>
    <t>保障房物业管理费</t>
  </si>
  <si>
    <t>预留公共租赁住房支出</t>
  </si>
  <si>
    <t>上缴保障性安居工程闲置资金</t>
  </si>
  <si>
    <t>农村保洁员工资待遇保障补助资金</t>
  </si>
  <si>
    <t>配套费</t>
  </si>
  <si>
    <t>专项债券债券利息支出及手续费</t>
  </si>
  <si>
    <t>年中新增专项债券利息</t>
  </si>
  <si>
    <t>债券发行费及手续费</t>
  </si>
  <si>
    <t>年中新增专项债券发行费及手续费</t>
  </si>
  <si>
    <t>其他小计</t>
  </si>
  <si>
    <t>预留国有资产投入经费</t>
  </si>
  <si>
    <t>预留建设前期及其他经费</t>
  </si>
  <si>
    <t>预留土地收储平整资金</t>
  </si>
  <si>
    <t>预留土地基金相关项目资金小计</t>
  </si>
  <si>
    <t>一、土地基金合计</t>
  </si>
  <si>
    <t>规划管理工作经费</t>
  </si>
  <si>
    <t>汕头市国土空间总体规划濠江区发展规划大纲（2020—2035年）</t>
  </si>
  <si>
    <t>濠江区只需完成《濠江区国土空间总体规划发展规划大纲》的编制工作，年初预算中包括的专题研究内容需要删减掉。</t>
  </si>
  <si>
    <t>汕头市濠江区HJ007、HJ011、HJ017、HJ022编制单元控制性详细规划（修编）</t>
  </si>
  <si>
    <t>汕头市濠江区七个街道国土空间总体规划</t>
  </si>
  <si>
    <t>中信滨海新城南滨片区控制性详细规划（红星村局部修编）终止费用</t>
  </si>
  <si>
    <t>汕头南综合交通枢纽道路集疏运规划</t>
  </si>
  <si>
    <t>汕头市滨海产业片区控制性详细规划</t>
  </si>
  <si>
    <t>按照《汕头市人民政府关于建立重点产业片区建设招商工作机制的通知》（汕府办函〔2020〕62号）文件要求，重点产业片区范围内要编制控制性详细规划，涉及我区滨海片区范围内控制性详细规划编制经费经测算约99.6万元。</t>
  </si>
  <si>
    <t>乡村振兴濠江区各社区村庄规划项目</t>
  </si>
  <si>
    <t>汕濠办文【2020】Z2-0778号</t>
  </si>
  <si>
    <t>开展上海电气风电设备运输涉及市政设施迁移及修复项目包干经费</t>
  </si>
  <si>
    <t>汕濠办文【2019】Z2-1499-3号，2019年预留城市基础设施配套费中列支</t>
  </si>
  <si>
    <t>区市政设施管理所</t>
  </si>
  <si>
    <t>广澳港口至上海电气公司市政设施迁移及修复项目</t>
  </si>
  <si>
    <t>汕濠办文【2020】Z3-1206号</t>
  </si>
  <si>
    <t>市政设施路灯电费</t>
  </si>
  <si>
    <r>
      <rPr>
        <sz val="10"/>
        <rFont val="宋体"/>
        <charset val="134"/>
      </rPr>
      <t>已剔除上级补助264万</t>
    </r>
  </si>
  <si>
    <t>市政设施购买服务管养费</t>
  </si>
  <si>
    <r>
      <rPr>
        <sz val="10"/>
        <rFont val="宋体"/>
        <charset val="134"/>
      </rPr>
      <t>已剔除上级补助285万</t>
    </r>
  </si>
  <si>
    <t>2019年4月至2020年6月代垫付园区路灯费</t>
  </si>
  <si>
    <t>发票</t>
  </si>
  <si>
    <t>区城管局</t>
  </si>
  <si>
    <t>市政设施购买服务管养经费</t>
  </si>
  <si>
    <t>汕濠办文[2020]Z3-0883</t>
  </si>
  <si>
    <t>排水设施管养及内涝布防抢险项目</t>
  </si>
  <si>
    <t>汕濠府办[2020]5号</t>
  </si>
  <si>
    <t>区环卫局</t>
  </si>
  <si>
    <t>全区主次干道清扫保洁采购项目经费</t>
  </si>
  <si>
    <t>新增主次干道（中标路段新移交）清扫保洁经费（河浦大道、河中路、安海路、达南路）</t>
  </si>
  <si>
    <t>马滘垃圾压缩站（新建）</t>
  </si>
  <si>
    <t>土建区级支出，设备争取市级投入，近期报财政审核</t>
  </si>
  <si>
    <t>新增主次干道清扫保洁经费（达南路、河中路）</t>
  </si>
  <si>
    <t>南滨景观平台保洁项目经费</t>
  </si>
  <si>
    <t>调整为土地基金支出</t>
  </si>
  <si>
    <t>河北社区A02-08地块水渠改向建设工程补助资金</t>
  </si>
  <si>
    <t>预留城市基础设施配套费</t>
  </si>
  <si>
    <t>区农农水局</t>
  </si>
  <si>
    <t>上级上年专项结转支出厕所革命</t>
  </si>
  <si>
    <t>二、城市基础设施配套费支出合计</t>
  </si>
  <si>
    <t>残疾人医疗康复救助基金区级配套</t>
  </si>
  <si>
    <t>彩票公益金</t>
  </si>
  <si>
    <t>区民政局</t>
  </si>
  <si>
    <t>养老服务体系项目（福利中心消防水池建设项目和地埕修缮项目）</t>
  </si>
  <si>
    <t>2019年年尾收回9.43万，但是只需要用1.6万元</t>
  </si>
  <si>
    <t>养老服务体系项目（福利中心消防改造工程项目）</t>
  </si>
  <si>
    <t>2019年年尾收回5.02万，但是只需要用3.1万元</t>
  </si>
  <si>
    <t>养老服务体系项目</t>
  </si>
  <si>
    <t>区医保局</t>
  </si>
  <si>
    <t>城乡医疗救助项目</t>
  </si>
  <si>
    <t>三、彩票公益金支出合计</t>
  </si>
  <si>
    <t>四、专项债券支出合计</t>
  </si>
  <si>
    <t>专项债券</t>
  </si>
  <si>
    <t>政府性基金支出合计</t>
  </si>
  <si>
    <t>其中专项债券支出95000万元</t>
  </si>
  <si>
    <t>五、调入公共财政预算统筹安排</t>
  </si>
  <si>
    <t>其中土地基金45500万元、配套费2400万元</t>
  </si>
  <si>
    <t>土地及配套费</t>
  </si>
  <si>
    <t>支出总计</t>
  </si>
  <si>
    <t xml:space="preserve">          其中：本级项目支出（不含中信项目）</t>
  </si>
  <si>
    <t>附表9</t>
  </si>
  <si>
    <t>2020年收回存量资金及安排表</t>
  </si>
  <si>
    <t>收回存量资金</t>
  </si>
  <si>
    <t>安排存量资金</t>
  </si>
  <si>
    <t>类型</t>
  </si>
  <si>
    <t>部门</t>
  </si>
  <si>
    <t>埭头小学校舍综合改造工程项目</t>
  </si>
  <si>
    <t>政府文件处理表《汕濠办文【2020】Z3-1077号》和《汕濠办文【2020】Z3-1092号》</t>
  </si>
  <si>
    <t>上年未安排数</t>
  </si>
  <si>
    <t>安排消化历年压支挂账</t>
  </si>
  <si>
    <t>部门缴回财政存量资金</t>
  </si>
  <si>
    <t>南山湾办用于偿还南山湾产业园（一期）及连接主干道工程项目贷款</t>
  </si>
  <si>
    <t>收回部门结转结余在支付办存量资金</t>
  </si>
  <si>
    <t>红桥路、商业街、西田北路雨污分流改造项目</t>
  </si>
  <si>
    <t>转入暂存暂付款调账资金</t>
  </si>
  <si>
    <t>河浦中学学生宿舍楼及配套设施</t>
  </si>
  <si>
    <t>附表10</t>
  </si>
  <si>
    <t>汕头市濠江区2020年国有资本经营预算收入计划调整表</t>
  </si>
  <si>
    <t>科目</t>
  </si>
  <si>
    <t>年初预算数</t>
  </si>
  <si>
    <t>一、利润收入</t>
  </si>
  <si>
    <t xml:space="preserve">  运输企业利润收入</t>
  </si>
  <si>
    <t xml:space="preserve">  电子企业利润收入</t>
  </si>
  <si>
    <t xml:space="preserve">  贸易企业利润收入</t>
  </si>
  <si>
    <t xml:space="preserve">  建筑施工企业利润收入</t>
  </si>
  <si>
    <t xml:space="preserve">  其他国有资本经营预算企业利润收入</t>
  </si>
  <si>
    <t>二、股利、股息收入</t>
  </si>
  <si>
    <t>预计收入减少</t>
  </si>
  <si>
    <t>三、产权转让收入</t>
  </si>
  <si>
    <t>四、清算收入</t>
  </si>
  <si>
    <t>五、其他国有资本经营预算收入</t>
  </si>
  <si>
    <t>本年收入合计</t>
  </si>
  <si>
    <t>上年结转收入</t>
  </si>
  <si>
    <t xml:space="preserve">   其中：净结余</t>
  </si>
  <si>
    <t xml:space="preserve">       项目结转</t>
  </si>
  <si>
    <t>收入总计</t>
  </si>
  <si>
    <t>附表11</t>
  </si>
  <si>
    <t>汕头市濠江区2020年国有资本经营预算支出计划调整表</t>
  </si>
  <si>
    <t>科目代码</t>
  </si>
  <si>
    <t>一、解决历史遗留问题及改革成本支出</t>
  </si>
  <si>
    <t xml:space="preserve">   国有企业办职教幼教补助支出</t>
  </si>
  <si>
    <t xml:space="preserve">   国有企业改革成本支出</t>
  </si>
  <si>
    <t xml:space="preserve">   其他解决历史遗留问题及改革成本支出</t>
  </si>
  <si>
    <t>二、国有企业资本金注入</t>
  </si>
  <si>
    <t xml:space="preserve">   公益性设施投资支出</t>
  </si>
  <si>
    <t xml:space="preserve">   保障国家经济安全支出</t>
  </si>
  <si>
    <t xml:space="preserve">   其他国有企业资本金注入</t>
  </si>
  <si>
    <t>调减青洲盐场改革注册资本金</t>
  </si>
  <si>
    <t>三、国有企业政策性补贴</t>
  </si>
  <si>
    <t xml:space="preserve">   国有企业政策性补贴</t>
  </si>
  <si>
    <t>四、其他国有资本经营预算支出</t>
  </si>
  <si>
    <t>收入减少对应减少支出</t>
  </si>
  <si>
    <t xml:space="preserve">   其他国有资本经营预算支出</t>
  </si>
  <si>
    <t>本年支出合计</t>
  </si>
  <si>
    <t>结转下年支出</t>
  </si>
  <si>
    <t xml:space="preserve">        项目结转</t>
  </si>
  <si>
    <t>国有资本经营预算调出资金</t>
  </si>
  <si>
    <t>附表12</t>
  </si>
  <si>
    <t>汕头市濠江区2020年社会保险基金预算收入计划调整表</t>
  </si>
  <si>
    <t>一.社会保险基金预算收入</t>
  </si>
  <si>
    <t xml:space="preserve">     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</si>
  <si>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</si>
  <si>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</si>
  <si>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</si>
  <si>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</si>
  <si>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</si>
  <si>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城乡居民基本养老保险基金转移收入</t>
  </si>
  <si>
    <t xml:space="preserve">       城乡居民基本养老保险基金其他收入</t>
  </si>
  <si>
    <t xml:space="preserve">    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</si>
  <si>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</si>
  <si>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</si>
  <si>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</si>
  <si>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机关事业单位基本养老保险基金转移收入</t>
  </si>
  <si>
    <t xml:space="preserve">       机关事业单位基本养老保险基金其他收入</t>
  </si>
  <si>
    <t>二、转移性收入</t>
  </si>
  <si>
    <t xml:space="preserve">     上年结余收入</t>
  </si>
  <si>
    <t>1.根据汕市财社函【2020】98号，省要求将我区城乡居民养老基金委托投资收益28万元在2019年社保基金决算中反映，故该数据体现在上年结余中。
2.2017年4月申请启动机关养老保险待遇拨付工作周转金5万元，为财政专户支出数，不涉及基金收支科目，现调整社保基金结余。</t>
  </si>
  <si>
    <t>城乡</t>
  </si>
  <si>
    <t>机关</t>
  </si>
  <si>
    <t xml:space="preserve">     城乡居民基本养老保险基金上级补助收入</t>
  </si>
  <si>
    <t xml:space="preserve">     机关事业单位基本养老保险基金上级补助收入</t>
  </si>
  <si>
    <t>社会保险基金预算收入</t>
  </si>
  <si>
    <t>附表13</t>
  </si>
  <si>
    <t>2020年社会保险基金预算支出计划调整表</t>
  </si>
  <si>
    <t>科目分类</t>
  </si>
  <si>
    <t>209</t>
  </si>
  <si>
    <t>社会保险基金预算支出</t>
  </si>
  <si>
    <t>20910</t>
  </si>
  <si>
    <t xml:space="preserve">   城乡居民基本养老保险基金支出</t>
  </si>
  <si>
    <t>2091001</t>
  </si>
  <si>
    <t xml:space="preserve">     基础养老金支出</t>
  </si>
  <si>
    <t>2091002</t>
  </si>
  <si>
    <t xml:space="preserve">     个人账户养老金支出</t>
  </si>
  <si>
    <t>2091099</t>
  </si>
  <si>
    <t xml:space="preserve">     丧葬抚恤补贴支出</t>
  </si>
  <si>
    <t xml:space="preserve">     转移支出</t>
  </si>
  <si>
    <t xml:space="preserve">     其他支出</t>
  </si>
  <si>
    <t xml:space="preserve">   机关事业单位基本养老保险基金支出</t>
  </si>
  <si>
    <t xml:space="preserve">     基本养老金支出</t>
  </si>
  <si>
    <t xml:space="preserve">     其他机关事业单位基本养老保险基金支出</t>
  </si>
  <si>
    <t xml:space="preserve">   城乡居民基本养老保险基金上解上级支出</t>
  </si>
  <si>
    <t xml:space="preserve">   机关事业单位基本养老保险基金上解上级支出</t>
  </si>
  <si>
    <t>2300903</t>
  </si>
  <si>
    <t xml:space="preserve">   社会保险基金预算年终结余</t>
  </si>
  <si>
    <t>社会保险基金预算支出合计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</si>
</sst>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_ ;_ * \-#,##0_ ;_ * &quot;-&quot;??_ ;_ @_ "/>
    <numFmt numFmtId="178" formatCode="0.00_ "/>
    <numFmt numFmtId="179" formatCode="yyyy/mm/dd"/>
    <numFmt numFmtId="180" formatCode="#,##0_ "/>
    <numFmt numFmtId="181" formatCode="00000"/>
    <numFmt numFmtId="182" formatCode="0.0000_ "/>
    <numFmt numFmtId="183" formatCode="0_);[Red]\(0\)"/>
    <numFmt numFmtId="184" formatCode="0.00_);[Red]\(0.00\)"/>
    <numFmt numFmtId="185" formatCode="_ * #,##0.00_ ;_ * \-#,##0.00_ ;_ * &quot;-&quot;_ ;_ @_ "/>
  </numFmts>
  <fonts count="65">
    <font>
      <sz val="12"/>
      <name val="宋体"/>
      <charset val="134"/>
    </font>
    <font>
      <sz val="9"/>
      <name val="宋体"/>
      <charset val="134"/>
    </font>
    <font>
      <b/>
      <sz val="12"/>
      <name val="宋体"/>
      <charset val="134"/>
    </font>
    <font>
      <sz val="11"/>
      <name val="宋体"/>
      <charset val="134"/>
    </font>
    <font>
      <b/>
      <sz val="20"/>
      <name val="宋体"/>
      <charset val="134"/>
    </font>
    <font>
      <b/>
      <sz val="9"/>
      <name val="宋体"/>
      <charset val="134"/>
    </font>
    <font>
      <b/>
      <sz val="11"/>
      <name val="宋体"/>
      <charset val="134"/>
    </font>
    <font>
      <sz val="11"/>
      <color theme="1"/>
      <name val="宋体"/>
      <charset val="134"/>
    </font>
    <font>
      <sz val="11"/>
      <color theme="1"/>
      <name val="宋体"/>
      <charset val="134"/>
      <scheme val="minor"/>
    </font>
    <font>
      <sz val="10"/>
      <name val="宋体"/>
      <charset val="134"/>
    </font>
    <font>
      <sz val="11"/>
      <color indexed="8"/>
      <name val="宋体"/>
      <charset val="134"/>
    </font>
    <font>
      <b/>
      <sz val="16"/>
      <color indexed="8"/>
      <name val="宋体"/>
      <charset val="134"/>
    </font>
    <font>
      <sz val="10"/>
      <name val="Arial"/>
      <charset val="0"/>
    </font>
    <font>
      <b/>
      <sz val="16"/>
      <name val="宋体"/>
      <charset val="134"/>
    </font>
    <font>
      <b/>
      <sz val="10"/>
      <name val="宋体"/>
      <charset val="134"/>
    </font>
    <font>
      <sz val="10"/>
      <name val="宋体"/>
      <charset val="134"/>
      <scheme val="minor"/>
    </font>
    <font>
      <sz val="10"/>
      <color indexed="8"/>
      <name val="宋体"/>
      <charset val="134"/>
      <scheme val="minor"/>
    </font>
    <font>
      <sz val="10"/>
      <color rgb="FFFFFF00"/>
      <name val="宋体"/>
      <charset val="134"/>
      <scheme val="minor"/>
    </font>
    <font>
      <sz val="12"/>
      <color theme="1"/>
      <name val="宋体"/>
      <charset val="134"/>
      <scheme val="minor"/>
    </font>
    <font>
      <sz val="10"/>
      <color theme="1"/>
      <name val="宋体"/>
      <charset val="134"/>
      <scheme val="minor"/>
    </font>
    <font>
      <sz val="10"/>
      <name val="宋体"/>
      <charset val="134"/>
      <scheme val="major"/>
    </font>
    <font>
      <sz val="10"/>
      <color theme="1"/>
      <name val="宋体"/>
      <charset val="134"/>
      <scheme val="major"/>
    </font>
    <font>
      <sz val="9"/>
      <color theme="1"/>
      <name val="宋体"/>
      <charset val="134"/>
      <scheme val="minor"/>
    </font>
    <font>
      <sz val="20"/>
      <color theme="1"/>
      <name val="宋体"/>
      <charset val="134"/>
      <scheme val="minor"/>
    </font>
    <font>
      <sz val="9"/>
      <name val="宋体"/>
      <charset val="134"/>
      <scheme val="minor"/>
    </font>
    <font>
      <b/>
      <sz val="20"/>
      <name val="宋体"/>
      <charset val="134"/>
      <scheme val="minor"/>
    </font>
    <font>
      <sz val="10"/>
      <name val="Times New Roman"/>
      <charset val="134"/>
    </font>
    <font>
      <sz val="9"/>
      <color theme="1"/>
      <name val="宋体"/>
      <charset val="134"/>
    </font>
    <font>
      <b/>
      <sz val="11"/>
      <color theme="1"/>
      <name val="宋体"/>
      <charset val="134"/>
    </font>
    <font>
      <sz val="10"/>
      <color theme="1"/>
      <name val="宋体"/>
      <charset val="134"/>
    </font>
    <font>
      <b/>
      <sz val="22"/>
      <color theme="1"/>
      <name val="宋体"/>
      <charset val="134"/>
    </font>
    <font>
      <b/>
      <sz val="16"/>
      <color theme="1"/>
      <name val="宋体"/>
      <charset val="134"/>
    </font>
    <font>
      <b/>
      <sz val="10"/>
      <color theme="1"/>
      <name val="宋体"/>
      <charset val="134"/>
    </font>
    <font>
      <sz val="10"/>
      <color indexed="8"/>
      <name val="宋体"/>
      <charset val="134"/>
    </font>
    <font>
      <sz val="10"/>
      <color rgb="FF000000"/>
      <name val="宋体"/>
      <charset val="134"/>
    </font>
    <font>
      <sz val="11"/>
      <name val="宋体"/>
      <charset val="134"/>
      <scheme val="minor"/>
    </font>
    <font>
      <b/>
      <sz val="16"/>
      <name val="宋体"/>
      <charset val="134"/>
      <scheme val="minor"/>
    </font>
    <font>
      <b/>
      <sz val="10"/>
      <name val="宋体"/>
      <charset val="134"/>
      <scheme val="minor"/>
    </font>
    <font>
      <b/>
      <sz val="11"/>
      <name val="宋体"/>
      <charset val="134"/>
      <scheme val="minor"/>
    </font>
    <font>
      <b/>
      <sz val="11"/>
      <color indexed="8"/>
      <name val="宋体"/>
      <charset val="134"/>
      <scheme val="minor"/>
    </font>
    <font>
      <b/>
      <sz val="10"/>
      <color indexed="8"/>
      <name val="宋体"/>
      <charset val="134"/>
      <scheme val="minor"/>
    </font>
    <font>
      <sz val="10"/>
      <color rgb="FF000000"/>
      <name val="宋体"/>
      <charset val="134"/>
      <scheme val="minor"/>
    </font>
    <font>
      <b/>
      <sz val="10"/>
      <color indexed="8"/>
      <name val="宋体"/>
      <charset val="134"/>
    </font>
    <font>
      <sz val="16"/>
      <name val="宋体"/>
      <charset val="134"/>
    </font>
    <font>
      <b/>
      <sz val="28"/>
      <name val="宋体"/>
      <charset val="134"/>
    </font>
    <font>
      <u/>
      <sz val="11"/>
      <color indexed="12"/>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name val="宋体"/>
      <charset val="134"/>
    </font>
    <font>
      <b/>
      <sz val="9"/>
      <name val="宋体"/>
      <charset val="134"/>
    </font>
  </fonts>
  <fills count="29">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59">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medium">
        <color auto="1"/>
      </top>
      <bottom/>
      <diagonal/>
    </border>
    <border>
      <left style="thin">
        <color indexed="8"/>
      </left>
      <right style="thin">
        <color indexed="8"/>
      </right>
      <top style="medium">
        <color auto="1"/>
      </top>
      <bottom/>
      <diagonal/>
    </border>
    <border>
      <left style="thin">
        <color indexed="8"/>
      </left>
      <right style="medium">
        <color auto="1"/>
      </right>
      <top style="medium">
        <color auto="1"/>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auto="1"/>
      </right>
      <top/>
      <bottom/>
      <diagonal/>
    </border>
    <border>
      <left/>
      <right/>
      <top/>
      <bottom style="medium">
        <color auto="1"/>
      </bottom>
      <diagonal/>
    </border>
    <border>
      <left style="thin">
        <color indexed="8"/>
      </left>
      <right style="thin">
        <color indexed="8"/>
      </right>
      <top style="thin">
        <color indexed="8"/>
      </top>
      <bottom style="thin">
        <color indexed="8"/>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7" borderId="50"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51" applyNumberFormat="0" applyFill="0" applyAlignment="0" applyProtection="0">
      <alignment vertical="center"/>
    </xf>
    <xf numFmtId="0" fontId="51" fillId="0" borderId="52" applyNumberFormat="0" applyFill="0" applyAlignment="0" applyProtection="0">
      <alignment vertical="center"/>
    </xf>
    <xf numFmtId="0" fontId="52" fillId="0" borderId="53" applyNumberFormat="0" applyFill="0" applyAlignment="0" applyProtection="0">
      <alignment vertical="center"/>
    </xf>
    <xf numFmtId="0" fontId="52" fillId="0" borderId="0" applyNumberFormat="0" applyFill="0" applyBorder="0" applyAlignment="0" applyProtection="0">
      <alignment vertical="center"/>
    </xf>
    <xf numFmtId="0" fontId="53" fillId="8" borderId="54" applyNumberFormat="0" applyAlignment="0" applyProtection="0">
      <alignment vertical="center"/>
    </xf>
    <xf numFmtId="0" fontId="54" fillId="9" borderId="55" applyNumberFormat="0" applyAlignment="0" applyProtection="0">
      <alignment vertical="center"/>
    </xf>
    <xf numFmtId="0" fontId="55" fillId="9" borderId="54" applyNumberFormat="0" applyAlignment="0" applyProtection="0">
      <alignment vertical="center"/>
    </xf>
    <xf numFmtId="0" fontId="56" fillId="10" borderId="56" applyNumberFormat="0" applyAlignment="0" applyProtection="0">
      <alignment vertical="center"/>
    </xf>
    <xf numFmtId="0" fontId="57" fillId="0" borderId="57" applyNumberFormat="0" applyFill="0" applyAlignment="0" applyProtection="0">
      <alignment vertical="center"/>
    </xf>
    <xf numFmtId="0" fontId="58" fillId="0" borderId="58" applyNumberFormat="0" applyFill="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2"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10" fillId="12" borderId="0" applyNumberFormat="0" applyBorder="0" applyAlignment="0" applyProtection="0">
      <alignment vertical="center"/>
    </xf>
    <xf numFmtId="0" fontId="10" fillId="19"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62" fillId="22" borderId="0" applyNumberFormat="0" applyBorder="0" applyAlignment="0" applyProtection="0">
      <alignment vertical="center"/>
    </xf>
    <xf numFmtId="0" fontId="62" fillId="24" borderId="0" applyNumberFormat="0" applyBorder="0" applyAlignment="0" applyProtection="0">
      <alignment vertical="center"/>
    </xf>
    <xf numFmtId="0" fontId="10" fillId="25" borderId="0" applyNumberFormat="0" applyBorder="0" applyAlignment="0" applyProtection="0">
      <alignment vertical="center"/>
    </xf>
    <xf numFmtId="0" fontId="10" fillId="16" borderId="0" applyNumberFormat="0" applyBorder="0" applyAlignment="0" applyProtection="0">
      <alignment vertical="center"/>
    </xf>
    <xf numFmtId="0" fontId="62" fillId="24" borderId="0" applyNumberFormat="0" applyBorder="0" applyAlignment="0" applyProtection="0">
      <alignment vertical="center"/>
    </xf>
    <xf numFmtId="0" fontId="62" fillId="26" borderId="0" applyNumberFormat="0" applyBorder="0" applyAlignment="0" applyProtection="0">
      <alignment vertical="center"/>
    </xf>
    <xf numFmtId="0" fontId="10" fillId="8" borderId="0" applyNumberFormat="0" applyBorder="0" applyAlignment="0" applyProtection="0">
      <alignment vertical="center"/>
    </xf>
    <xf numFmtId="0" fontId="10" fillId="27" borderId="0" applyNumberFormat="0" applyBorder="0" applyAlignment="0" applyProtection="0">
      <alignment vertical="center"/>
    </xf>
    <xf numFmtId="0" fontId="62" fillId="28" borderId="0" applyNumberFormat="0" applyBorder="0" applyAlignment="0" applyProtection="0">
      <alignment vertical="center"/>
    </xf>
    <xf numFmtId="0" fontId="12" fillId="0" borderId="0"/>
    <xf numFmtId="0" fontId="9" fillId="0" borderId="0"/>
    <xf numFmtId="0" fontId="0" fillId="0" borderId="0"/>
    <xf numFmtId="0" fontId="0" fillId="0" borderId="0"/>
    <xf numFmtId="0" fontId="10" fillId="0" borderId="0">
      <alignment vertical="center"/>
    </xf>
    <xf numFmtId="0" fontId="9" fillId="0" borderId="0"/>
    <xf numFmtId="0" fontId="9" fillId="0" borderId="0"/>
    <xf numFmtId="0" fontId="0" fillId="0" borderId="0"/>
    <xf numFmtId="0" fontId="9" fillId="0" borderId="0"/>
    <xf numFmtId="0" fontId="0" fillId="0" borderId="0">
      <alignment vertical="center"/>
    </xf>
    <xf numFmtId="0" fontId="0" fillId="0" borderId="0">
      <alignment vertical="center"/>
    </xf>
    <xf numFmtId="0" fontId="9" fillId="0" borderId="0"/>
    <xf numFmtId="0" fontId="10" fillId="0" borderId="0"/>
    <xf numFmtId="43" fontId="0" fillId="0" borderId="0" applyFont="0" applyFill="0" applyBorder="0" applyAlignment="0" applyProtection="0"/>
    <xf numFmtId="0" fontId="0" fillId="0" borderId="0"/>
    <xf numFmtId="0" fontId="8" fillId="0" borderId="0">
      <alignment vertical="center"/>
    </xf>
    <xf numFmtId="0" fontId="0" fillId="0" borderId="0"/>
    <xf numFmtId="43" fontId="0" fillId="0" borderId="0" applyFont="0" applyFill="0" applyBorder="0" applyAlignment="0" applyProtection="0"/>
    <xf numFmtId="0" fontId="0" fillId="0" borderId="0"/>
    <xf numFmtId="0" fontId="0" fillId="0" borderId="0"/>
  </cellStyleXfs>
  <cellXfs count="585">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0" fillId="2" borderId="0" xfId="0" applyFont="1" applyFill="1" applyBorder="1" applyAlignment="1">
      <alignment vertical="center"/>
    </xf>
    <xf numFmtId="49" fontId="0" fillId="0" borderId="0" xfId="56" applyNumberFormat="1" applyFont="1" applyFill="1" applyBorder="1" applyAlignment="1">
      <alignment horizontal="center" vertical="center"/>
    </xf>
    <xf numFmtId="0" fontId="0" fillId="0" borderId="0" xfId="0" applyFont="1" applyFill="1" applyBorder="1" applyAlignment="1"/>
    <xf numFmtId="0" fontId="3" fillId="3" borderId="0" xfId="0" applyFont="1" applyFill="1" applyBorder="1" applyAlignment="1">
      <alignment vertical="center"/>
    </xf>
    <xf numFmtId="0" fontId="0" fillId="3" borderId="0" xfId="0" applyFont="1" applyFill="1" applyBorder="1" applyAlignment="1">
      <alignment vertical="center"/>
    </xf>
    <xf numFmtId="0" fontId="4" fillId="3" borderId="0" xfId="0" applyFont="1" applyFill="1" applyBorder="1" applyAlignment="1">
      <alignment horizontal="center" vertical="center"/>
    </xf>
    <xf numFmtId="49" fontId="5" fillId="3" borderId="0" xfId="0" applyNumberFormat="1" applyFont="1" applyFill="1" applyBorder="1" applyAlignment="1">
      <alignment vertical="center" wrapText="1"/>
    </xf>
    <xf numFmtId="0" fontId="1" fillId="3" borderId="0" xfId="0" applyFont="1" applyFill="1" applyBorder="1" applyAlignment="1">
      <alignment vertical="center"/>
    </xf>
    <xf numFmtId="0" fontId="3" fillId="3" borderId="0" xfId="0" applyFont="1" applyFill="1" applyBorder="1" applyAlignment="1">
      <alignment horizontal="right" vertical="center"/>
    </xf>
    <xf numFmtId="49" fontId="6" fillId="3" borderId="1"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0" fontId="6" fillId="3" borderId="2" xfId="0" applyFont="1" applyFill="1" applyBorder="1" applyAlignment="1">
      <alignment vertical="center"/>
    </xf>
    <xf numFmtId="41" fontId="6" fillId="3" borderId="2" xfId="1" applyNumberFormat="1" applyFont="1" applyFill="1" applyBorder="1" applyAlignment="1">
      <alignment horizontal="center" vertical="center"/>
    </xf>
    <xf numFmtId="0" fontId="2" fillId="3" borderId="2" xfId="0" applyFont="1" applyFill="1" applyBorder="1" applyAlignment="1">
      <alignment vertical="center"/>
    </xf>
    <xf numFmtId="0" fontId="3" fillId="3" borderId="2" xfId="0" applyFont="1" applyFill="1" applyBorder="1" applyAlignment="1">
      <alignment vertical="center"/>
    </xf>
    <xf numFmtId="41" fontId="3" fillId="3" borderId="2" xfId="1" applyNumberFormat="1" applyFont="1" applyFill="1" applyBorder="1" applyAlignment="1">
      <alignment horizontal="center" vertical="center"/>
    </xf>
    <xf numFmtId="41" fontId="3" fillId="3" borderId="2" xfId="0" applyNumberFormat="1" applyFont="1" applyFill="1" applyBorder="1" applyAlignment="1">
      <alignment horizontal="center" vertical="center"/>
    </xf>
    <xf numFmtId="0" fontId="0" fillId="3" borderId="2" xfId="0" applyFont="1" applyFill="1" applyBorder="1" applyAlignment="1">
      <alignment vertical="center"/>
    </xf>
    <xf numFmtId="0" fontId="0" fillId="3" borderId="4" xfId="0" applyFont="1" applyFill="1" applyBorder="1" applyAlignment="1">
      <alignment vertical="center"/>
    </xf>
    <xf numFmtId="0" fontId="3" fillId="3" borderId="2" xfId="0" applyFont="1" applyFill="1" applyBorder="1" applyAlignment="1">
      <alignment horizontal="left" vertical="center"/>
    </xf>
    <xf numFmtId="41" fontId="3" fillId="3" borderId="2" xfId="62" applyNumberFormat="1" applyFont="1" applyFill="1" applyBorder="1" applyAlignment="1">
      <alignment horizontal="center" vertical="center"/>
    </xf>
    <xf numFmtId="176" fontId="3" fillId="3" borderId="2" xfId="1" applyNumberFormat="1" applyFont="1" applyFill="1" applyBorder="1" applyAlignment="1">
      <alignment horizontal="right" vertical="center"/>
    </xf>
    <xf numFmtId="0" fontId="3" fillId="2" borderId="2" xfId="0" applyFont="1" applyFill="1" applyBorder="1" applyAlignment="1">
      <alignment vertical="center"/>
    </xf>
    <xf numFmtId="0" fontId="3" fillId="2" borderId="2" xfId="51" applyFont="1" applyFill="1" applyBorder="1" applyAlignment="1">
      <alignment vertical="center"/>
    </xf>
    <xf numFmtId="41" fontId="3" fillId="2" borderId="2" xfId="1" applyNumberFormat="1" applyFont="1" applyFill="1" applyBorder="1" applyAlignment="1">
      <alignment horizontal="center" vertical="center"/>
    </xf>
    <xf numFmtId="41" fontId="3" fillId="2" borderId="2" xfId="0" applyNumberFormat="1" applyFont="1" applyFill="1" applyBorder="1" applyAlignment="1">
      <alignment horizontal="center" vertical="center"/>
    </xf>
    <xf numFmtId="176" fontId="3" fillId="2" borderId="2" xfId="1" applyNumberFormat="1" applyFont="1" applyFill="1" applyBorder="1" applyAlignment="1">
      <alignment horizontal="right" vertical="center"/>
    </xf>
    <xf numFmtId="0" fontId="6" fillId="3" borderId="2" xfId="0" applyFont="1" applyFill="1" applyBorder="1" applyAlignment="1">
      <alignment horizontal="center" vertical="center"/>
    </xf>
    <xf numFmtId="41" fontId="6" fillId="3" borderId="2" xfId="0" applyNumberFormat="1" applyFont="1" applyFill="1" applyBorder="1" applyAlignment="1">
      <alignment horizontal="center" vertical="center"/>
    </xf>
    <xf numFmtId="176" fontId="6" fillId="3" borderId="2" xfId="1" applyNumberFormat="1" applyFont="1" applyFill="1" applyBorder="1" applyAlignment="1">
      <alignment horizontal="right" vertical="center"/>
    </xf>
    <xf numFmtId="0" fontId="2" fillId="0" borderId="0" xfId="0" applyFont="1" applyFill="1" applyBorder="1" applyAlignment="1"/>
    <xf numFmtId="0" fontId="0" fillId="2"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2" xfId="0" applyFont="1" applyFill="1" applyBorder="1" applyAlignment="1">
      <alignment horizontal="left" vertical="center"/>
    </xf>
    <xf numFmtId="41" fontId="3" fillId="0" borderId="2" xfId="1" applyNumberFormat="1" applyFont="1" applyFill="1" applyBorder="1" applyAlignment="1">
      <alignment horizontal="center" vertical="center"/>
    </xf>
    <xf numFmtId="0" fontId="3" fillId="0" borderId="2" xfId="0" applyFont="1" applyFill="1" applyBorder="1" applyAlignment="1">
      <alignment horizontal="right" vertical="center" wrapText="1"/>
    </xf>
    <xf numFmtId="41" fontId="7" fillId="3" borderId="2" xfId="1" applyNumberFormat="1" applyFont="1" applyFill="1" applyBorder="1" applyAlignment="1">
      <alignment horizontal="center" vertical="center"/>
    </xf>
    <xf numFmtId="41" fontId="0" fillId="3" borderId="0"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right" vertical="center" wrapText="1"/>
    </xf>
    <xf numFmtId="0" fontId="3" fillId="2" borderId="2" xfId="65" applyFont="1" applyFill="1" applyBorder="1" applyAlignment="1">
      <alignment horizontal="left" vertical="center"/>
    </xf>
    <xf numFmtId="0" fontId="3" fillId="2" borderId="2" xfId="0" applyFont="1" applyFill="1" applyBorder="1" applyAlignment="1">
      <alignment horizontal="left" vertical="center" wrapText="1"/>
    </xf>
    <xf numFmtId="41" fontId="0" fillId="3" borderId="2" xfId="0" applyNumberFormat="1" applyFont="1" applyFill="1" applyBorder="1" applyAlignment="1">
      <alignment horizontal="center" vertical="center"/>
    </xf>
    <xf numFmtId="0" fontId="8" fillId="0" borderId="0" xfId="0" applyFont="1" applyFill="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9" fillId="0" borderId="10" xfId="68" applyFont="1" applyBorder="1" applyAlignment="1">
      <alignment horizontal="left" vertical="center" wrapText="1"/>
    </xf>
    <xf numFmtId="0" fontId="9" fillId="0" borderId="2" xfId="68" applyFont="1" applyBorder="1" applyAlignment="1">
      <alignment vertical="center" wrapText="1"/>
    </xf>
    <xf numFmtId="177" fontId="0" fillId="0" borderId="2" xfId="0" applyNumberFormat="1" applyFont="1" applyFill="1" applyBorder="1" applyAlignment="1">
      <alignment horizontal="center" vertical="center"/>
    </xf>
    <xf numFmtId="177" fontId="0" fillId="4" borderId="2" xfId="0" applyNumberFormat="1" applyFont="1" applyFill="1" applyBorder="1" applyAlignment="1">
      <alignment horizontal="center" vertical="center"/>
    </xf>
    <xf numFmtId="0" fontId="0" fillId="0" borderId="11" xfId="0" applyFont="1" applyFill="1" applyBorder="1" applyAlignment="1">
      <alignment horizontal="left" vertical="center"/>
    </xf>
    <xf numFmtId="0" fontId="9" fillId="0" borderId="11" xfId="0" applyFont="1" applyFill="1" applyBorder="1" applyAlignment="1">
      <alignment horizontal="left" vertical="center"/>
    </xf>
    <xf numFmtId="0" fontId="6" fillId="0" borderId="10" xfId="68" applyFont="1" applyBorder="1" applyAlignment="1">
      <alignment horizontal="left" vertical="center" wrapText="1"/>
    </xf>
    <xf numFmtId="0" fontId="6" fillId="0" borderId="2" xfId="68" applyFont="1" applyBorder="1" applyAlignment="1">
      <alignment horizontal="center" vertical="center" wrapText="1"/>
    </xf>
    <xf numFmtId="0" fontId="9" fillId="0" borderId="2" xfId="68" applyFont="1" applyBorder="1" applyAlignment="1">
      <alignment horizontal="left" vertical="center" wrapText="1"/>
    </xf>
    <xf numFmtId="0" fontId="6" fillId="0" borderId="12" xfId="68" applyFont="1" applyBorder="1" applyAlignment="1">
      <alignment horizontal="left" vertical="center" wrapText="1"/>
    </xf>
    <xf numFmtId="0" fontId="6" fillId="0" borderId="13" xfId="68" applyFont="1" applyBorder="1" applyAlignment="1">
      <alignment horizontal="center" vertical="center" wrapText="1"/>
    </xf>
    <xf numFmtId="177" fontId="0" fillId="0" borderId="13" xfId="0" applyNumberFormat="1" applyFont="1" applyFill="1" applyBorder="1" applyAlignment="1">
      <alignment horizontal="center" vertical="center"/>
    </xf>
    <xf numFmtId="0" fontId="0" fillId="0" borderId="14" xfId="0" applyFont="1" applyFill="1" applyBorder="1" applyAlignment="1">
      <alignment horizontal="left" vertical="center"/>
    </xf>
    <xf numFmtId="0" fontId="9" fillId="0" borderId="10" xfId="68" applyFont="1" applyBorder="1" applyAlignment="1">
      <alignment vertical="center" wrapText="1"/>
    </xf>
    <xf numFmtId="0" fontId="0" fillId="0" borderId="11" xfId="0" applyFont="1" applyFill="1" applyBorder="1" applyAlignment="1">
      <alignment vertical="center"/>
    </xf>
    <xf numFmtId="0" fontId="0" fillId="0" borderId="11" xfId="0" applyFont="1" applyFill="1" applyBorder="1" applyAlignment="1">
      <alignment horizontal="right" vertical="center"/>
    </xf>
    <xf numFmtId="0" fontId="9" fillId="0" borderId="10" xfId="68" applyFont="1" applyBorder="1" applyAlignment="1">
      <alignment vertical="center"/>
    </xf>
    <xf numFmtId="0" fontId="9" fillId="0" borderId="15" xfId="68" applyFont="1" applyBorder="1" applyAlignment="1">
      <alignment vertical="center" wrapText="1"/>
    </xf>
    <xf numFmtId="177" fontId="0" fillId="0" borderId="5" xfId="0" applyNumberFormat="1" applyFont="1" applyFill="1" applyBorder="1" applyAlignment="1">
      <alignment horizontal="center" vertical="center"/>
    </xf>
    <xf numFmtId="0" fontId="0" fillId="0" borderId="16" xfId="0" applyFont="1" applyFill="1" applyBorder="1" applyAlignment="1">
      <alignment vertical="center"/>
    </xf>
    <xf numFmtId="0" fontId="6" fillId="0" borderId="17" xfId="68" applyFont="1" applyBorder="1" applyAlignment="1">
      <alignment horizontal="center" vertical="center" wrapText="1"/>
    </xf>
    <xf numFmtId="177" fontId="0" fillId="0" borderId="18" xfId="0" applyNumberFormat="1" applyFont="1" applyFill="1" applyBorder="1" applyAlignment="1">
      <alignment horizontal="center" vertical="center"/>
    </xf>
    <xf numFmtId="0" fontId="0" fillId="0" borderId="19" xfId="0" applyFont="1" applyFill="1" applyBorder="1" applyAlignment="1">
      <alignment vertical="center"/>
    </xf>
    <xf numFmtId="0" fontId="9" fillId="0" borderId="20" xfId="68" applyFont="1" applyBorder="1" applyAlignment="1">
      <alignment vertical="center" wrapText="1"/>
    </xf>
    <xf numFmtId="177" fontId="0" fillId="0" borderId="4" xfId="0" applyNumberFormat="1" applyFont="1" applyFill="1" applyBorder="1" applyAlignment="1">
      <alignment horizontal="center" vertical="center"/>
    </xf>
    <xf numFmtId="0" fontId="0" fillId="0" borderId="21" xfId="0" applyFont="1" applyFill="1" applyBorder="1" applyAlignment="1">
      <alignment vertical="center"/>
    </xf>
    <xf numFmtId="0" fontId="2" fillId="0" borderId="17" xfId="68" applyFont="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178" fontId="10"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178" fontId="10" fillId="0" borderId="23" xfId="0" applyNumberFormat="1" applyFont="1" applyFill="1" applyBorder="1" applyAlignment="1">
      <alignment horizontal="center" vertical="center"/>
    </xf>
    <xf numFmtId="0" fontId="10" fillId="0" borderId="24" xfId="0" applyFont="1" applyFill="1" applyBorder="1" applyAlignment="1">
      <alignment horizontal="center" vertical="center"/>
    </xf>
    <xf numFmtId="0" fontId="10" fillId="0" borderId="2" xfId="0" applyFont="1" applyFill="1" applyBorder="1" applyAlignment="1">
      <alignment horizontal="center" vertical="center" wrapText="1"/>
    </xf>
    <xf numFmtId="178" fontId="10" fillId="0" borderId="2" xfId="0" applyNumberFormat="1" applyFont="1" applyFill="1" applyBorder="1" applyAlignment="1">
      <alignment horizontal="center" vertical="center"/>
    </xf>
    <xf numFmtId="0" fontId="10" fillId="0" borderId="2" xfId="0" applyFont="1" applyFill="1" applyBorder="1" applyAlignment="1">
      <alignment vertical="center" wrapText="1"/>
    </xf>
    <xf numFmtId="176" fontId="10" fillId="0" borderId="22" xfId="0" applyNumberFormat="1" applyFont="1" applyFill="1" applyBorder="1" applyAlignment="1">
      <alignment horizontal="center" vertical="center"/>
    </xf>
    <xf numFmtId="0" fontId="10" fillId="0" borderId="2" xfId="0" applyFont="1" applyFill="1" applyBorder="1" applyAlignment="1">
      <alignment vertical="center"/>
    </xf>
    <xf numFmtId="176" fontId="10" fillId="0" borderId="2" xfId="0" applyNumberFormat="1" applyFont="1" applyFill="1" applyBorder="1" applyAlignment="1">
      <alignment horizontal="center" vertical="center"/>
    </xf>
    <xf numFmtId="0" fontId="12" fillId="0" borderId="0" xfId="0" applyFont="1" applyFill="1" applyBorder="1" applyAlignment="1"/>
    <xf numFmtId="0" fontId="12" fillId="0" borderId="0" xfId="0" applyNumberFormat="1" applyFont="1" applyFill="1" applyBorder="1" applyAlignment="1"/>
    <xf numFmtId="0" fontId="12" fillId="0" borderId="0" xfId="0" applyFont="1" applyFill="1" applyBorder="1" applyAlignment="1">
      <alignment horizontal="center" vertical="center"/>
    </xf>
    <xf numFmtId="0" fontId="12" fillId="0" borderId="0" xfId="0" applyNumberFormat="1" applyFont="1" applyFill="1" applyBorder="1" applyAlignment="1">
      <alignment wrapText="1"/>
    </xf>
    <xf numFmtId="0" fontId="12" fillId="0" borderId="0" xfId="0" applyNumberFormat="1" applyFont="1" applyFill="1" applyBorder="1" applyAlignment="1">
      <alignment horizontal="left" wrapText="1"/>
    </xf>
    <xf numFmtId="0" fontId="9" fillId="0" borderId="0" xfId="0"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178" fontId="15" fillId="0" borderId="2" xfId="0" applyNumberFormat="1" applyFont="1" applyFill="1" applyBorder="1" applyAlignment="1">
      <alignment horizontal="center" vertical="center" wrapText="1"/>
    </xf>
    <xf numFmtId="178" fontId="15" fillId="0" borderId="2" xfId="0" applyNumberFormat="1" applyFont="1" applyFill="1" applyBorder="1" applyAlignment="1" applyProtection="1">
      <alignment horizontal="center" vertical="center" wrapText="1"/>
      <protection locked="0"/>
    </xf>
    <xf numFmtId="0" fontId="15" fillId="5" borderId="2" xfId="0" applyNumberFormat="1" applyFont="1" applyFill="1" applyBorder="1" applyAlignment="1">
      <alignment horizontal="center" vertical="center" wrapText="1"/>
    </xf>
    <xf numFmtId="0" fontId="15" fillId="5" borderId="2" xfId="0" applyNumberFormat="1" applyFont="1" applyFill="1" applyBorder="1" applyAlignment="1">
      <alignment horizontal="left" vertical="center" wrapText="1"/>
    </xf>
    <xf numFmtId="178" fontId="15" fillId="5" borderId="2" xfId="0" applyNumberFormat="1" applyFont="1" applyFill="1" applyBorder="1" applyAlignment="1">
      <alignment horizontal="center" vertical="center" wrapText="1"/>
    </xf>
    <xf numFmtId="0" fontId="15" fillId="0" borderId="2" xfId="55" applyNumberFormat="1" applyFont="1" applyFill="1" applyBorder="1" applyAlignment="1" applyProtection="1">
      <alignment horizontal="center" vertical="center" wrapText="1"/>
    </xf>
    <xf numFmtId="0" fontId="15" fillId="0" borderId="2" xfId="63" applyNumberFormat="1" applyFont="1" applyFill="1" applyBorder="1" applyAlignment="1">
      <alignment horizontal="left" vertical="center" wrapText="1"/>
    </xf>
    <xf numFmtId="178" fontId="15" fillId="0" borderId="2" xfId="63" applyNumberFormat="1" applyFont="1" applyFill="1" applyBorder="1" applyAlignment="1">
      <alignment horizontal="center" vertical="center" wrapText="1"/>
    </xf>
    <xf numFmtId="178" fontId="15" fillId="0" borderId="2" xfId="49" applyNumberFormat="1" applyFont="1" applyFill="1" applyBorder="1" applyAlignment="1">
      <alignment horizontal="center" vertical="center" wrapText="1"/>
    </xf>
    <xf numFmtId="0" fontId="15" fillId="0" borderId="2" xfId="49" applyNumberFormat="1" applyFont="1" applyFill="1" applyBorder="1" applyAlignment="1">
      <alignment horizontal="left" vertical="center" wrapText="1"/>
    </xf>
    <xf numFmtId="49" fontId="12" fillId="0" borderId="2" xfId="0" applyNumberFormat="1" applyFont="1" applyFill="1" applyBorder="1" applyAlignment="1">
      <alignment horizontal="left" vertical="center" wrapText="1"/>
    </xf>
    <xf numFmtId="0" fontId="16" fillId="0" borderId="2" xfId="55" applyNumberFormat="1" applyFont="1" applyFill="1" applyBorder="1" applyAlignment="1" applyProtection="1">
      <alignment horizontal="center" vertical="center" wrapText="1"/>
    </xf>
    <xf numFmtId="0" fontId="9" fillId="0" borderId="0" xfId="0" applyNumberFormat="1" applyFont="1" applyFill="1" applyBorder="1" applyAlignment="1">
      <alignment horizontal="right" vertical="center" wrapText="1"/>
    </xf>
    <xf numFmtId="0" fontId="14" fillId="0" borderId="25"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0" fontId="14" fillId="0" borderId="27"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4" fillId="0" borderId="29" xfId="0" applyNumberFormat="1" applyFont="1" applyFill="1" applyBorder="1" applyAlignment="1">
      <alignment horizontal="center" vertical="center"/>
    </xf>
    <xf numFmtId="0" fontId="14" fillId="0" borderId="30" xfId="0" applyNumberFormat="1" applyFont="1" applyFill="1" applyBorder="1" applyAlignment="1">
      <alignment horizontal="center" vertical="center"/>
    </xf>
    <xf numFmtId="0" fontId="14" fillId="0" borderId="31" xfId="0" applyNumberFormat="1" applyFont="1" applyFill="1" applyBorder="1" applyAlignment="1">
      <alignment horizontal="center" vertical="center"/>
    </xf>
    <xf numFmtId="0" fontId="15" fillId="0" borderId="24"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178" fontId="15" fillId="5" borderId="2" xfId="0" applyNumberFormat="1" applyFont="1" applyFill="1" applyBorder="1" applyAlignment="1">
      <alignment horizontal="left" vertical="center" wrapText="1"/>
    </xf>
    <xf numFmtId="0" fontId="15" fillId="5" borderId="24" xfId="0" applyNumberFormat="1" applyFont="1" applyFill="1" applyBorder="1" applyAlignment="1">
      <alignment horizontal="center" vertical="center" wrapText="1"/>
    </xf>
    <xf numFmtId="0" fontId="15" fillId="5" borderId="1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178" fontId="9" fillId="0" borderId="2" xfId="0" applyNumberFormat="1" applyFont="1" applyFill="1" applyBorder="1" applyAlignment="1">
      <alignment horizontal="left" vertical="center" wrapText="1"/>
    </xf>
    <xf numFmtId="178" fontId="9" fillId="0" borderId="2" xfId="63" applyNumberFormat="1" applyFont="1" applyFill="1" applyBorder="1" applyAlignment="1">
      <alignment horizontal="left" vertical="center" wrapText="1"/>
    </xf>
    <xf numFmtId="0" fontId="15" fillId="0" borderId="24" xfId="63" applyNumberFormat="1" applyFont="1" applyFill="1" applyBorder="1" applyAlignment="1">
      <alignment horizontal="center" vertical="center" wrapText="1"/>
    </xf>
    <xf numFmtId="0" fontId="15" fillId="0" borderId="2" xfId="63" applyNumberFormat="1" applyFont="1" applyFill="1" applyBorder="1" applyAlignment="1">
      <alignment horizontal="center" vertical="center" wrapText="1"/>
    </xf>
    <xf numFmtId="0" fontId="15" fillId="0" borderId="11" xfId="63" applyNumberFormat="1" applyFont="1" applyFill="1" applyBorder="1" applyAlignment="1">
      <alignment horizontal="center" vertical="center" wrapText="1"/>
    </xf>
    <xf numFmtId="178" fontId="15" fillId="0" borderId="2" xfId="0" applyNumberFormat="1" applyFont="1" applyFill="1" applyBorder="1" applyAlignment="1">
      <alignment horizontal="left" vertical="center" wrapText="1"/>
    </xf>
    <xf numFmtId="178" fontId="15" fillId="0" borderId="2" xfId="49" applyNumberFormat="1" applyFont="1" applyFill="1" applyBorder="1" applyAlignment="1">
      <alignment horizontal="left" vertical="center" wrapText="1"/>
    </xf>
    <xf numFmtId="178" fontId="17" fillId="0" borderId="2" xfId="49" applyNumberFormat="1" applyFont="1" applyFill="1" applyBorder="1" applyAlignment="1">
      <alignment horizontal="left" vertical="center" wrapText="1"/>
    </xf>
    <xf numFmtId="178" fontId="15" fillId="0" borderId="2" xfId="63"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15"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9" fillId="0" borderId="24"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5" borderId="2" xfId="0" applyFont="1" applyFill="1" applyBorder="1" applyAlignment="1">
      <alignment horizontal="left" vertical="center"/>
    </xf>
    <xf numFmtId="0" fontId="12" fillId="5" borderId="2" xfId="0" applyNumberFormat="1" applyFont="1" applyFill="1" applyBorder="1" applyAlignment="1"/>
    <xf numFmtId="0" fontId="20" fillId="5" borderId="2" xfId="0" applyFont="1" applyFill="1" applyBorder="1" applyAlignment="1">
      <alignment horizontal="center" vertical="center"/>
    </xf>
    <xf numFmtId="0" fontId="20" fillId="5" borderId="2" xfId="0" applyFont="1" applyFill="1" applyBorder="1" applyAlignment="1">
      <alignment horizontal="center" vertical="center" wrapText="1"/>
    </xf>
    <xf numFmtId="0" fontId="20" fillId="5" borderId="2" xfId="0" applyFont="1" applyFill="1" applyBorder="1" applyAlignment="1">
      <alignment horizontal="left" vertical="center"/>
    </xf>
    <xf numFmtId="178" fontId="20" fillId="5" borderId="2" xfId="0" applyNumberFormat="1" applyFont="1" applyFill="1" applyBorder="1" applyAlignment="1">
      <alignment horizontal="center" vertical="center"/>
    </xf>
    <xf numFmtId="0" fontId="21" fillId="5" borderId="2" xfId="0" applyFont="1" applyFill="1" applyBorder="1" applyAlignment="1">
      <alignment horizontal="center" vertical="center" wrapText="1"/>
    </xf>
    <xf numFmtId="0" fontId="21" fillId="5" borderId="2" xfId="0" applyFont="1" applyFill="1" applyBorder="1" applyAlignment="1">
      <alignment horizontal="left" vertical="center" wrapText="1"/>
    </xf>
    <xf numFmtId="0" fontId="20" fillId="5" borderId="2" xfId="0" applyNumberFormat="1" applyFont="1" applyFill="1" applyBorder="1" applyAlignment="1"/>
    <xf numFmtId="0" fontId="12" fillId="5" borderId="24" xfId="0" applyNumberFormat="1" applyFont="1" applyFill="1" applyBorder="1" applyAlignment="1"/>
    <xf numFmtId="0" fontId="12" fillId="5" borderId="2" xfId="0" applyFont="1" applyFill="1" applyBorder="1" applyAlignment="1"/>
    <xf numFmtId="0" fontId="12" fillId="0" borderId="24" xfId="0" applyFont="1" applyFill="1" applyBorder="1" applyAlignment="1"/>
    <xf numFmtId="178" fontId="20" fillId="5" borderId="2" xfId="0" applyNumberFormat="1" applyFont="1" applyFill="1" applyBorder="1" applyAlignment="1">
      <alignment horizontal="left" vertical="center"/>
    </xf>
    <xf numFmtId="0" fontId="12" fillId="5" borderId="11" xfId="0" applyFont="1" applyFill="1" applyBorder="1" applyAlignment="1"/>
    <xf numFmtId="0" fontId="12" fillId="5" borderId="32" xfId="0" applyNumberFormat="1" applyFont="1" applyFill="1" applyBorder="1" applyAlignment="1"/>
    <xf numFmtId="0" fontId="12" fillId="5" borderId="13" xfId="0" applyFont="1" applyFill="1" applyBorder="1" applyAlignment="1"/>
    <xf numFmtId="0" fontId="12" fillId="5" borderId="14" xfId="0" applyFont="1" applyFill="1" applyBorder="1" applyAlignment="1"/>
    <xf numFmtId="0" fontId="22" fillId="0" borderId="0" xfId="0" applyFont="1" applyFill="1" applyAlignment="1">
      <alignment vertical="center"/>
    </xf>
    <xf numFmtId="0" fontId="23" fillId="0" borderId="0" xfId="0" applyFont="1" applyFill="1" applyAlignment="1">
      <alignment vertical="center"/>
    </xf>
    <xf numFmtId="49" fontId="0" fillId="0" borderId="0" xfId="56" applyNumberFormat="1" applyFill="1" applyAlignment="1">
      <alignment horizontal="center" vertical="center"/>
    </xf>
    <xf numFmtId="0" fontId="0" fillId="0" borderId="0" xfId="56" applyFill="1" applyAlignment="1">
      <alignment vertical="center"/>
    </xf>
    <xf numFmtId="176" fontId="0" fillId="0" borderId="0" xfId="0" applyNumberFormat="1" applyFont="1" applyFill="1" applyBorder="1" applyAlignment="1">
      <alignment vertical="center"/>
    </xf>
    <xf numFmtId="0" fontId="24" fillId="0" borderId="0" xfId="0" applyFont="1" applyFill="1" applyBorder="1" applyAlignment="1">
      <alignment horizontal="left" vertical="center"/>
    </xf>
    <xf numFmtId="41" fontId="24" fillId="0" borderId="0" xfId="0" applyNumberFormat="1" applyFont="1" applyFill="1" applyBorder="1" applyAlignment="1">
      <alignment horizontal="center" vertical="center"/>
    </xf>
    <xf numFmtId="41" fontId="24" fillId="0" borderId="0" xfId="0" applyNumberFormat="1" applyFont="1" applyFill="1" applyBorder="1" applyAlignment="1">
      <alignment horizontal="center" vertical="center" wrapText="1"/>
    </xf>
    <xf numFmtId="41" fontId="24" fillId="0" borderId="0" xfId="0" applyNumberFormat="1" applyFont="1" applyFill="1" applyBorder="1" applyAlignment="1">
      <alignment horizontal="left" vertical="center" wrapText="1"/>
    </xf>
    <xf numFmtId="0" fontId="25" fillId="0" borderId="0" xfId="0" applyFont="1" applyFill="1" applyAlignment="1">
      <alignment horizontal="center" vertical="center"/>
    </xf>
    <xf numFmtId="0" fontId="24" fillId="0" borderId="0" xfId="0" applyFont="1" applyFill="1" applyAlignment="1">
      <alignment vertical="center"/>
    </xf>
    <xf numFmtId="41" fontId="24" fillId="0" borderId="0" xfId="0" applyNumberFormat="1" applyFont="1" applyFill="1" applyAlignment="1">
      <alignment vertical="center"/>
    </xf>
    <xf numFmtId="49" fontId="2"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wrapText="1"/>
    </xf>
    <xf numFmtId="49" fontId="2" fillId="0" borderId="10"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9" fontId="2" fillId="0" borderId="2" xfId="0" applyNumberFormat="1" applyFont="1" applyFill="1" applyBorder="1" applyAlignment="1">
      <alignment horizontal="center" vertical="center" wrapText="1"/>
    </xf>
    <xf numFmtId="49" fontId="9" fillId="0" borderId="10"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180" fontId="1" fillId="0" borderId="2" xfId="1" applyNumberFormat="1" applyFont="1" applyFill="1" applyBorder="1" applyAlignment="1">
      <alignment vertical="center"/>
    </xf>
    <xf numFmtId="181"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vertical="center" wrapText="1"/>
    </xf>
    <xf numFmtId="49" fontId="26" fillId="0" borderId="2" xfId="0" applyNumberFormat="1" applyFont="1" applyFill="1" applyBorder="1" applyAlignment="1">
      <alignment vertical="center" wrapText="1"/>
    </xf>
    <xf numFmtId="180" fontId="1" fillId="0" borderId="2" xfId="66" applyNumberFormat="1" applyFont="1" applyFill="1" applyBorder="1" applyAlignment="1">
      <alignment vertical="center"/>
    </xf>
    <xf numFmtId="180" fontId="27" fillId="0" borderId="2" xfId="1" applyNumberFormat="1" applyFont="1" applyFill="1" applyBorder="1" applyAlignment="1">
      <alignment vertical="center"/>
    </xf>
    <xf numFmtId="180" fontId="27" fillId="0" borderId="2" xfId="66" applyNumberFormat="1" applyFont="1" applyFill="1" applyBorder="1" applyAlignment="1">
      <alignment vertical="center"/>
    </xf>
    <xf numFmtId="0" fontId="22" fillId="0" borderId="0" xfId="0" applyFont="1" applyFill="1" applyAlignment="1">
      <alignment horizontal="left" vertical="center"/>
    </xf>
    <xf numFmtId="0" fontId="22" fillId="0" borderId="0" xfId="0" applyFont="1" applyFill="1" applyAlignment="1">
      <alignment horizontal="center" vertical="center"/>
    </xf>
    <xf numFmtId="176" fontId="2" fillId="0" borderId="8"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80" fontId="1" fillId="0" borderId="2" xfId="0" applyNumberFormat="1" applyFont="1" applyFill="1" applyBorder="1" applyAlignment="1">
      <alignment vertical="center"/>
    </xf>
    <xf numFmtId="0" fontId="22" fillId="0" borderId="0" xfId="0" applyFont="1" applyFill="1" applyAlignment="1">
      <alignment horizontal="right"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1" xfId="0" applyFont="1" applyFill="1" applyBorder="1" applyAlignment="1">
      <alignment vertical="center"/>
    </xf>
    <xf numFmtId="0" fontId="9" fillId="0" borderId="11" xfId="0" applyFont="1" applyFill="1" applyBorder="1" applyAlignment="1">
      <alignment vertical="center" wrapText="1"/>
    </xf>
    <xf numFmtId="49" fontId="9" fillId="0" borderId="10" xfId="0" applyNumberFormat="1" applyFont="1" applyFill="1" applyBorder="1" applyAlignment="1">
      <alignment vertical="center" wrapText="1"/>
    </xf>
    <xf numFmtId="49" fontId="9" fillId="0" borderId="2" xfId="0" applyNumberFormat="1" applyFont="1" applyFill="1" applyBorder="1" applyAlignment="1">
      <alignment horizontal="center" vertical="center" wrapText="1"/>
    </xf>
    <xf numFmtId="49" fontId="26"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left" vertical="center"/>
    </xf>
    <xf numFmtId="0" fontId="9" fillId="0" borderId="2" xfId="0" applyFont="1" applyFill="1" applyBorder="1" applyAlignment="1">
      <alignment horizontal="left" vertical="center"/>
    </xf>
    <xf numFmtId="49" fontId="9" fillId="0" borderId="12" xfId="0" applyNumberFormat="1" applyFont="1" applyFill="1" applyBorder="1" applyAlignment="1">
      <alignment horizontal="center" vertical="center" wrapText="1"/>
    </xf>
    <xf numFmtId="181" fontId="9" fillId="0" borderId="13"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180" fontId="1" fillId="0" borderId="13" xfId="1" applyNumberFormat="1" applyFont="1" applyFill="1" applyBorder="1" applyAlignment="1">
      <alignment vertical="center"/>
    </xf>
    <xf numFmtId="180" fontId="0" fillId="0" borderId="0" xfId="0" applyNumberFormat="1" applyFont="1" applyFill="1" applyBorder="1" applyAlignment="1">
      <alignment vertical="center"/>
    </xf>
    <xf numFmtId="180" fontId="1" fillId="0" borderId="13" xfId="0" applyNumberFormat="1" applyFont="1" applyFill="1" applyBorder="1" applyAlignment="1">
      <alignment vertical="center"/>
    </xf>
    <xf numFmtId="0" fontId="9" fillId="0" borderId="14" xfId="0" applyFont="1" applyFill="1" applyBorder="1" applyAlignment="1">
      <alignment vertical="center"/>
    </xf>
    <xf numFmtId="0" fontId="7" fillId="0" borderId="0" xfId="0" applyFont="1" applyFill="1" applyAlignment="1"/>
    <xf numFmtId="0" fontId="7" fillId="0" borderId="0" xfId="0" applyFont="1" applyFill="1" applyAlignment="1">
      <alignment horizontal="center" vertical="center"/>
    </xf>
    <xf numFmtId="0" fontId="28"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wrapText="1"/>
    </xf>
    <xf numFmtId="0" fontId="7" fillId="0" borderId="0" xfId="0" applyFont="1" applyFill="1" applyAlignment="1">
      <alignment horizontal="left"/>
    </xf>
    <xf numFmtId="0" fontId="29" fillId="0" borderId="0" xfId="0" applyFont="1" applyFill="1" applyAlignment="1">
      <alignment vertical="center" wrapText="1"/>
    </xf>
    <xf numFmtId="0" fontId="30" fillId="0" borderId="0" xfId="0" applyFont="1" applyFill="1" applyAlignment="1">
      <alignment vertical="center" wrapText="1"/>
    </xf>
    <xf numFmtId="0" fontId="31"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3" borderId="7" xfId="58" applyFont="1" applyFill="1" applyBorder="1" applyAlignment="1">
      <alignment horizontal="center" vertical="center" wrapText="1"/>
    </xf>
    <xf numFmtId="0" fontId="6" fillId="3" borderId="8" xfId="58"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20" xfId="58" applyFont="1" applyFill="1" applyBorder="1" applyAlignment="1">
      <alignment horizontal="center" vertical="center" wrapText="1"/>
    </xf>
    <xf numFmtId="0" fontId="9" fillId="3" borderId="4" xfId="58"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78" fontId="9"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176" fontId="9" fillId="0" borderId="4" xfId="67" applyNumberFormat="1" applyFont="1" applyBorder="1" applyAlignment="1">
      <alignment horizontal="center" vertical="center" wrapText="1"/>
    </xf>
    <xf numFmtId="0" fontId="9" fillId="0" borderId="4" xfId="0" applyFont="1" applyFill="1" applyBorder="1" applyAlignment="1">
      <alignment horizontal="center" vertical="center" wrapText="1"/>
    </xf>
    <xf numFmtId="176" fontId="9" fillId="0" borderId="2" xfId="67" applyNumberFormat="1" applyFont="1" applyBorder="1" applyAlignment="1">
      <alignment horizontal="center" vertical="center" wrapText="1"/>
    </xf>
    <xf numFmtId="0" fontId="32" fillId="0" borderId="10" xfId="0" applyFont="1" applyFill="1" applyBorder="1" applyAlignment="1">
      <alignment horizontal="center" vertical="center"/>
    </xf>
    <xf numFmtId="0" fontId="32" fillId="0" borderId="2" xfId="0" applyFont="1" applyFill="1" applyBorder="1" applyAlignment="1">
      <alignment horizontal="center" vertical="center"/>
    </xf>
    <xf numFmtId="176" fontId="14" fillId="3" borderId="2" xfId="58"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0" fontId="33" fillId="0" borderId="2" xfId="52" applyFont="1" applyBorder="1" applyAlignment="1">
      <alignment horizontal="center" vertical="center" wrapText="1"/>
    </xf>
    <xf numFmtId="0" fontId="29" fillId="0" borderId="5" xfId="0" applyFont="1" applyFill="1" applyBorder="1" applyAlignment="1">
      <alignment horizontal="center" vertical="center" wrapText="1"/>
    </xf>
    <xf numFmtId="176" fontId="9" fillId="3" borderId="2" xfId="58"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9" fillId="3" borderId="2" xfId="50" applyFont="1" applyFill="1" applyBorder="1" applyAlignment="1">
      <alignment horizontal="center" vertical="center" wrapText="1"/>
    </xf>
    <xf numFmtId="0" fontId="9" fillId="3" borderId="2" xfId="52"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176" fontId="9" fillId="3" borderId="4" xfId="58" applyNumberFormat="1" applyFont="1" applyFill="1" applyBorder="1" applyAlignment="1">
      <alignment horizontal="center" vertical="center" wrapText="1"/>
    </xf>
    <xf numFmtId="0" fontId="9" fillId="0" borderId="2" xfId="0" applyFont="1" applyFill="1" applyBorder="1" applyAlignment="1">
      <alignment horizontal="center" vertical="center"/>
    </xf>
    <xf numFmtId="176" fontId="9" fillId="3" borderId="2" xfId="67" applyNumberFormat="1" applyFont="1" applyFill="1" applyBorder="1" applyAlignment="1">
      <alignment horizontal="center" vertical="center" wrapText="1"/>
    </xf>
    <xf numFmtId="182" fontId="9"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wrapText="1"/>
    </xf>
    <xf numFmtId="183" fontId="9" fillId="3" borderId="2" xfId="67" applyNumberFormat="1" applyFont="1" applyFill="1" applyBorder="1" applyAlignment="1">
      <alignment horizontal="center" vertical="center" wrapText="1"/>
    </xf>
    <xf numFmtId="0" fontId="29" fillId="0" borderId="0" xfId="0" applyFont="1" applyFill="1" applyAlignment="1">
      <alignment horizontal="center" vertical="center" wrapText="1"/>
    </xf>
    <xf numFmtId="176" fontId="29" fillId="0" borderId="2" xfId="0" applyNumberFormat="1" applyFont="1" applyFill="1" applyBorder="1" applyAlignment="1">
      <alignment horizontal="center" vertical="center" wrapText="1"/>
    </xf>
    <xf numFmtId="184" fontId="29" fillId="0" borderId="2" xfId="0" applyNumberFormat="1" applyFont="1" applyFill="1" applyBorder="1" applyAlignment="1">
      <alignment horizontal="center" vertical="center"/>
    </xf>
    <xf numFmtId="176" fontId="9" fillId="3" borderId="4" xfId="0" applyNumberFormat="1" applyFont="1" applyFill="1" applyBorder="1" applyAlignment="1">
      <alignment horizontal="center" vertical="center" wrapText="1"/>
    </xf>
    <xf numFmtId="0" fontId="29" fillId="0" borderId="33" xfId="0" applyFont="1" applyFill="1" applyBorder="1" applyAlignment="1">
      <alignment horizontal="center" vertical="center" wrapText="1"/>
    </xf>
    <xf numFmtId="0" fontId="9" fillId="3" borderId="2" xfId="57" applyFont="1" applyFill="1" applyBorder="1" applyAlignment="1">
      <alignment horizontal="center" vertical="center" wrapText="1"/>
    </xf>
    <xf numFmtId="184" fontId="9" fillId="3" borderId="2" xfId="67" applyNumberFormat="1" applyFont="1" applyFill="1" applyBorder="1" applyAlignment="1">
      <alignment horizontal="center" vertical="center" wrapText="1"/>
    </xf>
    <xf numFmtId="0" fontId="32" fillId="0" borderId="34"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24" xfId="0" applyFont="1" applyFill="1" applyBorder="1" applyAlignment="1">
      <alignment horizontal="center" vertical="center" wrapText="1"/>
    </xf>
    <xf numFmtId="183" fontId="14" fillId="0" borderId="2" xfId="50" applyNumberFormat="1" applyFont="1" applyFill="1" applyBorder="1" applyAlignment="1">
      <alignment horizontal="center" vertical="center" wrapText="1"/>
    </xf>
    <xf numFmtId="176" fontId="14" fillId="0" borderId="2" xfId="67" applyNumberFormat="1" applyFont="1" applyBorder="1" applyAlignment="1">
      <alignment horizontal="center" vertical="center" wrapText="1"/>
    </xf>
    <xf numFmtId="0" fontId="32" fillId="0" borderId="34"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2" fillId="0" borderId="24" xfId="0" applyFont="1" applyFill="1" applyBorder="1" applyAlignment="1">
      <alignment horizontal="left" vertical="center" wrapText="1"/>
    </xf>
    <xf numFmtId="183" fontId="32" fillId="0" borderId="2" xfId="0" applyNumberFormat="1" applyFont="1" applyFill="1" applyBorder="1" applyAlignment="1">
      <alignment horizontal="center" vertical="center"/>
    </xf>
    <xf numFmtId="0" fontId="29" fillId="0" borderId="2" xfId="0" applyFont="1" applyFill="1" applyBorder="1" applyAlignment="1">
      <alignment vertical="center"/>
    </xf>
    <xf numFmtId="176" fontId="14" fillId="0" borderId="2" xfId="67" applyNumberFormat="1" applyFont="1" applyFill="1" applyBorder="1" applyAlignment="1">
      <alignment horizontal="center" vertical="center" wrapText="1"/>
    </xf>
    <xf numFmtId="0" fontId="29" fillId="0" borderId="2" xfId="0" applyFont="1" applyFill="1" applyBorder="1" applyAlignment="1"/>
    <xf numFmtId="0" fontId="32" fillId="0" borderId="35" xfId="0" applyFont="1" applyFill="1" applyBorder="1" applyAlignment="1">
      <alignment horizontal="center" vertical="center" wrapText="1"/>
    </xf>
    <xf numFmtId="0" fontId="32" fillId="0" borderId="36" xfId="0" applyFont="1" applyFill="1" applyBorder="1" applyAlignment="1">
      <alignment horizontal="center" vertical="center" wrapText="1"/>
    </xf>
    <xf numFmtId="0" fontId="32" fillId="0" borderId="37" xfId="0" applyFont="1" applyFill="1" applyBorder="1" applyAlignment="1">
      <alignment horizontal="center" vertical="center" wrapText="1"/>
    </xf>
    <xf numFmtId="176" fontId="32" fillId="0" borderId="13" xfId="0" applyNumberFormat="1" applyFont="1" applyFill="1" applyBorder="1" applyAlignment="1">
      <alignment vertical="center"/>
    </xf>
    <xf numFmtId="176" fontId="32" fillId="0" borderId="13"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6" fillId="3" borderId="9" xfId="0" applyFont="1" applyFill="1" applyBorder="1" applyAlignment="1">
      <alignment horizontal="center" vertical="center" wrapText="1"/>
    </xf>
    <xf numFmtId="0" fontId="9" fillId="3" borderId="4" xfId="58" applyFont="1" applyFill="1" applyBorder="1" applyAlignment="1">
      <alignment horizontal="left" vertical="center" wrapText="1"/>
    </xf>
    <xf numFmtId="0" fontId="29"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9" fillId="3" borderId="2" xfId="0" applyFont="1" applyFill="1" applyBorder="1" applyAlignment="1">
      <alignment horizontal="left" vertical="center" wrapText="1"/>
    </xf>
    <xf numFmtId="0" fontId="14" fillId="3" borderId="2" xfId="58" applyFont="1" applyFill="1" applyBorder="1" applyAlignment="1">
      <alignment horizontal="left" vertical="center" wrapText="1"/>
    </xf>
    <xf numFmtId="0" fontId="9" fillId="3" borderId="11" xfId="59" applyFont="1" applyFill="1" applyBorder="1" applyAlignment="1">
      <alignment horizontal="center" vertical="center" wrapText="1"/>
    </xf>
    <xf numFmtId="0" fontId="9" fillId="3" borderId="5" xfId="58" applyFont="1" applyFill="1" applyBorder="1" applyAlignment="1">
      <alignment horizontal="left" vertical="center" wrapText="1"/>
    </xf>
    <xf numFmtId="57" fontId="9" fillId="3" borderId="2" xfId="0" applyNumberFormat="1" applyFont="1" applyFill="1" applyBorder="1" applyAlignment="1">
      <alignment horizontal="left" vertical="center" wrapText="1"/>
    </xf>
    <xf numFmtId="176" fontId="9" fillId="0" borderId="4" xfId="67"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176" fontId="9" fillId="0" borderId="2" xfId="67" applyNumberFormat="1" applyFont="1" applyFill="1" applyBorder="1" applyAlignment="1">
      <alignment horizontal="center" vertical="center" wrapText="1"/>
    </xf>
    <xf numFmtId="176" fontId="9" fillId="0" borderId="2" xfId="67" applyNumberFormat="1" applyFont="1" applyBorder="1" applyAlignment="1">
      <alignment horizontal="left" vertical="center" wrapText="1"/>
    </xf>
    <xf numFmtId="176" fontId="14" fillId="0" borderId="4" xfId="67" applyNumberFormat="1" applyFont="1" applyBorder="1" applyAlignment="1">
      <alignment horizontal="center" vertical="center" wrapText="1"/>
    </xf>
    <xf numFmtId="0" fontId="29" fillId="0" borderId="11" xfId="0" applyFont="1" applyFill="1" applyBorder="1" applyAlignment="1"/>
    <xf numFmtId="0" fontId="29" fillId="0" borderId="11" xfId="0" applyFont="1" applyFill="1" applyBorder="1" applyAlignment="1">
      <alignment vertical="center"/>
    </xf>
    <xf numFmtId="176" fontId="14" fillId="0" borderId="11" xfId="67" applyNumberFormat="1" applyFont="1" applyFill="1" applyBorder="1" applyAlignment="1">
      <alignment horizontal="center" vertical="center" wrapText="1"/>
    </xf>
    <xf numFmtId="176" fontId="14" fillId="0" borderId="38" xfId="67" applyNumberFormat="1" applyFont="1" applyBorder="1" applyAlignment="1">
      <alignment horizontal="center" vertical="center" wrapText="1"/>
    </xf>
    <xf numFmtId="176" fontId="9" fillId="0" borderId="13" xfId="67" applyNumberFormat="1" applyFont="1" applyBorder="1" applyAlignment="1">
      <alignment horizontal="left" vertical="center" wrapText="1"/>
    </xf>
    <xf numFmtId="176" fontId="28" fillId="0" borderId="14" xfId="0" applyNumberFormat="1"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41" fontId="0" fillId="0" borderId="0" xfId="0" applyNumberFormat="1" applyFont="1" applyFill="1" applyBorder="1" applyAlignment="1">
      <alignment vertical="center"/>
    </xf>
    <xf numFmtId="0" fontId="15" fillId="0" borderId="0" xfId="0" applyFont="1" applyFill="1" applyBorder="1" applyAlignment="1">
      <alignment horizontal="left" vertical="center"/>
    </xf>
    <xf numFmtId="41" fontId="15" fillId="0" borderId="0" xfId="0" applyNumberFormat="1" applyFont="1" applyFill="1" applyBorder="1" applyAlignment="1">
      <alignment horizontal="center" vertical="center"/>
    </xf>
    <xf numFmtId="41" fontId="15" fillId="0" borderId="0" xfId="0" applyNumberFormat="1" applyFont="1" applyFill="1" applyBorder="1" applyAlignment="1">
      <alignment horizontal="center" vertical="center" wrapText="1"/>
    </xf>
    <xf numFmtId="41" fontId="15" fillId="0" borderId="0" xfId="0" applyNumberFormat="1" applyFont="1" applyFill="1" applyBorder="1" applyAlignment="1">
      <alignment horizontal="left" vertical="center" wrapText="1"/>
    </xf>
    <xf numFmtId="0" fontId="25" fillId="0" borderId="0" xfId="0" applyFont="1" applyFill="1" applyBorder="1" applyAlignment="1">
      <alignment horizontal="center" vertical="center"/>
    </xf>
    <xf numFmtId="41" fontId="25" fillId="0" borderId="0" xfId="0" applyNumberFormat="1" applyFont="1" applyFill="1" applyBorder="1" applyAlignment="1">
      <alignment horizontal="center" vertical="center"/>
    </xf>
    <xf numFmtId="41" fontId="25" fillId="0" borderId="0" xfId="0" applyNumberFormat="1" applyFont="1" applyFill="1" applyBorder="1" applyAlignment="1">
      <alignment horizontal="left" vertical="center"/>
    </xf>
    <xf numFmtId="0" fontId="24"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41" fontId="6" fillId="0" borderId="8"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41" fontId="6" fillId="0" borderId="2" xfId="0" applyNumberFormat="1" applyFont="1" applyFill="1" applyBorder="1" applyAlignment="1">
      <alignment horizontal="center" vertical="center" wrapText="1"/>
    </xf>
    <xf numFmtId="41" fontId="6" fillId="0" borderId="2" xfId="0" applyNumberFormat="1" applyFont="1" applyFill="1" applyBorder="1" applyAlignment="1">
      <alignment horizontal="center" vertical="center" shrinkToFit="1"/>
    </xf>
    <xf numFmtId="0" fontId="6" fillId="0" borderId="10" xfId="0" applyFont="1" applyFill="1" applyBorder="1" applyAlignment="1">
      <alignment horizontal="left" vertical="center" wrapText="1"/>
    </xf>
    <xf numFmtId="41" fontId="3" fillId="0" borderId="2" xfId="0" applyNumberFormat="1" applyFont="1" applyFill="1" applyBorder="1" applyAlignment="1">
      <alignment horizontal="center" vertical="center" wrapText="1"/>
    </xf>
    <xf numFmtId="41" fontId="3" fillId="0" borderId="2" xfId="0" applyNumberFormat="1" applyFont="1" applyFill="1" applyBorder="1" applyAlignment="1">
      <alignment vertical="center"/>
    </xf>
    <xf numFmtId="41" fontId="9" fillId="0" borderId="2" xfId="62" applyNumberFormat="1" applyFont="1" applyFill="1" applyBorder="1" applyAlignment="1">
      <alignment vertical="center"/>
    </xf>
    <xf numFmtId="41" fontId="9" fillId="0" borderId="2" xfId="1" applyNumberFormat="1" applyFont="1" applyFill="1" applyBorder="1" applyAlignment="1">
      <alignment vertical="center"/>
    </xf>
    <xf numFmtId="41" fontId="9" fillId="0" borderId="2" xfId="0" applyNumberFormat="1" applyFont="1" applyFill="1" applyBorder="1" applyAlignment="1">
      <alignment vertical="center"/>
    </xf>
    <xf numFmtId="41" fontId="33" fillId="0" borderId="2" xfId="1" applyNumberFormat="1" applyFont="1" applyFill="1" applyBorder="1" applyAlignment="1">
      <alignment vertical="center"/>
    </xf>
    <xf numFmtId="0" fontId="6" fillId="0" borderId="10" xfId="0" applyFont="1" applyFill="1" applyBorder="1" applyAlignment="1">
      <alignment horizontal="center" vertical="center"/>
    </xf>
    <xf numFmtId="41" fontId="6" fillId="0" borderId="2" xfId="1" applyNumberFormat="1" applyFont="1" applyFill="1" applyBorder="1" applyAlignment="1">
      <alignment vertical="center"/>
    </xf>
    <xf numFmtId="41" fontId="6" fillId="0" borderId="2" xfId="0" applyNumberFormat="1" applyFont="1" applyFill="1" applyBorder="1" applyAlignment="1">
      <alignment vertical="center"/>
    </xf>
    <xf numFmtId="0" fontId="6" fillId="0" borderId="10" xfId="0" applyFont="1" applyFill="1" applyBorder="1" applyAlignment="1">
      <alignment horizontal="left" vertical="center"/>
    </xf>
    <xf numFmtId="41" fontId="3" fillId="0" borderId="2" xfId="1" applyNumberFormat="1" applyFont="1" applyFill="1" applyBorder="1" applyAlignment="1">
      <alignment vertical="center"/>
    </xf>
    <xf numFmtId="0" fontId="6" fillId="0" borderId="12" xfId="0" applyFont="1" applyFill="1" applyBorder="1" applyAlignment="1">
      <alignment horizontal="center" vertical="center"/>
    </xf>
    <xf numFmtId="41" fontId="6" fillId="0" borderId="13" xfId="1" applyNumberFormat="1" applyFont="1" applyFill="1" applyBorder="1" applyAlignment="1">
      <alignment vertical="center"/>
    </xf>
    <xf numFmtId="0" fontId="15" fillId="0" borderId="0" xfId="0" applyFont="1" applyFill="1" applyBorder="1" applyAlignment="1">
      <alignment horizontal="center" vertical="center"/>
    </xf>
    <xf numFmtId="178" fontId="24" fillId="0" borderId="0" xfId="0" applyNumberFormat="1"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vertical="center"/>
    </xf>
    <xf numFmtId="0" fontId="6" fillId="0" borderId="14" xfId="0" applyFont="1" applyFill="1" applyBorder="1" applyAlignment="1">
      <alignment vertical="center"/>
    </xf>
    <xf numFmtId="0" fontId="35" fillId="0" borderId="0" xfId="0" applyFont="1" applyFill="1" applyAlignment="1">
      <alignment vertical="center"/>
    </xf>
    <xf numFmtId="0" fontId="9" fillId="0" borderId="0" xfId="0" applyFont="1" applyAlignment="1"/>
    <xf numFmtId="0" fontId="14" fillId="0" borderId="0" xfId="0" applyFont="1" applyAlignment="1">
      <alignment vertical="center" wrapText="1"/>
    </xf>
    <xf numFmtId="0" fontId="9" fillId="0" borderId="0" xfId="0" applyFont="1" applyAlignment="1">
      <alignment vertical="center" wrapText="1"/>
    </xf>
    <xf numFmtId="176" fontId="9" fillId="0" borderId="0" xfId="0" applyNumberFormat="1" applyFont="1" applyFill="1" applyAlignment="1">
      <alignment horizontal="center"/>
    </xf>
    <xf numFmtId="176" fontId="9" fillId="0" borderId="0" xfId="0" applyNumberFormat="1" applyFont="1" applyFill="1" applyAlignment="1"/>
    <xf numFmtId="176" fontId="9" fillId="0" borderId="0" xfId="0" applyNumberFormat="1" applyFont="1" applyAlignment="1"/>
    <xf numFmtId="176" fontId="9" fillId="0" borderId="0" xfId="0" applyNumberFormat="1" applyFont="1" applyAlignment="1">
      <alignment horizontal="center"/>
    </xf>
    <xf numFmtId="0" fontId="15" fillId="0" borderId="0" xfId="0" applyFont="1" applyFill="1" applyBorder="1" applyAlignment="1">
      <alignment horizontal="center" vertical="center" wrapText="1"/>
    </xf>
    <xf numFmtId="43" fontId="15" fillId="0" borderId="0" xfId="0" applyNumberFormat="1" applyFont="1" applyFill="1" applyBorder="1" applyAlignment="1">
      <alignment horizontal="center" vertical="center"/>
    </xf>
    <xf numFmtId="178" fontId="15" fillId="0" borderId="0" xfId="0" applyNumberFormat="1" applyFont="1" applyFill="1" applyBorder="1" applyAlignment="1">
      <alignment horizontal="left" vertical="center" wrapText="1"/>
    </xf>
    <xf numFmtId="178" fontId="15" fillId="0" borderId="0" xfId="0" applyNumberFormat="1" applyFont="1" applyFill="1" applyBorder="1" applyAlignment="1">
      <alignment horizontal="center" vertical="center"/>
    </xf>
    <xf numFmtId="0" fontId="4" fillId="0" borderId="0" xfId="0" applyFont="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176"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10" xfId="0" applyFont="1" applyFill="1" applyBorder="1" applyAlignment="1">
      <alignment vertical="center" wrapText="1"/>
    </xf>
    <xf numFmtId="176" fontId="9" fillId="0" borderId="2" xfId="0" applyNumberFormat="1" applyFont="1" applyFill="1" applyBorder="1" applyAlignment="1">
      <alignment vertical="center" wrapText="1"/>
    </xf>
    <xf numFmtId="176" fontId="3" fillId="0" borderId="2" xfId="0" applyNumberFormat="1" applyFont="1" applyFill="1" applyBorder="1" applyAlignment="1">
      <alignment vertical="center" wrapText="1"/>
    </xf>
    <xf numFmtId="0" fontId="14" fillId="0" borderId="12"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13" xfId="0" applyNumberFormat="1" applyFont="1" applyFill="1" applyBorder="1" applyAlignment="1">
      <alignment vertical="center" wrapText="1"/>
    </xf>
    <xf numFmtId="0" fontId="14"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176" fontId="6" fillId="0" borderId="0" xfId="0" applyNumberFormat="1" applyFont="1" applyFill="1" applyAlignment="1">
      <alignment vertical="center" wrapText="1"/>
    </xf>
    <xf numFmtId="0" fontId="9" fillId="0" borderId="0" xfId="0" applyFont="1"/>
    <xf numFmtId="0" fontId="14" fillId="0" borderId="2" xfId="0" applyNumberFormat="1" applyFont="1" applyFill="1" applyBorder="1" applyAlignment="1" applyProtection="1">
      <alignment vertical="center" wrapText="1"/>
    </xf>
    <xf numFmtId="0" fontId="9" fillId="0" borderId="0" xfId="0" applyFont="1" applyAlignment="1">
      <alignment horizontal="right"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14" fillId="0" borderId="14" xfId="0" applyFont="1" applyFill="1" applyBorder="1" applyAlignment="1">
      <alignment vertical="center" wrapText="1"/>
    </xf>
    <xf numFmtId="0" fontId="14" fillId="0" borderId="0" xfId="0" applyFont="1" applyFill="1" applyAlignment="1">
      <alignment vertical="center" wrapText="1"/>
    </xf>
    <xf numFmtId="0" fontId="23" fillId="0" borderId="0" xfId="0" applyFont="1" applyFill="1" applyAlignment="1">
      <alignment vertical="center" wrapText="1"/>
    </xf>
    <xf numFmtId="0" fontId="22"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185" fontId="8" fillId="0" borderId="0" xfId="0" applyNumberFormat="1" applyFont="1" applyFill="1" applyAlignment="1">
      <alignment horizontal="center" vertical="center" wrapText="1"/>
    </xf>
    <xf numFmtId="0" fontId="15" fillId="0" borderId="0" xfId="0" applyFont="1" applyFill="1" applyBorder="1" applyAlignment="1">
      <alignment horizontal="left" vertical="center" wrapText="1"/>
    </xf>
    <xf numFmtId="185" fontId="15" fillId="0" borderId="0" xfId="0" applyNumberFormat="1" applyFont="1" applyFill="1" applyBorder="1" applyAlignment="1">
      <alignment horizontal="center" vertical="center" wrapText="1"/>
    </xf>
    <xf numFmtId="178" fontId="15"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left" vertical="center" wrapText="1"/>
    </xf>
    <xf numFmtId="185" fontId="3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185" fontId="24" fillId="0" borderId="0" xfId="0" applyNumberFormat="1" applyFont="1" applyFill="1" applyBorder="1" applyAlignment="1">
      <alignment horizontal="center" vertical="center" wrapText="1"/>
    </xf>
    <xf numFmtId="178" fontId="24" fillId="0" borderId="0" xfId="0" applyNumberFormat="1" applyFont="1" applyFill="1" applyBorder="1" applyAlignment="1">
      <alignment horizontal="left" vertical="center" wrapText="1"/>
    </xf>
    <xf numFmtId="178" fontId="24" fillId="0" borderId="0" xfId="0" applyNumberFormat="1" applyFont="1" applyFill="1" applyBorder="1" applyAlignment="1">
      <alignment horizontal="center" vertical="center" wrapText="1"/>
    </xf>
    <xf numFmtId="0" fontId="37" fillId="0" borderId="41" xfId="0" applyFont="1" applyFill="1" applyBorder="1" applyAlignment="1">
      <alignment vertical="center" wrapText="1"/>
    </xf>
    <xf numFmtId="0" fontId="38" fillId="0" borderId="41" xfId="0" applyFont="1" applyFill="1" applyBorder="1" applyAlignment="1">
      <alignment horizontal="center" vertical="center" wrapText="1"/>
    </xf>
    <xf numFmtId="0" fontId="38" fillId="0" borderId="42" xfId="0" applyFont="1" applyFill="1" applyBorder="1" applyAlignment="1">
      <alignment horizontal="center" vertical="center" wrapText="1"/>
    </xf>
    <xf numFmtId="185" fontId="38" fillId="0" borderId="42" xfId="0" applyNumberFormat="1" applyFont="1" applyFill="1" applyBorder="1" applyAlignment="1">
      <alignment horizontal="center" vertical="center" wrapText="1"/>
    </xf>
    <xf numFmtId="0" fontId="38" fillId="0" borderId="43" xfId="0" applyFont="1" applyFill="1" applyBorder="1" applyAlignment="1">
      <alignment horizontal="center" vertical="center" wrapText="1"/>
    </xf>
    <xf numFmtId="178" fontId="38" fillId="0" borderId="42" xfId="0" applyNumberFormat="1" applyFont="1" applyFill="1" applyBorder="1" applyAlignment="1">
      <alignment vertical="center" wrapText="1"/>
    </xf>
    <xf numFmtId="178" fontId="38" fillId="0" borderId="41" xfId="0" applyNumberFormat="1" applyFont="1" applyFill="1" applyBorder="1" applyAlignment="1">
      <alignment horizontal="center" vertical="center" wrapText="1"/>
    </xf>
    <xf numFmtId="178" fontId="38" fillId="0" borderId="42" xfId="0" applyNumberFormat="1"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2" xfId="0" applyFont="1" applyFill="1" applyBorder="1" applyAlignment="1">
      <alignment horizontal="center" vertical="center" wrapText="1"/>
    </xf>
    <xf numFmtId="185" fontId="38" fillId="0" borderId="2" xfId="0" applyNumberFormat="1" applyFont="1" applyFill="1" applyBorder="1" applyAlignment="1">
      <alignment horizontal="center" vertical="center" wrapText="1"/>
    </xf>
    <xf numFmtId="178" fontId="38" fillId="0" borderId="11" xfId="0" applyNumberFormat="1" applyFont="1" applyFill="1" applyBorder="1" applyAlignment="1">
      <alignment horizontal="center" vertical="center" wrapText="1"/>
    </xf>
    <xf numFmtId="0" fontId="38" fillId="0" borderId="23" xfId="0" applyFont="1" applyFill="1" applyBorder="1" applyAlignment="1">
      <alignment horizontal="center" vertical="center" wrapText="1"/>
    </xf>
    <xf numFmtId="178" fontId="38" fillId="0" borderId="10" xfId="0" applyNumberFormat="1" applyFont="1" applyFill="1" applyBorder="1" applyAlignment="1">
      <alignment horizontal="center" vertical="center" wrapText="1"/>
    </xf>
    <xf numFmtId="178" fontId="38" fillId="0" borderId="2" xfId="0" applyNumberFormat="1" applyFont="1" applyFill="1" applyBorder="1" applyAlignment="1">
      <alignment horizontal="center" vertical="center" wrapText="1"/>
    </xf>
    <xf numFmtId="0" fontId="15" fillId="0" borderId="34" xfId="0" applyFont="1" applyFill="1" applyBorder="1" applyAlignment="1">
      <alignment horizontal="center" vertical="center" wrapText="1"/>
    </xf>
    <xf numFmtId="178" fontId="38" fillId="0" borderId="11" xfId="0" applyNumberFormat="1" applyFont="1" applyFill="1" applyBorder="1" applyAlignment="1">
      <alignment horizontal="left" vertical="center" wrapText="1"/>
    </xf>
    <xf numFmtId="178" fontId="38" fillId="0" borderId="23" xfId="0" applyNumberFormat="1" applyFont="1" applyFill="1" applyBorder="1" applyAlignment="1">
      <alignment horizontal="center" vertical="center" wrapText="1"/>
    </xf>
    <xf numFmtId="49" fontId="15" fillId="0" borderId="10" xfId="0" applyNumberFormat="1" applyFont="1" applyFill="1" applyBorder="1" applyAlignment="1">
      <alignment horizontal="left" vertical="center" wrapText="1"/>
    </xf>
    <xf numFmtId="0" fontId="15" fillId="0" borderId="2" xfId="0" applyFont="1" applyFill="1" applyBorder="1" applyAlignment="1">
      <alignment vertical="center" wrapText="1"/>
    </xf>
    <xf numFmtId="185" fontId="15" fillId="0" borderId="2" xfId="0" applyNumberFormat="1" applyFont="1" applyFill="1" applyBorder="1" applyAlignment="1">
      <alignment horizontal="center" vertical="center" wrapText="1"/>
    </xf>
    <xf numFmtId="178" fontId="15" fillId="0" borderId="11" xfId="0" applyNumberFormat="1" applyFont="1" applyFill="1" applyBorder="1" applyAlignment="1">
      <alignment horizontal="left" vertical="center" wrapText="1"/>
    </xf>
    <xf numFmtId="0" fontId="15" fillId="0" borderId="23"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15" fillId="0" borderId="2" xfId="0" applyNumberFormat="1" applyFont="1" applyFill="1" applyBorder="1" applyAlignment="1">
      <alignment vertical="center" wrapText="1"/>
    </xf>
    <xf numFmtId="0" fontId="15" fillId="0" borderId="11" xfId="0" applyFont="1" applyFill="1" applyBorder="1" applyAlignment="1">
      <alignment horizontal="left" vertical="center" wrapText="1"/>
    </xf>
    <xf numFmtId="0" fontId="9" fillId="0" borderId="34" xfId="0" applyFont="1" applyFill="1" applyBorder="1" applyAlignment="1">
      <alignment horizontal="center" vertical="center" wrapText="1"/>
    </xf>
    <xf numFmtId="185" fontId="33" fillId="0" borderId="2" xfId="0" applyNumberFormat="1" applyFont="1" applyFill="1" applyBorder="1" applyAlignment="1">
      <alignment horizontal="center" vertical="center" wrapText="1"/>
    </xf>
    <xf numFmtId="178" fontId="9" fillId="0" borderId="16" xfId="0" applyNumberFormat="1" applyFont="1" applyFill="1" applyBorder="1" applyAlignment="1">
      <alignment horizontal="left" vertical="center" wrapText="1"/>
    </xf>
    <xf numFmtId="0" fontId="9" fillId="0" borderId="23" xfId="0" applyFont="1" applyFill="1" applyBorder="1" applyAlignment="1">
      <alignment horizontal="center" vertical="center" wrapText="1"/>
    </xf>
    <xf numFmtId="178" fontId="9" fillId="0" borderId="44" xfId="0" applyNumberFormat="1" applyFont="1" applyFill="1" applyBorder="1" applyAlignment="1">
      <alignment horizontal="left" vertical="center" wrapText="1"/>
    </xf>
    <xf numFmtId="178" fontId="9" fillId="0" borderId="21" xfId="0" applyNumberFormat="1" applyFont="1" applyFill="1" applyBorder="1" applyAlignment="1">
      <alignment horizontal="left" vertical="center" wrapText="1"/>
    </xf>
    <xf numFmtId="178" fontId="16" fillId="0" borderId="2" xfId="0" applyNumberFormat="1" applyFont="1" applyFill="1" applyBorder="1" applyAlignment="1">
      <alignment vertical="center" wrapText="1"/>
    </xf>
    <xf numFmtId="178" fontId="16" fillId="0" borderId="2" xfId="0" applyNumberFormat="1" applyFont="1" applyFill="1" applyBorder="1" applyAlignment="1">
      <alignment horizontal="left" vertical="center" wrapText="1"/>
    </xf>
    <xf numFmtId="185" fontId="16" fillId="0" borderId="2" xfId="0" applyNumberFormat="1" applyFont="1" applyFill="1" applyBorder="1" applyAlignment="1">
      <alignment horizontal="center" vertical="center" wrapText="1"/>
    </xf>
    <xf numFmtId="178" fontId="15" fillId="0" borderId="23" xfId="0" applyNumberFormat="1" applyFont="1" applyFill="1" applyBorder="1" applyAlignment="1">
      <alignment horizontal="center" vertical="center" wrapText="1"/>
    </xf>
    <xf numFmtId="178" fontId="15" fillId="0" borderId="11" xfId="0" applyNumberFormat="1"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178" fontId="16" fillId="0" borderId="10" xfId="0" applyNumberFormat="1" applyFont="1" applyFill="1" applyBorder="1" applyAlignment="1">
      <alignment horizontal="left" vertical="center" wrapText="1"/>
    </xf>
    <xf numFmtId="49" fontId="15" fillId="0" borderId="2" xfId="0" applyNumberFormat="1" applyFont="1" applyFill="1" applyBorder="1" applyAlignment="1">
      <alignment horizontal="left" vertical="center" wrapText="1"/>
    </xf>
    <xf numFmtId="0" fontId="15" fillId="0" borderId="11" xfId="0" applyFont="1" applyFill="1" applyBorder="1" applyAlignment="1">
      <alignment vertical="center" wrapText="1"/>
    </xf>
    <xf numFmtId="178" fontId="39" fillId="0" borderId="10" xfId="0" applyNumberFormat="1" applyFont="1" applyFill="1" applyBorder="1" applyAlignment="1">
      <alignment horizontal="center" vertical="center" wrapText="1"/>
    </xf>
    <xf numFmtId="178" fontId="39" fillId="0" borderId="2" xfId="0" applyNumberFormat="1" applyFont="1" applyFill="1" applyBorder="1" applyAlignment="1">
      <alignment horizontal="center" vertical="center" wrapText="1"/>
    </xf>
    <xf numFmtId="178" fontId="38" fillId="0" borderId="43"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11" xfId="0" applyFont="1" applyFill="1" applyBorder="1" applyAlignment="1">
      <alignment vertical="center" wrapText="1"/>
    </xf>
    <xf numFmtId="0" fontId="15" fillId="0" borderId="11" xfId="0" applyFont="1" applyFill="1" applyBorder="1" applyAlignment="1" applyProtection="1">
      <alignment vertical="center" wrapText="1"/>
    </xf>
    <xf numFmtId="185" fontId="39" fillId="0" borderId="2" xfId="0" applyNumberFormat="1" applyFont="1" applyFill="1" applyBorder="1" applyAlignment="1">
      <alignment horizontal="center" vertical="center" wrapText="1"/>
    </xf>
    <xf numFmtId="178" fontId="40" fillId="0" borderId="10" xfId="0" applyNumberFormat="1" applyFont="1" applyFill="1" applyBorder="1" applyAlignment="1">
      <alignment horizontal="left" vertical="center" wrapText="1"/>
    </xf>
    <xf numFmtId="178" fontId="40" fillId="0" borderId="2" xfId="0" applyNumberFormat="1" applyFont="1" applyFill="1" applyBorder="1" applyAlignment="1">
      <alignment vertical="center" wrapText="1"/>
    </xf>
    <xf numFmtId="0" fontId="16" fillId="0" borderId="10" xfId="0" applyFont="1" applyFill="1" applyBorder="1" applyAlignment="1">
      <alignment horizontal="left" vertical="center" wrapText="1"/>
    </xf>
    <xf numFmtId="178" fontId="15" fillId="0" borderId="10" xfId="0" applyNumberFormat="1" applyFont="1" applyFill="1" applyBorder="1" applyAlignment="1">
      <alignment horizontal="left" vertical="center" wrapText="1"/>
    </xf>
    <xf numFmtId="178" fontId="15" fillId="0" borderId="2" xfId="0" applyNumberFormat="1" applyFont="1" applyFill="1" applyBorder="1" applyAlignment="1">
      <alignment vertical="center" wrapText="1"/>
    </xf>
    <xf numFmtId="0" fontId="16" fillId="0" borderId="2" xfId="54" applyFont="1" applyFill="1" applyBorder="1" applyAlignment="1">
      <alignment horizontal="left" vertical="center" wrapText="1"/>
    </xf>
    <xf numFmtId="185" fontId="16" fillId="0" borderId="2" xfId="60" applyNumberFormat="1" applyFont="1" applyFill="1" applyBorder="1" applyAlignment="1">
      <alignment horizontal="center" vertical="center" wrapText="1"/>
    </xf>
    <xf numFmtId="0" fontId="15" fillId="0" borderId="34" xfId="0" applyFont="1" applyFill="1" applyBorder="1" applyAlignment="1">
      <alignment vertical="center" wrapText="1"/>
    </xf>
    <xf numFmtId="176" fontId="15" fillId="0" borderId="10" xfId="0" applyNumberFormat="1" applyFont="1" applyFill="1" applyBorder="1" applyAlignment="1">
      <alignment horizontal="left" vertical="center" wrapText="1"/>
    </xf>
    <xf numFmtId="185" fontId="37" fillId="0" borderId="2" xfId="0" applyNumberFormat="1" applyFont="1" applyFill="1" applyBorder="1" applyAlignment="1">
      <alignment horizontal="center" vertical="center" wrapText="1"/>
    </xf>
    <xf numFmtId="178" fontId="15" fillId="0" borderId="34" xfId="0" applyNumberFormat="1" applyFont="1" applyFill="1" applyBorder="1" applyAlignment="1">
      <alignment horizontal="center" vertical="center" wrapText="1"/>
    </xf>
    <xf numFmtId="178" fontId="41" fillId="0" borderId="2" xfId="0" applyNumberFormat="1" applyFont="1" applyFill="1" applyBorder="1" applyAlignment="1">
      <alignment vertical="center" wrapText="1"/>
    </xf>
    <xf numFmtId="178" fontId="16" fillId="0" borderId="12" xfId="0" applyNumberFormat="1" applyFont="1" applyFill="1" applyBorder="1" applyAlignment="1">
      <alignment horizontal="left" vertical="center" wrapText="1"/>
    </xf>
    <xf numFmtId="178" fontId="16" fillId="0" borderId="13" xfId="0" applyNumberFormat="1" applyFont="1" applyFill="1" applyBorder="1" applyAlignment="1">
      <alignment horizontal="left" vertical="center" wrapText="1"/>
    </xf>
    <xf numFmtId="185" fontId="16" fillId="0" borderId="13" xfId="0" applyNumberFormat="1" applyFont="1" applyFill="1" applyBorder="1" applyAlignment="1">
      <alignment horizontal="center" vertical="center" wrapText="1"/>
    </xf>
    <xf numFmtId="178" fontId="15" fillId="0" borderId="14" xfId="0" applyNumberFormat="1" applyFont="1" applyFill="1" applyBorder="1" applyAlignment="1">
      <alignment horizontal="left" vertical="center" wrapText="1"/>
    </xf>
    <xf numFmtId="178" fontId="15" fillId="0" borderId="12" xfId="0" applyNumberFormat="1" applyFont="1" applyFill="1" applyBorder="1" applyAlignment="1">
      <alignment horizontal="left" vertical="center" wrapText="1"/>
    </xf>
    <xf numFmtId="178" fontId="15" fillId="0" borderId="13" xfId="0" applyNumberFormat="1" applyFont="1" applyFill="1" applyBorder="1" applyAlignment="1">
      <alignment vertical="center" wrapText="1"/>
    </xf>
    <xf numFmtId="0" fontId="15" fillId="0" borderId="35" xfId="0" applyFont="1" applyFill="1" applyBorder="1" applyAlignment="1">
      <alignment horizontal="center" vertical="center" wrapText="1"/>
    </xf>
    <xf numFmtId="178" fontId="15" fillId="0" borderId="36" xfId="0" applyNumberFormat="1" applyFont="1" applyFill="1" applyBorder="1" applyAlignment="1">
      <alignment horizontal="center" vertical="center" wrapText="1"/>
    </xf>
    <xf numFmtId="185" fontId="15" fillId="0" borderId="13" xfId="0" applyNumberFormat="1" applyFont="1" applyFill="1" applyBorder="1" applyAlignment="1">
      <alignment horizontal="center" vertical="center" wrapText="1"/>
    </xf>
    <xf numFmtId="0" fontId="15" fillId="0" borderId="14" xfId="0" applyFont="1" applyFill="1" applyBorder="1" applyAlignment="1">
      <alignment vertical="center" wrapText="1"/>
    </xf>
    <xf numFmtId="0" fontId="9" fillId="3" borderId="0" xfId="0" applyFont="1" applyFill="1" applyBorder="1" applyAlignment="1">
      <alignment horizontal="center" vertical="center"/>
    </xf>
    <xf numFmtId="0" fontId="9" fillId="3" borderId="0" xfId="0" applyFont="1" applyFill="1" applyBorder="1" applyAlignment="1">
      <alignment vertical="center"/>
    </xf>
    <xf numFmtId="0" fontId="14" fillId="3" borderId="0" xfId="0" applyFont="1" applyFill="1" applyBorder="1" applyAlignment="1">
      <alignment vertical="center"/>
    </xf>
    <xf numFmtId="183" fontId="9" fillId="3" borderId="0" xfId="0" applyNumberFormat="1" applyFont="1" applyFill="1" applyBorder="1" applyAlignment="1">
      <alignment horizontal="left" vertical="center"/>
    </xf>
    <xf numFmtId="0" fontId="9" fillId="3" borderId="0" xfId="0" applyFont="1" applyFill="1" applyBorder="1" applyAlignment="1">
      <alignment horizontal="left" vertical="center"/>
    </xf>
    <xf numFmtId="176" fontId="9" fillId="3" borderId="0" xfId="0" applyNumberFormat="1" applyFont="1" applyFill="1" applyBorder="1" applyAlignment="1">
      <alignment horizontal="right" vertical="center"/>
    </xf>
    <xf numFmtId="0" fontId="9" fillId="3" borderId="0" xfId="0" applyFont="1" applyFill="1" applyBorder="1" applyAlignment="1">
      <alignment vertical="center" wrapText="1"/>
    </xf>
    <xf numFmtId="0" fontId="9" fillId="0" borderId="0" xfId="0" applyFont="1" applyFill="1" applyAlignment="1">
      <alignment vertical="center"/>
    </xf>
    <xf numFmtId="176" fontId="15" fillId="0" borderId="0" xfId="0" applyNumberFormat="1" applyFont="1" applyFill="1" applyBorder="1" applyAlignment="1">
      <alignment horizontal="right" vertical="center" wrapText="1"/>
    </xf>
    <xf numFmtId="176" fontId="15" fillId="0" borderId="0" xfId="0" applyNumberFormat="1" applyFont="1" applyFill="1" applyBorder="1" applyAlignment="1">
      <alignment horizontal="right" vertical="center"/>
    </xf>
    <xf numFmtId="0" fontId="25" fillId="0" borderId="0" xfId="0" applyFont="1" applyFill="1" applyAlignment="1">
      <alignment horizontal="left" vertical="center"/>
    </xf>
    <xf numFmtId="176" fontId="25" fillId="0" borderId="0" xfId="0" applyNumberFormat="1" applyFont="1" applyFill="1" applyAlignment="1">
      <alignment horizontal="right" vertical="center"/>
    </xf>
    <xf numFmtId="176" fontId="24" fillId="0" borderId="0" xfId="0" applyNumberFormat="1" applyFont="1" applyFill="1" applyBorder="1" applyAlignment="1">
      <alignment horizontal="right" vertical="center" wrapText="1"/>
    </xf>
    <xf numFmtId="176" fontId="24" fillId="0" borderId="0" xfId="0" applyNumberFormat="1" applyFont="1" applyFill="1" applyBorder="1" applyAlignment="1">
      <alignment horizontal="right" vertic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176" fontId="14" fillId="3" borderId="8" xfId="0" applyNumberFormat="1"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2" xfId="0" applyFont="1" applyFill="1" applyBorder="1" applyAlignment="1">
      <alignment horizontal="center" vertical="center" wrapText="1"/>
    </xf>
    <xf numFmtId="176" fontId="14" fillId="3" borderId="2" xfId="0" applyNumberFormat="1" applyFont="1" applyFill="1" applyBorder="1" applyAlignment="1">
      <alignment horizontal="center" vertical="center" wrapText="1"/>
    </xf>
    <xf numFmtId="183" fontId="9" fillId="3" borderId="10" xfId="0" applyNumberFormat="1" applyFont="1" applyFill="1" applyBorder="1" applyAlignment="1">
      <alignment horizontal="left" vertical="center" wrapText="1"/>
    </xf>
    <xf numFmtId="49" fontId="9" fillId="3" borderId="2" xfId="0" applyNumberFormat="1" applyFont="1" applyFill="1" applyBorder="1" applyAlignment="1">
      <alignment horizontal="left" vertical="center" wrapText="1"/>
    </xf>
    <xf numFmtId="176" fontId="9" fillId="3" borderId="2"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xf>
    <xf numFmtId="176" fontId="8" fillId="0" borderId="0" xfId="0" applyNumberFormat="1" applyFont="1" applyFill="1" applyAlignment="1">
      <alignment horizontal="right" vertical="center"/>
    </xf>
    <xf numFmtId="176" fontId="22" fillId="0" borderId="0" xfId="0" applyNumberFormat="1" applyFont="1" applyFill="1" applyAlignment="1">
      <alignment horizontal="right" vertical="center"/>
    </xf>
    <xf numFmtId="176" fontId="14" fillId="3" borderId="45" xfId="0" applyNumberFormat="1" applyFont="1" applyFill="1" applyBorder="1" applyAlignment="1">
      <alignment horizontal="center" vertical="center" wrapText="1"/>
    </xf>
    <xf numFmtId="0" fontId="42" fillId="3" borderId="9" xfId="0" applyFont="1" applyFill="1" applyBorder="1" applyAlignment="1">
      <alignment horizontal="center" vertical="center" wrapText="1"/>
    </xf>
    <xf numFmtId="176" fontId="14" fillId="3" borderId="4" xfId="0" applyNumberFormat="1" applyFont="1" applyFill="1" applyBorder="1" applyAlignment="1">
      <alignment horizontal="center" vertical="center" wrapText="1"/>
    </xf>
    <xf numFmtId="0" fontId="42" fillId="3" borderId="11" xfId="0" applyFont="1" applyFill="1" applyBorder="1" applyAlignment="1">
      <alignment horizontal="center" vertical="center" wrapText="1"/>
    </xf>
    <xf numFmtId="0" fontId="9" fillId="3" borderId="11" xfId="0" applyFont="1" applyFill="1" applyBorder="1" applyAlignment="1">
      <alignment vertical="center" wrapText="1"/>
    </xf>
    <xf numFmtId="184" fontId="9" fillId="3" borderId="11" xfId="0" applyNumberFormat="1" applyFont="1" applyFill="1" applyBorder="1" applyAlignment="1">
      <alignment vertical="center" wrapText="1"/>
    </xf>
    <xf numFmtId="183" fontId="9" fillId="3" borderId="15"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xf>
    <xf numFmtId="176" fontId="9" fillId="3" borderId="5" xfId="0" applyNumberFormat="1" applyFont="1" applyFill="1" applyBorder="1" applyAlignment="1">
      <alignment horizontal="right" vertical="center" wrapText="1"/>
    </xf>
    <xf numFmtId="183" fontId="14" fillId="3" borderId="46" xfId="0" applyNumberFormat="1" applyFont="1" applyFill="1" applyBorder="1" applyAlignment="1">
      <alignment horizontal="center" vertical="center" wrapText="1"/>
    </xf>
    <xf numFmtId="183" fontId="14" fillId="3" borderId="47" xfId="0" applyNumberFormat="1" applyFont="1" applyFill="1" applyBorder="1" applyAlignment="1">
      <alignment horizontal="center" vertical="center" wrapText="1"/>
    </xf>
    <xf numFmtId="176" fontId="14" fillId="3" borderId="18" xfId="0" applyNumberFormat="1" applyFont="1" applyFill="1" applyBorder="1" applyAlignment="1">
      <alignment horizontal="right" vertical="center" wrapText="1"/>
    </xf>
    <xf numFmtId="184" fontId="9" fillId="3" borderId="16" xfId="0" applyNumberFormat="1" applyFont="1" applyFill="1" applyBorder="1" applyAlignment="1">
      <alignment vertical="center" wrapText="1"/>
    </xf>
    <xf numFmtId="184" fontId="14" fillId="3" borderId="19" xfId="0" applyNumberFormat="1" applyFont="1" applyFill="1" applyBorder="1" applyAlignment="1">
      <alignment vertical="center" wrapText="1"/>
    </xf>
    <xf numFmtId="0" fontId="0" fillId="0" borderId="0" xfId="0" applyFont="1" applyAlignment="1">
      <alignment vertical="center"/>
    </xf>
    <xf numFmtId="0" fontId="0" fillId="4" borderId="0" xfId="0" applyFont="1" applyFill="1" applyAlignment="1">
      <alignment vertical="center"/>
    </xf>
    <xf numFmtId="0" fontId="0" fillId="6" borderId="0" xfId="0" applyFont="1" applyFill="1" applyAlignment="1">
      <alignment vertical="center"/>
    </xf>
    <xf numFmtId="9" fontId="0" fillId="0" borderId="0" xfId="0" applyNumberFormat="1" applyFont="1" applyAlignment="1">
      <alignment vertical="center"/>
    </xf>
    <xf numFmtId="0" fontId="24" fillId="0" borderId="0" xfId="0" applyFont="1" applyFill="1" applyBorder="1" applyAlignment="1">
      <alignment vertical="center"/>
    </xf>
    <xf numFmtId="176" fontId="24" fillId="0" borderId="0" xfId="0" applyNumberFormat="1" applyFont="1" applyFill="1" applyBorder="1" applyAlignment="1">
      <alignment vertical="center" wrapText="1"/>
    </xf>
    <xf numFmtId="176" fontId="24" fillId="0" borderId="0" xfId="0" applyNumberFormat="1" applyFont="1" applyFill="1" applyBorder="1" applyAlignment="1">
      <alignment vertical="center"/>
    </xf>
    <xf numFmtId="0" fontId="6" fillId="0" borderId="4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6" borderId="4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6" borderId="2" xfId="0" applyFont="1" applyFill="1" applyBorder="1" applyAlignment="1">
      <alignment horizontal="center" vertical="center" shrinkToFit="1"/>
    </xf>
    <xf numFmtId="0" fontId="9" fillId="0" borderId="10" xfId="0" applyFont="1" applyFill="1" applyBorder="1" applyAlignment="1">
      <alignment vertical="center"/>
    </xf>
    <xf numFmtId="177" fontId="9" fillId="4" borderId="2" xfId="1" applyNumberFormat="1" applyFont="1" applyFill="1" applyBorder="1" applyAlignment="1">
      <alignment vertical="center"/>
    </xf>
    <xf numFmtId="177" fontId="9" fillId="6" borderId="2" xfId="1" applyNumberFormat="1" applyFont="1" applyFill="1" applyBorder="1" applyAlignment="1">
      <alignment vertical="center"/>
    </xf>
    <xf numFmtId="177" fontId="1" fillId="4" borderId="2" xfId="1" applyNumberFormat="1" applyFont="1" applyFill="1" applyBorder="1" applyAlignment="1">
      <alignment vertical="center"/>
    </xf>
    <xf numFmtId="177" fontId="9" fillId="0" borderId="2" xfId="1" applyNumberFormat="1" applyFont="1" applyFill="1" applyBorder="1" applyAlignment="1">
      <alignment vertical="center"/>
    </xf>
    <xf numFmtId="0" fontId="14" fillId="0" borderId="20" xfId="0" applyFont="1" applyFill="1" applyBorder="1" applyAlignment="1">
      <alignment horizontal="center" vertical="center"/>
    </xf>
    <xf numFmtId="177" fontId="9" fillId="4" borderId="4" xfId="1" applyNumberFormat="1" applyFont="1" applyFill="1" applyBorder="1" applyAlignment="1">
      <alignment vertical="center"/>
    </xf>
    <xf numFmtId="177" fontId="9" fillId="0" borderId="4" xfId="1" applyNumberFormat="1" applyFont="1" applyFill="1" applyBorder="1" applyAlignment="1">
      <alignment vertical="center"/>
    </xf>
    <xf numFmtId="177" fontId="9" fillId="6" borderId="4" xfId="1" applyNumberFormat="1" applyFont="1" applyFill="1" applyBorder="1" applyAlignment="1">
      <alignment vertical="center"/>
    </xf>
    <xf numFmtId="0" fontId="9" fillId="0" borderId="20" xfId="0" applyFont="1" applyFill="1" applyBorder="1" applyAlignment="1">
      <alignment horizontal="left" vertical="center"/>
    </xf>
    <xf numFmtId="0" fontId="9" fillId="0" borderId="12" xfId="0" applyFont="1" applyFill="1" applyBorder="1" applyAlignment="1">
      <alignment horizontal="left" vertical="center"/>
    </xf>
    <xf numFmtId="177" fontId="9" fillId="0" borderId="13" xfId="1" applyNumberFormat="1" applyFont="1" applyFill="1" applyBorder="1" applyAlignment="1">
      <alignment vertical="center"/>
    </xf>
    <xf numFmtId="177" fontId="9" fillId="6" borderId="13" xfId="1" applyNumberFormat="1" applyFont="1" applyFill="1" applyBorder="1" applyAlignment="1">
      <alignment vertical="center"/>
    </xf>
    <xf numFmtId="177" fontId="9" fillId="6" borderId="5" xfId="1" applyNumberFormat="1" applyFont="1" applyFill="1" applyBorder="1" applyAlignment="1">
      <alignment vertical="center"/>
    </xf>
    <xf numFmtId="0" fontId="9" fillId="0" borderId="15" xfId="0" applyFont="1" applyFill="1" applyBorder="1" applyAlignment="1">
      <alignment horizontal="left" vertical="center"/>
    </xf>
    <xf numFmtId="177" fontId="9" fillId="4" borderId="5" xfId="1" applyNumberFormat="1" applyFont="1" applyFill="1" applyBorder="1" applyAlignment="1">
      <alignment vertical="center"/>
    </xf>
    <xf numFmtId="177" fontId="1" fillId="4" borderId="5" xfId="1" applyNumberFormat="1" applyFont="1" applyFill="1" applyBorder="1" applyAlignment="1">
      <alignment vertical="center"/>
    </xf>
    <xf numFmtId="177" fontId="9" fillId="0" borderId="5" xfId="1" applyNumberFormat="1" applyFont="1" applyFill="1" applyBorder="1" applyAlignment="1">
      <alignment vertical="center"/>
    </xf>
    <xf numFmtId="0" fontId="14" fillId="0" borderId="17" xfId="0" applyFont="1" applyFill="1" applyBorder="1" applyAlignment="1">
      <alignment horizontal="center" vertical="center"/>
    </xf>
    <xf numFmtId="177" fontId="9" fillId="4" borderId="18" xfId="1" applyNumberFormat="1" applyFont="1" applyFill="1" applyBorder="1" applyAlignment="1">
      <alignment vertical="center"/>
    </xf>
    <xf numFmtId="177" fontId="9" fillId="0" borderId="18" xfId="1" applyNumberFormat="1" applyFont="1" applyFill="1" applyBorder="1" applyAlignment="1">
      <alignment vertical="center"/>
    </xf>
    <xf numFmtId="177" fontId="9" fillId="6" borderId="18" xfId="1" applyNumberFormat="1" applyFont="1" applyFill="1" applyBorder="1" applyAlignment="1">
      <alignment vertical="center"/>
    </xf>
    <xf numFmtId="176" fontId="25" fillId="0" borderId="0" xfId="0" applyNumberFormat="1" applyFont="1" applyFill="1" applyAlignment="1">
      <alignment vertical="center"/>
    </xf>
    <xf numFmtId="0" fontId="25" fillId="0" borderId="0" xfId="0" applyFont="1" applyFill="1" applyAlignment="1">
      <alignment vertical="center"/>
    </xf>
    <xf numFmtId="176" fontId="22" fillId="0" borderId="0" xfId="0" applyNumberFormat="1" applyFont="1" applyFill="1" applyAlignment="1">
      <alignment vertical="center"/>
    </xf>
    <xf numFmtId="0" fontId="0" fillId="0" borderId="0" xfId="0" applyFont="1" applyFill="1" applyAlignment="1">
      <alignment vertical="center"/>
    </xf>
    <xf numFmtId="178" fontId="9" fillId="0" borderId="11" xfId="0" applyNumberFormat="1" applyFont="1" applyFill="1" applyBorder="1" applyAlignment="1">
      <alignment vertical="center" wrapText="1"/>
    </xf>
    <xf numFmtId="41" fontId="9" fillId="0" borderId="4" xfId="0" applyNumberFormat="1" applyFont="1" applyFill="1" applyBorder="1" applyAlignment="1">
      <alignment vertical="center"/>
    </xf>
    <xf numFmtId="0" fontId="9" fillId="0" borderId="21" xfId="0" applyFont="1" applyFill="1" applyBorder="1" applyAlignment="1">
      <alignment vertical="center"/>
    </xf>
    <xf numFmtId="41" fontId="9" fillId="0" borderId="13" xfId="0" applyNumberFormat="1" applyFont="1" applyFill="1" applyBorder="1" applyAlignment="1">
      <alignment vertical="center"/>
    </xf>
    <xf numFmtId="41" fontId="9" fillId="0" borderId="5" xfId="0" applyNumberFormat="1" applyFont="1" applyFill="1" applyBorder="1" applyAlignment="1">
      <alignment vertical="center"/>
    </xf>
    <xf numFmtId="0" fontId="9" fillId="0" borderId="16" xfId="0" applyFont="1" applyFill="1" applyBorder="1" applyAlignment="1">
      <alignment vertical="center"/>
    </xf>
    <xf numFmtId="41" fontId="9" fillId="0" borderId="18" xfId="0" applyNumberFormat="1" applyFont="1" applyFill="1" applyBorder="1" applyAlignment="1">
      <alignment vertical="center"/>
    </xf>
    <xf numFmtId="0" fontId="9" fillId="0" borderId="19" xfId="0" applyFont="1" applyFill="1" applyBorder="1" applyAlignment="1">
      <alignment vertical="center"/>
    </xf>
    <xf numFmtId="9" fontId="3" fillId="0" borderId="0" xfId="0" applyNumberFormat="1" applyFont="1" applyFill="1" applyAlignment="1">
      <alignment vertical="center" wrapText="1"/>
    </xf>
    <xf numFmtId="9" fontId="0" fillId="0" borderId="0" xfId="0" applyNumberFormat="1" applyFont="1" applyFill="1" applyAlignment="1">
      <alignment vertical="center"/>
    </xf>
    <xf numFmtId="0" fontId="43" fillId="0" borderId="0" xfId="0" applyFont="1" applyAlignment="1">
      <alignment horizontal="left"/>
    </xf>
    <xf numFmtId="0" fontId="43" fillId="0" borderId="0" xfId="0" applyFont="1"/>
    <xf numFmtId="0" fontId="44"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xf numFmtId="0" fontId="43" fillId="0" borderId="0" xfId="0" applyFont="1" applyAlignment="1"/>
    <xf numFmtId="0" fontId="9" fillId="0" borderId="10" xfId="0" applyFont="1" applyFill="1" applyBorder="1" applyAlignment="1" quotePrefix="1">
      <alignment vertical="center"/>
    </xf>
    <xf numFmtId="0" fontId="9" fillId="0" borderId="10" xfId="0" applyFont="1" applyFill="1" applyBorder="1" applyAlignment="1" quotePrefix="1">
      <alignment horizontal="left" vertical="center"/>
    </xf>
    <xf numFmtId="0" fontId="9" fillId="0" borderId="15" xfId="0" applyFont="1" applyFill="1" applyBorder="1" applyAlignment="1" quotePrefix="1">
      <alignment horizontal="left" vertical="center"/>
    </xf>
    <xf numFmtId="0" fontId="9" fillId="0" borderId="2" xfId="0" applyFont="1" applyFill="1" applyBorder="1" applyAlignment="1" quotePrefix="1">
      <alignment horizontal="left"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5" xfId="49"/>
    <cellStyle name="常规 10" xfId="50"/>
    <cellStyle name="常规 11" xfId="51"/>
    <cellStyle name="常规_土地基金收入调整" xfId="52"/>
    <cellStyle name="常规 5 4" xfId="53"/>
    <cellStyle name="常规 2" xfId="54"/>
    <cellStyle name="常规 2 2" xfId="55"/>
    <cellStyle name="常规_2006区级预算追加情况表" xfId="56"/>
    <cellStyle name="常规 2 5" xfId="57"/>
    <cellStyle name="常规 30" xfId="58"/>
    <cellStyle name="常规 33" xfId="59"/>
    <cellStyle name="常规 3" xfId="60"/>
    <cellStyle name="Normal" xfId="61"/>
    <cellStyle name="千位分隔 2 10" xfId="62"/>
    <cellStyle name="常规 4" xfId="63"/>
    <cellStyle name="常规 33 2" xfId="64"/>
    <cellStyle name="常规 194" xfId="65"/>
    <cellStyle name="千位分隔 3" xfId="66"/>
    <cellStyle name="常规 32 2" xfId="67"/>
    <cellStyle name="常规_Sheet2" xfId="68"/>
  </cellStyles>
  <tableStyles count="0" defaultTableStyle="TableStyleMedium9"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customXml" Target="../customXml/item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tabSelected="1" view="pageBreakPreview" zoomScaleNormal="100" workbookViewId="0">
      <selection activeCell="A2" sqref="A2:C2"/>
    </sheetView>
  </sheetViews>
  <sheetFormatPr defaultColWidth="9" defaultRowHeight="14.25"/>
  <cols>
    <col min="6" max="6" width="12.625" customWidth="1"/>
    <col min="7" max="7" width="27"/>
    <col min="9" max="9" width="9.75" customWidth="1"/>
  </cols>
  <sheetData>
    <row r="2" ht="20.25" spans="1:10">
      <c r="A2" s="578"/>
      <c r="B2" s="578"/>
      <c r="C2" s="578"/>
      <c r="D2" s="579"/>
      <c r="E2" s="579"/>
      <c r="F2" s="579"/>
      <c r="G2" s="579"/>
      <c r="H2" s="579"/>
      <c r="I2" s="579"/>
      <c r="J2" s="579"/>
    </row>
    <row r="3" ht="20.25" spans="3:10">
      <c r="C3" s="579"/>
      <c r="D3" s="579"/>
      <c r="E3" s="579"/>
      <c r="F3" s="579"/>
      <c r="G3" s="579"/>
      <c r="H3" s="579"/>
      <c r="I3" s="579"/>
      <c r="J3" s="579"/>
    </row>
    <row r="4" ht="20.25" spans="3:10">
      <c r="C4" s="579"/>
      <c r="D4" s="579"/>
      <c r="E4" s="579"/>
      <c r="F4" s="579"/>
      <c r="G4" s="579"/>
      <c r="H4" s="579"/>
      <c r="I4" s="579"/>
      <c r="J4" s="579"/>
    </row>
    <row r="5" ht="20.25" spans="3:12">
      <c r="C5" s="579"/>
      <c r="D5" s="579"/>
      <c r="E5" s="579"/>
      <c r="F5" s="579"/>
      <c r="G5" s="579"/>
      <c r="H5" s="579"/>
      <c r="I5" s="579"/>
      <c r="L5" s="579"/>
    </row>
    <row r="8" ht="35.25" spans="1:12">
      <c r="A8" s="580" t="s">
        <v>0</v>
      </c>
      <c r="B8" s="580"/>
      <c r="C8" s="580"/>
      <c r="D8" s="580"/>
      <c r="E8" s="580"/>
      <c r="F8" s="580"/>
      <c r="G8" s="580"/>
      <c r="H8" s="580"/>
      <c r="I8" s="580"/>
      <c r="J8" s="580"/>
      <c r="K8" s="580"/>
      <c r="L8" s="583"/>
    </row>
    <row r="15" ht="20.25" spans="1:12">
      <c r="A15" s="581" t="s">
        <v>1</v>
      </c>
      <c r="B15" s="581"/>
      <c r="C15" s="581"/>
      <c r="D15" s="581"/>
      <c r="E15" s="581"/>
      <c r="F15" s="581"/>
      <c r="G15" s="581"/>
      <c r="H15" s="581"/>
      <c r="I15" s="581"/>
      <c r="J15" s="581"/>
      <c r="K15" s="581"/>
      <c r="L15" s="584"/>
    </row>
    <row r="16" ht="20.25" spans="3:8">
      <c r="C16" s="579"/>
      <c r="D16" s="579"/>
      <c r="E16" s="579"/>
      <c r="F16" s="582"/>
      <c r="G16" s="579"/>
      <c r="H16" s="579"/>
    </row>
    <row r="17" ht="20.25" spans="3:8">
      <c r="C17" s="579"/>
      <c r="D17" s="579"/>
      <c r="E17" s="579"/>
      <c r="F17" s="582"/>
      <c r="G17" s="579"/>
      <c r="H17" s="579"/>
    </row>
    <row r="18" ht="20.25" spans="1:12">
      <c r="A18" s="581" t="s">
        <v>2</v>
      </c>
      <c r="B18" s="581"/>
      <c r="C18" s="581"/>
      <c r="D18" s="581"/>
      <c r="E18" s="581"/>
      <c r="F18" s="581"/>
      <c r="G18" s="581"/>
      <c r="H18" s="581"/>
      <c r="I18" s="581"/>
      <c r="J18" s="581"/>
      <c r="K18" s="581"/>
      <c r="L18" s="584"/>
    </row>
  </sheetData>
  <mergeCells count="4">
    <mergeCell ref="A2:C2"/>
    <mergeCell ref="A8:K8"/>
    <mergeCell ref="A15:K15"/>
    <mergeCell ref="A18:K18"/>
  </mergeCells>
  <printOptions horizontalCentered="1"/>
  <pageMargins left="0.786805555555556" right="0.786805555555556" top="0.786805555555556" bottom="0.786805555555556" header="0.196527777777778" footer="0.196527777777778"/>
  <pageSetup paperSize="9" scale="93"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11" sqref="E11"/>
    </sheetView>
  </sheetViews>
  <sheetFormatPr defaultColWidth="9" defaultRowHeight="13.5" outlineLevelCol="5"/>
  <cols>
    <col min="1" max="1" width="34.875" style="97" customWidth="1"/>
    <col min="2" max="2" width="11.875" style="97" customWidth="1"/>
    <col min="3" max="3" width="11.5" style="97"/>
    <col min="4" max="4" width="28.125" style="98" customWidth="1"/>
    <col min="5" max="5" width="11.625" style="99" customWidth="1"/>
    <col min="6" max="6" width="40.625" style="97" customWidth="1"/>
    <col min="7" max="16384" width="9" style="97"/>
  </cols>
  <sheetData>
    <row r="1" s="97" customFormat="1" ht="30" customHeight="1" spans="1:5">
      <c r="A1" s="97" t="s">
        <v>1633</v>
      </c>
      <c r="D1" s="98"/>
      <c r="E1" s="99"/>
    </row>
    <row r="2" s="97" customFormat="1" ht="30" customHeight="1" spans="1:6">
      <c r="A2" s="100" t="s">
        <v>1634</v>
      </c>
      <c r="B2" s="100"/>
      <c r="C2" s="100"/>
      <c r="D2" s="100"/>
      <c r="E2" s="100"/>
      <c r="F2" s="100"/>
    </row>
    <row r="3" s="97" customFormat="1" ht="22" customHeight="1" spans="4:6">
      <c r="D3" s="98"/>
      <c r="E3" s="99"/>
      <c r="F3" s="101" t="s">
        <v>5</v>
      </c>
    </row>
    <row r="4" s="97" customFormat="1" ht="38" customHeight="1" spans="1:6">
      <c r="A4" s="102" t="s">
        <v>1635</v>
      </c>
      <c r="B4" s="103"/>
      <c r="C4" s="103" t="s">
        <v>1636</v>
      </c>
      <c r="D4" s="104"/>
      <c r="E4" s="105"/>
      <c r="F4" s="106"/>
    </row>
    <row r="5" s="97" customFormat="1" ht="32" customHeight="1" spans="1:6">
      <c r="A5" s="102" t="s">
        <v>1637</v>
      </c>
      <c r="B5" s="103" t="s">
        <v>513</v>
      </c>
      <c r="C5" s="102" t="s">
        <v>1638</v>
      </c>
      <c r="D5" s="107" t="s">
        <v>6</v>
      </c>
      <c r="E5" s="108" t="s">
        <v>513</v>
      </c>
      <c r="F5" s="102" t="s">
        <v>11</v>
      </c>
    </row>
    <row r="6" s="97" customFormat="1" ht="35" customHeight="1" spans="1:6">
      <c r="A6" s="109" t="s">
        <v>742</v>
      </c>
      <c r="B6" s="110">
        <v>117</v>
      </c>
      <c r="C6" s="111" t="s">
        <v>587</v>
      </c>
      <c r="D6" s="109" t="s">
        <v>1639</v>
      </c>
      <c r="E6" s="112">
        <v>92.83</v>
      </c>
      <c r="F6" s="107" t="s">
        <v>1640</v>
      </c>
    </row>
    <row r="7" s="97" customFormat="1" ht="35" customHeight="1" spans="1:6">
      <c r="A7" s="109" t="s">
        <v>1641</v>
      </c>
      <c r="B7" s="110">
        <f>972.894274-117</f>
        <v>855.894274</v>
      </c>
      <c r="C7" s="111" t="s">
        <v>518</v>
      </c>
      <c r="D7" s="109" t="s">
        <v>1642</v>
      </c>
      <c r="E7" s="112">
        <v>1023.4</v>
      </c>
      <c r="F7" s="107"/>
    </row>
    <row r="8" s="97" customFormat="1" ht="48" customHeight="1" spans="1:6">
      <c r="A8" s="109" t="s">
        <v>1643</v>
      </c>
      <c r="B8" s="110">
        <f>5840.016903-B9-B10</f>
        <v>5533.896903</v>
      </c>
      <c r="C8" s="111" t="s">
        <v>1305</v>
      </c>
      <c r="D8" s="109" t="s">
        <v>1644</v>
      </c>
      <c r="E8" s="112">
        <v>3420.96</v>
      </c>
      <c r="F8" s="107"/>
    </row>
    <row r="9" s="97" customFormat="1" ht="35" customHeight="1" spans="1:6">
      <c r="A9" s="111" t="s">
        <v>1645</v>
      </c>
      <c r="B9" s="110">
        <v>3.12</v>
      </c>
      <c r="C9" s="111" t="s">
        <v>832</v>
      </c>
      <c r="D9" s="109" t="s">
        <v>1646</v>
      </c>
      <c r="E9" s="112">
        <v>1000</v>
      </c>
      <c r="F9" s="111"/>
    </row>
    <row r="10" s="97" customFormat="1" ht="35" customHeight="1" spans="1:6">
      <c r="A10" s="111" t="s">
        <v>1647</v>
      </c>
      <c r="B10" s="110">
        <v>303</v>
      </c>
      <c r="C10" s="111" t="s">
        <v>587</v>
      </c>
      <c r="D10" s="109" t="s">
        <v>1648</v>
      </c>
      <c r="E10" s="112">
        <v>1276</v>
      </c>
      <c r="F10" s="111"/>
    </row>
    <row r="11" s="97" customFormat="1" ht="35" customHeight="1" spans="1:6">
      <c r="A11" s="111" t="s">
        <v>506</v>
      </c>
      <c r="B11" s="110">
        <f>SUM(B6:B10)</f>
        <v>6812.911177</v>
      </c>
      <c r="C11" s="111"/>
      <c r="D11" s="109"/>
      <c r="E11" s="110">
        <f>SUM(E6:E10)</f>
        <v>6813.19</v>
      </c>
      <c r="F11" s="112"/>
    </row>
  </sheetData>
  <mergeCells count="4">
    <mergeCell ref="A2:F2"/>
    <mergeCell ref="A4:B4"/>
    <mergeCell ref="C4:F4"/>
    <mergeCell ref="F6:F8"/>
  </mergeCells>
  <printOptions horizontalCentered="1"/>
  <pageMargins left="0.786805555555556" right="0.786805555555556" top="0.393055555555556" bottom="0.393055555555556" header="0.196527777777778" footer="0.196527777777778"/>
  <pageSetup paperSize="9" scale="80"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9"/>
  <sheetViews>
    <sheetView topLeftCell="A15" workbookViewId="0">
      <selection activeCell="E11" sqref="E11"/>
    </sheetView>
  </sheetViews>
  <sheetFormatPr defaultColWidth="9" defaultRowHeight="14.25"/>
  <cols>
    <col min="1" max="1" width="33.625" style="1" customWidth="1"/>
    <col min="2" max="4" width="19.625" style="1" customWidth="1"/>
    <col min="5" max="5" width="29.625" style="1" customWidth="1"/>
    <col min="6" max="255" width="9" style="1"/>
    <col min="256" max="16384" width="9" style="8"/>
  </cols>
  <sheetData>
    <row r="1" s="1" customFormat="1" ht="26" customHeight="1" spans="1:256">
      <c r="A1" s="64" t="s">
        <v>1649</v>
      </c>
      <c r="IV1" s="8"/>
    </row>
    <row r="2" s="1" customFormat="1" ht="38.25" customHeight="1" spans="1:256">
      <c r="A2" s="41" t="s">
        <v>1650</v>
      </c>
      <c r="B2" s="41"/>
      <c r="C2" s="41"/>
      <c r="D2" s="41"/>
      <c r="E2" s="41"/>
      <c r="IV2" s="8"/>
    </row>
    <row r="3" s="2" customFormat="1" ht="48" customHeight="1" spans="5:5">
      <c r="E3" s="65" t="s">
        <v>5</v>
      </c>
    </row>
    <row r="4" s="2" customFormat="1" ht="43" customHeight="1" spans="1:5">
      <c r="A4" s="66" t="s">
        <v>1651</v>
      </c>
      <c r="B4" s="67" t="s">
        <v>1652</v>
      </c>
      <c r="C4" s="67" t="s">
        <v>8</v>
      </c>
      <c r="D4" s="68" t="s">
        <v>9</v>
      </c>
      <c r="E4" s="69" t="s">
        <v>11</v>
      </c>
    </row>
    <row r="5" s="1" customFormat="1" ht="43" customHeight="1" spans="1:256">
      <c r="A5" s="83" t="s">
        <v>1653</v>
      </c>
      <c r="B5" s="72">
        <v>50</v>
      </c>
      <c r="C5" s="72">
        <v>0</v>
      </c>
      <c r="D5" s="72">
        <f t="shared" ref="D5:D18" si="0">B5+C5</f>
        <v>50</v>
      </c>
      <c r="E5" s="84"/>
      <c r="IV5" s="8"/>
    </row>
    <row r="6" s="1" customFormat="1" ht="35" hidden="1" customHeight="1" spans="1:256">
      <c r="A6" s="83" t="s">
        <v>1654</v>
      </c>
      <c r="B6" s="72"/>
      <c r="C6" s="72"/>
      <c r="D6" s="72">
        <f t="shared" si="0"/>
        <v>0</v>
      </c>
      <c r="E6" s="85"/>
      <c r="IV6" s="8"/>
    </row>
    <row r="7" s="1" customFormat="1" ht="35" hidden="1" customHeight="1" spans="1:256">
      <c r="A7" s="83" t="s">
        <v>1655</v>
      </c>
      <c r="B7" s="72"/>
      <c r="C7" s="72"/>
      <c r="D7" s="72">
        <f t="shared" si="0"/>
        <v>0</v>
      </c>
      <c r="E7" s="85"/>
      <c r="IV7" s="8"/>
    </row>
    <row r="8" s="1" customFormat="1" ht="35" hidden="1" customHeight="1" spans="1:256">
      <c r="A8" s="83" t="s">
        <v>1656</v>
      </c>
      <c r="B8" s="72"/>
      <c r="C8" s="72"/>
      <c r="D8" s="72">
        <f t="shared" si="0"/>
        <v>0</v>
      </c>
      <c r="E8" s="85"/>
      <c r="IV8" s="8"/>
    </row>
    <row r="9" s="1" customFormat="1" ht="35" hidden="1" customHeight="1" spans="1:256">
      <c r="A9" s="86" t="s">
        <v>1657</v>
      </c>
      <c r="B9" s="72"/>
      <c r="C9" s="72"/>
      <c r="D9" s="72">
        <f t="shared" si="0"/>
        <v>0</v>
      </c>
      <c r="E9" s="85"/>
      <c r="IV9" s="8"/>
    </row>
    <row r="10" s="1" customFormat="1" ht="43" customHeight="1" spans="1:256">
      <c r="A10" s="83" t="s">
        <v>1658</v>
      </c>
      <c r="B10" s="72">
        <v>50</v>
      </c>
      <c r="C10" s="72">
        <v>0</v>
      </c>
      <c r="D10" s="72">
        <f t="shared" si="0"/>
        <v>50</v>
      </c>
      <c r="E10" s="85"/>
      <c r="IV10" s="8"/>
    </row>
    <row r="11" s="1" customFormat="1" ht="43" customHeight="1" spans="1:256">
      <c r="A11" s="83" t="s">
        <v>1659</v>
      </c>
      <c r="B11" s="72">
        <v>10990</v>
      </c>
      <c r="C11" s="72">
        <v>-4300</v>
      </c>
      <c r="D11" s="72">
        <f t="shared" si="0"/>
        <v>6690</v>
      </c>
      <c r="E11" s="75" t="s">
        <v>1660</v>
      </c>
      <c r="IV11" s="8"/>
    </row>
    <row r="12" s="1" customFormat="1" ht="35" hidden="1" customHeight="1" spans="1:256">
      <c r="A12" s="83" t="s">
        <v>1661</v>
      </c>
      <c r="B12" s="72"/>
      <c r="C12" s="72"/>
      <c r="D12" s="72">
        <f t="shared" si="0"/>
        <v>0</v>
      </c>
      <c r="E12" s="85"/>
      <c r="IV12" s="8"/>
    </row>
    <row r="13" s="1" customFormat="1" ht="35" hidden="1" customHeight="1" spans="1:256">
      <c r="A13" s="83" t="s">
        <v>1662</v>
      </c>
      <c r="B13" s="72"/>
      <c r="C13" s="72"/>
      <c r="D13" s="72">
        <f t="shared" si="0"/>
        <v>0</v>
      </c>
      <c r="E13" s="85"/>
      <c r="IV13" s="8"/>
    </row>
    <row r="14" s="1" customFormat="1" ht="35" hidden="1" customHeight="1" spans="1:256">
      <c r="A14" s="87" t="s">
        <v>1663</v>
      </c>
      <c r="B14" s="88"/>
      <c r="C14" s="88"/>
      <c r="D14" s="88">
        <f t="shared" si="0"/>
        <v>0</v>
      </c>
      <c r="E14" s="89"/>
      <c r="IV14" s="8"/>
    </row>
    <row r="15" s="1" customFormat="1" ht="43" customHeight="1" spans="1:256">
      <c r="A15" s="90" t="s">
        <v>1664</v>
      </c>
      <c r="B15" s="91">
        <f>B5+B11</f>
        <v>11040</v>
      </c>
      <c r="C15" s="91">
        <f>C5+C11</f>
        <v>-4300</v>
      </c>
      <c r="D15" s="91">
        <f t="shared" si="0"/>
        <v>6740</v>
      </c>
      <c r="E15" s="92"/>
      <c r="IV15" s="8"/>
    </row>
    <row r="16" s="1" customFormat="1" ht="43" customHeight="1" spans="1:256">
      <c r="A16" s="93" t="s">
        <v>1665</v>
      </c>
      <c r="B16" s="94">
        <v>13.25</v>
      </c>
      <c r="C16" s="94">
        <v>0</v>
      </c>
      <c r="D16" s="94">
        <f t="shared" si="0"/>
        <v>13.25</v>
      </c>
      <c r="E16" s="95"/>
      <c r="IV16" s="8"/>
    </row>
    <row r="17" s="1" customFormat="1" ht="43" customHeight="1" spans="1:256">
      <c r="A17" s="83" t="s">
        <v>1666</v>
      </c>
      <c r="B17" s="72">
        <v>13.25</v>
      </c>
      <c r="C17" s="72">
        <v>0</v>
      </c>
      <c r="D17" s="72">
        <f t="shared" si="0"/>
        <v>13.25</v>
      </c>
      <c r="E17" s="84"/>
      <c r="IV17" s="8"/>
    </row>
    <row r="18" s="1" customFormat="1" ht="35" hidden="1" customHeight="1" spans="1:256">
      <c r="A18" s="87" t="s">
        <v>1667</v>
      </c>
      <c r="B18" s="88">
        <v>0</v>
      </c>
      <c r="C18" s="88">
        <v>0</v>
      </c>
      <c r="D18" s="88">
        <f t="shared" si="0"/>
        <v>0</v>
      </c>
      <c r="E18" s="89"/>
      <c r="IV18" s="8"/>
    </row>
    <row r="19" s="1" customFormat="1" ht="43" customHeight="1" spans="1:256">
      <c r="A19" s="96" t="s">
        <v>1668</v>
      </c>
      <c r="B19" s="91">
        <f>B15+B16</f>
        <v>11053.25</v>
      </c>
      <c r="C19" s="91">
        <f>C15+C16</f>
        <v>-4300</v>
      </c>
      <c r="D19" s="91">
        <f>D15+D16</f>
        <v>6753.25</v>
      </c>
      <c r="E19" s="92"/>
      <c r="IV19" s="8"/>
    </row>
  </sheetData>
  <mergeCells count="1">
    <mergeCell ref="A2:E2"/>
  </mergeCells>
  <printOptions horizontalCentered="1"/>
  <pageMargins left="0.786805555555556" right="0.786805555555556" top="0.393055555555556" bottom="0.393055555555556" header="0.196527777777778" footer="0.196527777777778"/>
  <pageSetup paperSize="9" scale="99"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3"/>
  <sheetViews>
    <sheetView topLeftCell="A13" workbookViewId="0">
      <selection activeCell="F22" sqref="F22"/>
    </sheetView>
  </sheetViews>
  <sheetFormatPr defaultColWidth="9" defaultRowHeight="14.25"/>
  <cols>
    <col min="1" max="1" width="9.5" style="60" customWidth="1"/>
    <col min="2" max="2" width="33.25" style="1" customWidth="1"/>
    <col min="3" max="5" width="17.375" style="1" customWidth="1"/>
    <col min="6" max="6" width="23.875" style="1" customWidth="1"/>
    <col min="7" max="16384" width="9" style="1"/>
  </cols>
  <sheetData>
    <row r="1" s="1" customFormat="1" ht="20" customHeight="1" spans="1:255">
      <c r="A1" s="2" t="s">
        <v>1669</v>
      </c>
      <c r="B1" s="40"/>
      <c r="C1" s="40"/>
      <c r="E1" s="3"/>
      <c r="IS1" s="8"/>
      <c r="IT1" s="8"/>
      <c r="IU1" s="8"/>
    </row>
    <row r="2" s="1" customFormat="1" ht="26" customHeight="1" spans="1:255">
      <c r="A2" s="61" t="s">
        <v>1670</v>
      </c>
      <c r="B2" s="61"/>
      <c r="C2" s="61"/>
      <c r="D2" s="61"/>
      <c r="E2" s="61"/>
      <c r="F2" s="61"/>
      <c r="IS2" s="8"/>
      <c r="IT2" s="8"/>
      <c r="IU2" s="8"/>
    </row>
    <row r="3" s="2" customFormat="1" ht="19" customHeight="1" spans="5:6">
      <c r="E3" s="42"/>
      <c r="F3" s="62" t="s">
        <v>5</v>
      </c>
    </row>
    <row r="4" s="2" customFormat="1" ht="28.5" hidden="1" customHeight="1" spans="1:6">
      <c r="A4" s="63"/>
      <c r="C4" s="64"/>
      <c r="D4" s="65"/>
      <c r="E4" s="64"/>
      <c r="F4" s="64"/>
    </row>
    <row r="5" s="59" customFormat="1" ht="33" customHeight="1" spans="1:6">
      <c r="A5" s="66" t="s">
        <v>1671</v>
      </c>
      <c r="B5" s="67" t="s">
        <v>1651</v>
      </c>
      <c r="C5" s="67" t="s">
        <v>1652</v>
      </c>
      <c r="D5" s="67" t="s">
        <v>8</v>
      </c>
      <c r="E5" s="68" t="s">
        <v>9</v>
      </c>
      <c r="F5" s="69" t="s">
        <v>11</v>
      </c>
    </row>
    <row r="6" s="1" customFormat="1" ht="31" customHeight="1" spans="1:6">
      <c r="A6" s="70">
        <v>22301</v>
      </c>
      <c r="B6" s="71" t="s">
        <v>1672</v>
      </c>
      <c r="C6" s="72">
        <v>85</v>
      </c>
      <c r="D6" s="72">
        <v>0</v>
      </c>
      <c r="E6" s="73">
        <v>85</v>
      </c>
      <c r="F6" s="74"/>
    </row>
    <row r="7" s="1" customFormat="1" ht="31" hidden="1" customHeight="1" spans="1:6">
      <c r="A7" s="70"/>
      <c r="B7" s="71" t="s">
        <v>1673</v>
      </c>
      <c r="C7" s="72"/>
      <c r="D7" s="72"/>
      <c r="E7" s="72"/>
      <c r="F7" s="74"/>
    </row>
    <row r="8" s="1" customFormat="1" ht="31" hidden="1" customHeight="1" spans="1:6">
      <c r="A8" s="70"/>
      <c r="B8" s="71" t="s">
        <v>1674</v>
      </c>
      <c r="C8" s="72"/>
      <c r="D8" s="72"/>
      <c r="E8" s="72"/>
      <c r="F8" s="74"/>
    </row>
    <row r="9" s="1" customFormat="1" ht="31" customHeight="1" spans="1:6">
      <c r="A9" s="70">
        <v>2230199</v>
      </c>
      <c r="B9" s="71" t="s">
        <v>1675</v>
      </c>
      <c r="C9" s="72">
        <v>85</v>
      </c>
      <c r="D9" s="72">
        <v>0</v>
      </c>
      <c r="E9" s="73">
        <v>85</v>
      </c>
      <c r="F9" s="74"/>
    </row>
    <row r="10" s="1" customFormat="1" ht="31" customHeight="1" spans="1:6">
      <c r="A10" s="70">
        <v>22302</v>
      </c>
      <c r="B10" s="71" t="s">
        <v>1676</v>
      </c>
      <c r="C10" s="72">
        <v>3000</v>
      </c>
      <c r="D10" s="72">
        <v>-3000</v>
      </c>
      <c r="E10" s="72">
        <v>0</v>
      </c>
      <c r="F10" s="74"/>
    </row>
    <row r="11" s="1" customFormat="1" ht="31" hidden="1" customHeight="1" spans="1:6">
      <c r="A11" s="70"/>
      <c r="B11" s="71" t="s">
        <v>1677</v>
      </c>
      <c r="C11" s="72"/>
      <c r="D11" s="72"/>
      <c r="E11" s="72"/>
      <c r="F11" s="74"/>
    </row>
    <row r="12" s="1" customFormat="1" ht="31" hidden="1" customHeight="1" spans="1:6">
      <c r="A12" s="70"/>
      <c r="B12" s="71" t="s">
        <v>1678</v>
      </c>
      <c r="C12" s="72"/>
      <c r="D12" s="72"/>
      <c r="E12" s="72"/>
      <c r="F12" s="74"/>
    </row>
    <row r="13" s="1" customFormat="1" ht="31" customHeight="1" spans="1:6">
      <c r="A13" s="70">
        <v>2230299</v>
      </c>
      <c r="B13" s="71" t="s">
        <v>1679</v>
      </c>
      <c r="C13" s="72">
        <v>3000</v>
      </c>
      <c r="D13" s="72">
        <v>-3000</v>
      </c>
      <c r="E13" s="72">
        <v>0</v>
      </c>
      <c r="F13" s="75" t="s">
        <v>1680</v>
      </c>
    </row>
    <row r="14" s="1" customFormat="1" ht="31" customHeight="1" spans="1:6">
      <c r="A14" s="70">
        <v>22303</v>
      </c>
      <c r="B14" s="71" t="s">
        <v>1681</v>
      </c>
      <c r="C14" s="72">
        <v>0</v>
      </c>
      <c r="D14" s="72">
        <v>0</v>
      </c>
      <c r="E14" s="72">
        <v>0</v>
      </c>
      <c r="F14" s="75"/>
    </row>
    <row r="15" s="1" customFormat="1" ht="31" customHeight="1" spans="1:6">
      <c r="A15" s="70">
        <v>2230301</v>
      </c>
      <c r="B15" s="71" t="s">
        <v>1682</v>
      </c>
      <c r="C15" s="72">
        <v>0</v>
      </c>
      <c r="D15" s="72">
        <v>0</v>
      </c>
      <c r="E15" s="72">
        <v>0</v>
      </c>
      <c r="F15" s="75"/>
    </row>
    <row r="16" s="1" customFormat="1" ht="31" customHeight="1" spans="1:6">
      <c r="A16" s="70">
        <v>22399</v>
      </c>
      <c r="B16" s="71" t="s">
        <v>1683</v>
      </c>
      <c r="C16" s="72">
        <v>4656.25</v>
      </c>
      <c r="D16" s="73">
        <v>-10</v>
      </c>
      <c r="E16" s="73">
        <v>4646.25</v>
      </c>
      <c r="F16" s="75" t="s">
        <v>1684</v>
      </c>
    </row>
    <row r="17" s="1" customFormat="1" ht="31" customHeight="1" spans="1:6">
      <c r="A17" s="70">
        <v>2239901</v>
      </c>
      <c r="B17" s="71" t="s">
        <v>1685</v>
      </c>
      <c r="C17" s="72">
        <v>4656.25</v>
      </c>
      <c r="D17" s="73">
        <v>-10</v>
      </c>
      <c r="E17" s="73">
        <v>4646.25</v>
      </c>
      <c r="F17" s="75" t="s">
        <v>1684</v>
      </c>
    </row>
    <row r="18" s="1" customFormat="1" ht="31" customHeight="1" spans="1:6">
      <c r="A18" s="76"/>
      <c r="B18" s="77" t="s">
        <v>1686</v>
      </c>
      <c r="C18" s="72">
        <f>C6+C10+C14+C16</f>
        <v>7741.25</v>
      </c>
      <c r="D18" s="72">
        <f>D6+D10+D14+D16</f>
        <v>-3010</v>
      </c>
      <c r="E18" s="72">
        <f>E6+E10+E14+E16</f>
        <v>4731.25</v>
      </c>
      <c r="F18" s="74"/>
    </row>
    <row r="19" s="1" customFormat="1" ht="31" hidden="1" customHeight="1" spans="1:6">
      <c r="A19" s="70"/>
      <c r="B19" s="78" t="s">
        <v>1687</v>
      </c>
      <c r="C19" s="72"/>
      <c r="D19" s="72"/>
      <c r="E19" s="72">
        <f>E20</f>
        <v>0</v>
      </c>
      <c r="F19" s="74"/>
    </row>
    <row r="20" s="1" customFormat="1" ht="31" hidden="1" customHeight="1" spans="1:6">
      <c r="A20" s="70"/>
      <c r="B20" s="71" t="s">
        <v>1666</v>
      </c>
      <c r="C20" s="72"/>
      <c r="D20" s="72"/>
      <c r="E20" s="72">
        <f>D20</f>
        <v>0</v>
      </c>
      <c r="F20" s="74"/>
    </row>
    <row r="21" s="1" customFormat="1" ht="31" hidden="1" customHeight="1" spans="1:6">
      <c r="A21" s="70"/>
      <c r="B21" s="71" t="s">
        <v>1688</v>
      </c>
      <c r="C21" s="72"/>
      <c r="D21" s="72"/>
      <c r="E21" s="72"/>
      <c r="F21" s="74"/>
    </row>
    <row r="22" s="1" customFormat="1" ht="31" customHeight="1" spans="1:6">
      <c r="A22" s="70">
        <v>2300803</v>
      </c>
      <c r="B22" s="78" t="s">
        <v>1689</v>
      </c>
      <c r="C22" s="72">
        <v>3312.0483</v>
      </c>
      <c r="D22" s="72">
        <f>E22-C22</f>
        <v>-1290.0483</v>
      </c>
      <c r="E22" s="72">
        <v>2022</v>
      </c>
      <c r="F22" s="74"/>
    </row>
    <row r="23" s="1" customFormat="1" ht="31" customHeight="1" spans="1:6">
      <c r="A23" s="79"/>
      <c r="B23" s="80" t="s">
        <v>1631</v>
      </c>
      <c r="C23" s="81">
        <f>C18+C19+C22</f>
        <v>11053.2983</v>
      </c>
      <c r="D23" s="81">
        <f>D18+D19+D22</f>
        <v>-4300.0483</v>
      </c>
      <c r="E23" s="81">
        <f>E18+E19+E22</f>
        <v>6753.25</v>
      </c>
      <c r="F23" s="82"/>
    </row>
  </sheetData>
  <mergeCells count="1">
    <mergeCell ref="A2:F2"/>
  </mergeCells>
  <printOptions horizontalCentered="1"/>
  <pageMargins left="0.786805555555556" right="0.786805555555556" top="0.393055555555556" bottom="0.393055555555556" header="0.196527777777778" footer="0.196527777777778"/>
  <pageSetup paperSize="9"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9"/>
  <sheetViews>
    <sheetView topLeftCell="A28" workbookViewId="0">
      <selection activeCell="A4" sqref="$A4:$XFD7"/>
    </sheetView>
  </sheetViews>
  <sheetFormatPr defaultColWidth="9" defaultRowHeight="14.25"/>
  <cols>
    <col min="1" max="1" width="48.5" style="1" customWidth="1"/>
    <col min="2" max="2" width="17.875" style="1" customWidth="1"/>
    <col min="3" max="3" width="15.75" style="1" customWidth="1"/>
    <col min="4" max="4" width="19.75" style="1" customWidth="1"/>
    <col min="5" max="5" width="65.625" style="3" customWidth="1"/>
    <col min="6" max="252" width="9" style="1"/>
    <col min="253" max="16383" width="9" style="8"/>
  </cols>
  <sheetData>
    <row r="1" s="1" customFormat="1" ht="21" customHeight="1" spans="1:255">
      <c r="A1" s="40" t="s">
        <v>1690</v>
      </c>
      <c r="B1" s="40"/>
      <c r="C1" s="40"/>
      <c r="E1" s="3"/>
      <c r="IS1" s="8"/>
      <c r="IT1" s="8"/>
      <c r="IU1" s="8"/>
    </row>
    <row r="2" s="1" customFormat="1" ht="38.25" customHeight="1" spans="1:255">
      <c r="A2" s="41" t="s">
        <v>1691</v>
      </c>
      <c r="B2" s="41"/>
      <c r="C2" s="41"/>
      <c r="D2" s="41"/>
      <c r="E2" s="41"/>
      <c r="IS2" s="8"/>
      <c r="IT2" s="8"/>
      <c r="IU2" s="8"/>
    </row>
    <row r="3" s="2" customFormat="1" ht="23.25" customHeight="1" spans="5:5">
      <c r="E3" s="42" t="s">
        <v>5</v>
      </c>
    </row>
    <row r="4" s="2" customFormat="1" ht="23.25" customHeight="1" spans="1:5">
      <c r="A4" s="43" t="s">
        <v>1651</v>
      </c>
      <c r="B4" s="44" t="s">
        <v>1652</v>
      </c>
      <c r="C4" s="43" t="s">
        <v>8</v>
      </c>
      <c r="D4" s="43" t="s">
        <v>9</v>
      </c>
      <c r="E4" s="43" t="s">
        <v>11</v>
      </c>
    </row>
    <row r="5" s="39" customFormat="1" ht="23.25" customHeight="1" spans="1:5">
      <c r="A5" s="43"/>
      <c r="B5" s="45"/>
      <c r="C5" s="43"/>
      <c r="D5" s="43"/>
      <c r="E5" s="43"/>
    </row>
    <row r="6" s="39" customFormat="1" ht="14.1" customHeight="1" spans="1:5">
      <c r="A6" s="43"/>
      <c r="B6" s="45"/>
      <c r="C6" s="43"/>
      <c r="D6" s="43"/>
      <c r="E6" s="43"/>
    </row>
    <row r="7" s="39" customFormat="1" ht="20.25" customHeight="1" spans="1:5">
      <c r="A7" s="43"/>
      <c r="B7" s="46"/>
      <c r="C7" s="43"/>
      <c r="D7" s="43"/>
      <c r="E7" s="43"/>
    </row>
    <row r="8" s="1" customFormat="1" ht="24.95" customHeight="1" spans="1:255">
      <c r="A8" s="47" t="s">
        <v>1692</v>
      </c>
      <c r="B8" s="48">
        <f>SUM(B9,B17)</f>
        <v>24371</v>
      </c>
      <c r="C8" s="48">
        <f>SUM(C9,C17)</f>
        <v>6061</v>
      </c>
      <c r="D8" s="48">
        <f>SUM(D9,D17)</f>
        <v>30432</v>
      </c>
      <c r="E8" s="49"/>
      <c r="IS8" s="8"/>
      <c r="IT8" s="8"/>
      <c r="IU8" s="8"/>
    </row>
    <row r="9" s="1" customFormat="1" ht="24.95" customHeight="1" spans="1:255">
      <c r="A9" s="47" t="s">
        <v>1693</v>
      </c>
      <c r="B9" s="22">
        <f>SUM(B10:B16)</f>
        <v>10127</v>
      </c>
      <c r="C9" s="22">
        <f>SUM(C10:C16)</f>
        <v>491</v>
      </c>
      <c r="D9" s="22">
        <f>SUM(D10:D16)</f>
        <v>10618</v>
      </c>
      <c r="E9" s="49"/>
      <c r="IS9" s="8"/>
      <c r="IT9" s="8"/>
      <c r="IU9" s="8"/>
    </row>
    <row r="10" s="1" customFormat="1" ht="24.95" customHeight="1" spans="1:255">
      <c r="A10" s="47" t="s">
        <v>1694</v>
      </c>
      <c r="B10" s="22">
        <v>893</v>
      </c>
      <c r="C10" s="22">
        <v>12</v>
      </c>
      <c r="D10" s="22">
        <f t="shared" ref="D10:D16" si="0">SUM(B10:C10)</f>
        <v>905</v>
      </c>
      <c r="E10" s="49"/>
      <c r="IS10" s="8"/>
      <c r="IT10" s="8"/>
      <c r="IU10" s="8"/>
    </row>
    <row r="11" s="1" customFormat="1" ht="24.95" customHeight="1" spans="1:255">
      <c r="A11" s="47" t="s">
        <v>1695</v>
      </c>
      <c r="B11" s="22">
        <v>8438</v>
      </c>
      <c r="C11" s="23">
        <v>456</v>
      </c>
      <c r="D11" s="22">
        <f t="shared" si="0"/>
        <v>8894</v>
      </c>
      <c r="E11" s="49"/>
      <c r="IS11" s="8"/>
      <c r="IT11" s="8"/>
      <c r="IU11" s="8"/>
    </row>
    <row r="12" s="1" customFormat="1" ht="24.95" customHeight="1" spans="1:255">
      <c r="A12" s="47" t="s">
        <v>1696</v>
      </c>
      <c r="B12" s="22">
        <v>291</v>
      </c>
      <c r="C12" s="23">
        <v>-17</v>
      </c>
      <c r="D12" s="50">
        <f t="shared" si="0"/>
        <v>274</v>
      </c>
      <c r="E12" s="49"/>
      <c r="IS12" s="8"/>
      <c r="IT12" s="8"/>
      <c r="IU12" s="8"/>
    </row>
    <row r="13" s="1" customFormat="1" ht="24.95" customHeight="1" spans="1:255">
      <c r="A13" s="47" t="s">
        <v>1697</v>
      </c>
      <c r="B13" s="22">
        <v>55</v>
      </c>
      <c r="C13" s="23">
        <v>0</v>
      </c>
      <c r="D13" s="22">
        <f t="shared" si="0"/>
        <v>55</v>
      </c>
      <c r="E13" s="49"/>
      <c r="IS13" s="8"/>
      <c r="IT13" s="8"/>
      <c r="IU13" s="8"/>
    </row>
    <row r="14" s="1" customFormat="1" ht="24.95" customHeight="1" spans="1:255">
      <c r="A14" s="47" t="s">
        <v>1698</v>
      </c>
      <c r="B14" s="22">
        <v>445</v>
      </c>
      <c r="C14" s="23">
        <v>0</v>
      </c>
      <c r="D14" s="22">
        <f t="shared" si="0"/>
        <v>445</v>
      </c>
      <c r="E14" s="49"/>
      <c r="IS14" s="8"/>
      <c r="IT14" s="8"/>
      <c r="IU14" s="8"/>
    </row>
    <row r="15" s="1" customFormat="1" ht="24.95" customHeight="1" spans="1:255">
      <c r="A15" s="47" t="s">
        <v>1699</v>
      </c>
      <c r="B15" s="22">
        <v>5</v>
      </c>
      <c r="C15" s="23">
        <v>0</v>
      </c>
      <c r="D15" s="22">
        <f t="shared" si="0"/>
        <v>5</v>
      </c>
      <c r="E15" s="49"/>
      <c r="IS15" s="8"/>
      <c r="IT15" s="8"/>
      <c r="IU15" s="8"/>
    </row>
    <row r="16" s="1" customFormat="1" ht="24.95" customHeight="1" spans="1:255">
      <c r="A16" s="47" t="s">
        <v>1700</v>
      </c>
      <c r="B16" s="51">
        <v>0</v>
      </c>
      <c r="C16" s="22">
        <v>40</v>
      </c>
      <c r="D16" s="22">
        <f t="shared" si="0"/>
        <v>40</v>
      </c>
      <c r="E16" s="49"/>
      <c r="IS16" s="8"/>
      <c r="IT16" s="8"/>
      <c r="IU16" s="8"/>
    </row>
    <row r="17" s="1" customFormat="1" ht="24.95" customHeight="1" spans="1:255">
      <c r="A17" s="47" t="s">
        <v>1701</v>
      </c>
      <c r="B17" s="22">
        <v>14244</v>
      </c>
      <c r="C17" s="22">
        <f>D17-B17</f>
        <v>5570</v>
      </c>
      <c r="D17" s="22">
        <f>SUM(D18:D22)</f>
        <v>19814</v>
      </c>
      <c r="E17" s="49"/>
      <c r="IS17" s="8"/>
      <c r="IT17" s="8"/>
      <c r="IU17" s="8"/>
    </row>
    <row r="18" s="1" customFormat="1" ht="24.95" customHeight="1" spans="1:255">
      <c r="A18" s="47" t="s">
        <v>1702</v>
      </c>
      <c r="B18" s="22">
        <v>9965</v>
      </c>
      <c r="C18" s="23">
        <v>187</v>
      </c>
      <c r="D18" s="22">
        <f t="shared" ref="D18:D22" si="1">SUM(B18:C18)</f>
        <v>10152</v>
      </c>
      <c r="E18" s="52"/>
      <c r="IS18" s="8"/>
      <c r="IT18" s="8"/>
      <c r="IU18" s="8"/>
    </row>
    <row r="19" s="1" customFormat="1" ht="24.95" customHeight="1" spans="1:255">
      <c r="A19" s="47" t="s">
        <v>1703</v>
      </c>
      <c r="B19" s="22">
        <v>4200</v>
      </c>
      <c r="C19" s="23">
        <v>5264</v>
      </c>
      <c r="D19" s="22">
        <f t="shared" si="1"/>
        <v>9464</v>
      </c>
      <c r="E19" s="49"/>
      <c r="IS19" s="8"/>
      <c r="IT19" s="8"/>
      <c r="IU19" s="8"/>
    </row>
    <row r="20" s="1" customFormat="1" ht="24.95" customHeight="1" spans="1:255">
      <c r="A20" s="47" t="s">
        <v>1704</v>
      </c>
      <c r="B20" s="22">
        <v>79</v>
      </c>
      <c r="C20" s="23">
        <v>-39</v>
      </c>
      <c r="D20" s="22">
        <f t="shared" si="1"/>
        <v>40</v>
      </c>
      <c r="E20" s="49"/>
      <c r="IS20" s="8"/>
      <c r="IT20" s="8"/>
      <c r="IU20" s="8"/>
    </row>
    <row r="21" s="1" customFormat="1" ht="24.95" customHeight="1" spans="1:255">
      <c r="A21" s="47" t="s">
        <v>1705</v>
      </c>
      <c r="B21" s="22">
        <v>0</v>
      </c>
      <c r="C21" s="22">
        <v>157</v>
      </c>
      <c r="D21" s="22">
        <f t="shared" si="1"/>
        <v>157</v>
      </c>
      <c r="E21" s="49"/>
      <c r="IS21" s="8"/>
      <c r="IT21" s="8"/>
      <c r="IU21" s="8"/>
    </row>
    <row r="22" s="1" customFormat="1" ht="24.95" customHeight="1" spans="1:255">
      <c r="A22" s="47" t="s">
        <v>1706</v>
      </c>
      <c r="B22" s="22">
        <v>1</v>
      </c>
      <c r="C22" s="22">
        <v>0</v>
      </c>
      <c r="D22" s="22">
        <f t="shared" si="1"/>
        <v>1</v>
      </c>
      <c r="E22" s="49"/>
      <c r="IS22" s="8"/>
      <c r="IT22" s="8"/>
      <c r="IU22" s="8"/>
    </row>
    <row r="23" s="1" customFormat="1" ht="24.95" customHeight="1" spans="1:255">
      <c r="A23" s="53" t="s">
        <v>43</v>
      </c>
      <c r="B23" s="19">
        <f>SUM(B8)</f>
        <v>24371</v>
      </c>
      <c r="C23" s="19">
        <f>D23-B23</f>
        <v>6061</v>
      </c>
      <c r="D23" s="19">
        <f>SUM(D8)</f>
        <v>30432</v>
      </c>
      <c r="E23" s="54"/>
      <c r="IS23" s="8"/>
      <c r="IT23" s="8"/>
      <c r="IU23" s="8"/>
    </row>
    <row r="24" s="1" customFormat="1" ht="24.95" customHeight="1" spans="1:255">
      <c r="A24" s="47" t="s">
        <v>1707</v>
      </c>
      <c r="B24" s="22">
        <f>B25+B28+B29</f>
        <v>29756</v>
      </c>
      <c r="C24" s="22">
        <f>C25+C28+C29</f>
        <v>3865</v>
      </c>
      <c r="D24" s="22">
        <f>D25+D28+D29</f>
        <v>33621</v>
      </c>
      <c r="E24" s="49"/>
      <c r="IS24" s="8"/>
      <c r="IT24" s="8"/>
      <c r="IU24" s="8"/>
    </row>
    <row r="25" s="1" customFormat="1" ht="60" customHeight="1" spans="1:255">
      <c r="A25" s="47" t="s">
        <v>1708</v>
      </c>
      <c r="B25" s="22">
        <v>29756</v>
      </c>
      <c r="C25" s="23">
        <v>33</v>
      </c>
      <c r="D25" s="22">
        <f t="shared" ref="D25:D29" si="2">SUM(B25:C25)</f>
        <v>29789</v>
      </c>
      <c r="E25" s="52" t="s">
        <v>1709</v>
      </c>
      <c r="IS25" s="8"/>
      <c r="IT25" s="8"/>
      <c r="IU25" s="8"/>
    </row>
    <row r="26" s="6" customFormat="1" ht="28.5" hidden="1" customHeight="1" spans="1:255">
      <c r="A26" s="55" t="s">
        <v>1710</v>
      </c>
      <c r="B26" s="31">
        <v>21855</v>
      </c>
      <c r="C26" s="32">
        <v>27</v>
      </c>
      <c r="D26" s="31">
        <f>B26+C26</f>
        <v>21882</v>
      </c>
      <c r="E26" s="56"/>
      <c r="IS26" s="38"/>
      <c r="IT26" s="38"/>
      <c r="IU26" s="38"/>
    </row>
    <row r="27" s="6" customFormat="1" ht="28.5" hidden="1" customHeight="1" spans="1:255">
      <c r="A27" s="55" t="s">
        <v>1711</v>
      </c>
      <c r="B27" s="31">
        <v>7901</v>
      </c>
      <c r="C27" s="32"/>
      <c r="D27" s="31">
        <f>B27+C27</f>
        <v>7901</v>
      </c>
      <c r="E27" s="56"/>
      <c r="IS27" s="38"/>
      <c r="IT27" s="38"/>
      <c r="IU27" s="38"/>
    </row>
    <row r="28" s="1" customFormat="1" ht="24.95" customHeight="1" spans="1:255">
      <c r="A28" s="47" t="s">
        <v>1712</v>
      </c>
      <c r="B28" s="22">
        <v>0</v>
      </c>
      <c r="C28" s="22">
        <v>3542</v>
      </c>
      <c r="D28" s="57">
        <f t="shared" si="2"/>
        <v>3542</v>
      </c>
      <c r="E28" s="49"/>
      <c r="IS28" s="8"/>
      <c r="IT28" s="8"/>
      <c r="IU28" s="8"/>
    </row>
    <row r="29" s="1" customFormat="1" ht="24.95" customHeight="1" spans="1:255">
      <c r="A29" s="47" t="s">
        <v>1713</v>
      </c>
      <c r="B29" s="22">
        <v>0</v>
      </c>
      <c r="C29" s="22">
        <v>290</v>
      </c>
      <c r="D29" s="57">
        <f t="shared" si="2"/>
        <v>290</v>
      </c>
      <c r="E29" s="49"/>
      <c r="IS29" s="8"/>
      <c r="IT29" s="8"/>
      <c r="IU29" s="8"/>
    </row>
    <row r="30" s="1" customFormat="1" ht="24.95" customHeight="1" spans="1:255">
      <c r="A30" s="53" t="s">
        <v>1714</v>
      </c>
      <c r="B30" s="35">
        <f>B23+B24</f>
        <v>54127</v>
      </c>
      <c r="C30" s="23">
        <f>D30-B30</f>
        <v>9926</v>
      </c>
      <c r="D30" s="35">
        <f>D23+D24</f>
        <v>64053</v>
      </c>
      <c r="E30" s="49"/>
      <c r="IS30" s="8"/>
      <c r="IT30" s="8"/>
      <c r="IU30" s="8"/>
    </row>
    <row r="31" s="1" customFormat="1" spans="5:255">
      <c r="E31" s="3"/>
      <c r="IS31" s="8"/>
      <c r="IT31" s="8"/>
      <c r="IU31" s="8"/>
    </row>
    <row r="32" s="1" customFormat="1" ht="17.25" customHeight="1" spans="5:255">
      <c r="E32" s="3"/>
      <c r="IS32" s="8"/>
      <c r="IT32" s="8"/>
      <c r="IU32" s="8"/>
    </row>
    <row r="34" spans="1:3">
      <c r="A34" s="58"/>
      <c r="B34" s="58"/>
      <c r="C34" s="58"/>
    </row>
    <row r="35" spans="1:3">
      <c r="A35" s="58"/>
      <c r="B35" s="58"/>
      <c r="C35" s="58"/>
    </row>
    <row r="36" spans="1:3">
      <c r="A36" s="58"/>
      <c r="B36" s="58"/>
      <c r="C36" s="58"/>
    </row>
    <row r="37" spans="1:3">
      <c r="A37" s="58"/>
      <c r="B37" s="58"/>
      <c r="C37" s="58"/>
    </row>
    <row r="38" spans="1:3">
      <c r="A38" s="58"/>
      <c r="B38" s="58"/>
      <c r="C38" s="58"/>
    </row>
    <row r="39" spans="1:3">
      <c r="A39" s="58"/>
      <c r="B39" s="58"/>
      <c r="C39" s="58"/>
    </row>
  </sheetData>
  <mergeCells count="6">
    <mergeCell ref="A2:E2"/>
    <mergeCell ref="A4:A7"/>
    <mergeCell ref="B4:B7"/>
    <mergeCell ref="C4:C7"/>
    <mergeCell ref="D4:D7"/>
    <mergeCell ref="E4:E7"/>
  </mergeCells>
  <printOptions horizontalCentered="1"/>
  <pageMargins left="0.786805555555556" right="0.786805555555556" top="0.393055555555556" bottom="0.393055555555556" header="0.196527777777778" footer="0.196527777777778"/>
  <pageSetup paperSize="9" scale="72"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6"/>
  <sheetViews>
    <sheetView topLeftCell="B1" workbookViewId="0">
      <selection activeCell="G10" sqref="G10"/>
    </sheetView>
  </sheetViews>
  <sheetFormatPr defaultColWidth="9" defaultRowHeight="14.25"/>
  <cols>
    <col min="1" max="1" width="11" style="7" hidden="1" customWidth="1"/>
    <col min="2" max="2" width="42.625" style="1" customWidth="1"/>
    <col min="3" max="3" width="16.875" style="1" customWidth="1"/>
    <col min="4" max="4" width="18.75" style="1" customWidth="1"/>
    <col min="5" max="5" width="18.125" style="1" customWidth="1"/>
    <col min="6" max="6" width="17.25" style="1" customWidth="1"/>
    <col min="7" max="251" width="9" style="1"/>
    <col min="252" max="16382" width="9" style="8"/>
  </cols>
  <sheetData>
    <row r="1" s="1" customFormat="1" ht="26.1" customHeight="1" spans="1:254">
      <c r="A1" s="9"/>
      <c r="B1" s="10" t="s">
        <v>1715</v>
      </c>
      <c r="C1" s="10"/>
      <c r="D1" s="10"/>
      <c r="E1" s="10"/>
      <c r="F1" s="10"/>
      <c r="IR1" s="8"/>
      <c r="IS1" s="8"/>
      <c r="IT1" s="8"/>
    </row>
    <row r="2" s="1" customFormat="1" ht="31" customHeight="1" spans="1:254">
      <c r="A2" s="11" t="s">
        <v>1716</v>
      </c>
      <c r="B2" s="11"/>
      <c r="C2" s="11"/>
      <c r="D2" s="11"/>
      <c r="E2" s="11"/>
      <c r="F2" s="11"/>
      <c r="IR2" s="8"/>
      <c r="IS2" s="8"/>
      <c r="IT2" s="8"/>
    </row>
    <row r="3" s="2" customFormat="1" ht="28.5" customHeight="1" spans="1:6">
      <c r="A3" s="12"/>
      <c r="B3" s="13"/>
      <c r="C3" s="13"/>
      <c r="D3" s="13"/>
      <c r="E3" s="13"/>
      <c r="F3" s="14" t="s">
        <v>5</v>
      </c>
    </row>
    <row r="4" s="2" customFormat="1" ht="28.5" hidden="1" customHeight="1" spans="1:6">
      <c r="A4" s="12"/>
      <c r="B4" s="13"/>
      <c r="C4" s="13"/>
      <c r="D4" s="13"/>
      <c r="E4" s="13"/>
      <c r="F4" s="13"/>
    </row>
    <row r="5" s="2" customFormat="1" ht="24" customHeight="1" spans="1:6">
      <c r="A5" s="15" t="s">
        <v>1717</v>
      </c>
      <c r="B5" s="16" t="s">
        <v>1651</v>
      </c>
      <c r="C5" s="16" t="s">
        <v>1652</v>
      </c>
      <c r="D5" s="16" t="s">
        <v>8</v>
      </c>
      <c r="E5" s="16" t="s">
        <v>9</v>
      </c>
      <c r="F5" s="16" t="s">
        <v>11</v>
      </c>
    </row>
    <row r="6" s="3" customFormat="1" ht="24" customHeight="1" spans="1:6">
      <c r="A6" s="17"/>
      <c r="B6" s="16"/>
      <c r="C6" s="16"/>
      <c r="D6" s="16"/>
      <c r="E6" s="16"/>
      <c r="F6" s="16"/>
    </row>
    <row r="7" s="4" customFormat="1" ht="24.95" customHeight="1" spans="1:6">
      <c r="A7" s="18" t="s">
        <v>1718</v>
      </c>
      <c r="B7" s="18" t="s">
        <v>1719</v>
      </c>
      <c r="C7" s="19">
        <f t="shared" ref="C7:E7" si="0">SUM(C8,C14)</f>
        <v>18989</v>
      </c>
      <c r="D7" s="19">
        <f t="shared" si="0"/>
        <v>486</v>
      </c>
      <c r="E7" s="19">
        <f t="shared" si="0"/>
        <v>19475</v>
      </c>
      <c r="F7" s="20"/>
    </row>
    <row r="8" s="3" customFormat="1" ht="24.95" customHeight="1" spans="1:6">
      <c r="A8" s="21" t="s">
        <v>1720</v>
      </c>
      <c r="B8" s="21" t="s">
        <v>1721</v>
      </c>
      <c r="C8" s="22">
        <f>SUM(C9:C12)</f>
        <v>8329</v>
      </c>
      <c r="D8" s="23">
        <f>SUM(D9:D13)</f>
        <v>310</v>
      </c>
      <c r="E8" s="22">
        <f>SUM(E9:E13)</f>
        <v>8639</v>
      </c>
      <c r="F8" s="24"/>
    </row>
    <row r="9" s="3" customFormat="1" ht="24.95" customHeight="1" spans="1:6">
      <c r="A9" s="21" t="s">
        <v>1722</v>
      </c>
      <c r="B9" s="21" t="s">
        <v>1723</v>
      </c>
      <c r="C9" s="22">
        <v>7636</v>
      </c>
      <c r="D9" s="23">
        <v>55</v>
      </c>
      <c r="E9" s="22">
        <f t="shared" ref="E9:E13" si="1">SUM(C9:D9)</f>
        <v>7691</v>
      </c>
      <c r="F9" s="24"/>
    </row>
    <row r="10" s="3" customFormat="1" ht="24.95" customHeight="1" spans="1:6">
      <c r="A10" s="21" t="s">
        <v>1724</v>
      </c>
      <c r="B10" s="21" t="s">
        <v>1725</v>
      </c>
      <c r="C10" s="22">
        <v>611</v>
      </c>
      <c r="D10" s="23">
        <v>71</v>
      </c>
      <c r="E10" s="22">
        <f t="shared" si="1"/>
        <v>682</v>
      </c>
      <c r="F10" s="24"/>
    </row>
    <row r="11" s="3" customFormat="1" ht="24.95" customHeight="1" spans="1:6">
      <c r="A11" s="21" t="s">
        <v>1726</v>
      </c>
      <c r="B11" s="21" t="s">
        <v>1727</v>
      </c>
      <c r="C11" s="22">
        <v>80</v>
      </c>
      <c r="D11" s="23">
        <v>25</v>
      </c>
      <c r="E11" s="22">
        <f t="shared" si="1"/>
        <v>105</v>
      </c>
      <c r="F11" s="24"/>
    </row>
    <row r="12" s="3" customFormat="1" ht="24.95" customHeight="1" spans="1:6">
      <c r="A12" s="21"/>
      <c r="B12" s="21" t="s">
        <v>1728</v>
      </c>
      <c r="C12" s="22">
        <v>2</v>
      </c>
      <c r="D12" s="23">
        <v>-1</v>
      </c>
      <c r="E12" s="22">
        <f t="shared" si="1"/>
        <v>1</v>
      </c>
      <c r="F12" s="24"/>
    </row>
    <row r="13" s="3" customFormat="1" ht="24.95" customHeight="1" spans="1:6">
      <c r="A13" s="21"/>
      <c r="B13" s="21" t="s">
        <v>1729</v>
      </c>
      <c r="C13" s="22"/>
      <c r="D13" s="23">
        <v>160</v>
      </c>
      <c r="E13" s="22">
        <f t="shared" si="1"/>
        <v>160</v>
      </c>
      <c r="F13" s="25"/>
    </row>
    <row r="14" s="3" customFormat="1" ht="24.95" customHeight="1" spans="1:6">
      <c r="A14" s="26">
        <v>20911</v>
      </c>
      <c r="B14" s="21" t="s">
        <v>1730</v>
      </c>
      <c r="C14" s="22">
        <f t="shared" ref="C14:E14" si="2">SUM(C15:C17)</f>
        <v>10660</v>
      </c>
      <c r="D14" s="23">
        <f t="shared" si="2"/>
        <v>176</v>
      </c>
      <c r="E14" s="22">
        <f t="shared" si="2"/>
        <v>10836</v>
      </c>
      <c r="F14" s="25"/>
    </row>
    <row r="15" s="3" customFormat="1" ht="24.95" customHeight="1" spans="1:6">
      <c r="A15" s="26">
        <v>2091101</v>
      </c>
      <c r="B15" s="21" t="s">
        <v>1731</v>
      </c>
      <c r="C15" s="22">
        <v>10660</v>
      </c>
      <c r="D15" s="23">
        <v>11</v>
      </c>
      <c r="E15" s="27">
        <f t="shared" ref="E15:E17" si="3">SUM(C15:D15)</f>
        <v>10671</v>
      </c>
      <c r="F15" s="25"/>
    </row>
    <row r="16" s="3" customFormat="1" ht="24.95" customHeight="1" spans="1:6">
      <c r="A16" s="26"/>
      <c r="B16" s="21" t="s">
        <v>1728</v>
      </c>
      <c r="C16" s="22"/>
      <c r="D16" s="27">
        <v>156</v>
      </c>
      <c r="E16" s="27">
        <f t="shared" si="3"/>
        <v>156</v>
      </c>
      <c r="F16" s="25"/>
    </row>
    <row r="17" s="3" customFormat="1" ht="24.95" customHeight="1" spans="1:6">
      <c r="A17" s="26">
        <v>2091199</v>
      </c>
      <c r="B17" s="21" t="s">
        <v>1732</v>
      </c>
      <c r="C17" s="23"/>
      <c r="D17" s="23">
        <v>9</v>
      </c>
      <c r="E17" s="27">
        <f t="shared" si="3"/>
        <v>9</v>
      </c>
      <c r="F17" s="25"/>
    </row>
    <row r="18" s="5" customFormat="1" ht="24.95" customHeight="1" spans="1:254">
      <c r="A18" s="18" t="s">
        <v>1192</v>
      </c>
      <c r="B18" s="18" t="s">
        <v>493</v>
      </c>
      <c r="C18" s="19">
        <f t="shared" ref="C18:E18" si="4">C19+C20+C21</f>
        <v>35138</v>
      </c>
      <c r="D18" s="19">
        <f t="shared" si="4"/>
        <v>9440</v>
      </c>
      <c r="E18" s="19">
        <f t="shared" si="4"/>
        <v>44578</v>
      </c>
      <c r="F18" s="20"/>
      <c r="IR18" s="37"/>
      <c r="IS18" s="37"/>
      <c r="IT18" s="37"/>
    </row>
    <row r="19" s="1" customFormat="1" ht="24.95" customHeight="1" spans="1:254">
      <c r="A19" s="21"/>
      <c r="B19" s="26" t="s">
        <v>1733</v>
      </c>
      <c r="C19" s="22"/>
      <c r="D19" s="23">
        <f>5614+6565</f>
        <v>12179</v>
      </c>
      <c r="E19" s="22">
        <f>SUM(C19:D19)</f>
        <v>12179</v>
      </c>
      <c r="F19" s="24"/>
      <c r="IR19" s="8"/>
      <c r="IS19" s="8"/>
      <c r="IT19" s="8"/>
    </row>
    <row r="20" s="1" customFormat="1" ht="24.95" customHeight="1" spans="1:254">
      <c r="A20" s="21"/>
      <c r="B20" s="26" t="s">
        <v>1734</v>
      </c>
      <c r="C20" s="22"/>
      <c r="D20" s="23">
        <v>254</v>
      </c>
      <c r="E20" s="22">
        <f>SUM(C20:D20)</f>
        <v>254</v>
      </c>
      <c r="F20" s="24"/>
      <c r="IR20" s="8"/>
      <c r="IS20" s="8"/>
      <c r="IT20" s="8"/>
    </row>
    <row r="21" s="1" customFormat="1" ht="24.95" customHeight="1" spans="1:254">
      <c r="A21" s="21" t="s">
        <v>1735</v>
      </c>
      <c r="B21" s="21" t="s">
        <v>1736</v>
      </c>
      <c r="C21" s="22">
        <v>35138</v>
      </c>
      <c r="D21" s="23">
        <f>E21-C21</f>
        <v>-2993</v>
      </c>
      <c r="E21" s="22">
        <v>32145</v>
      </c>
      <c r="F21" s="28"/>
      <c r="IR21" s="8"/>
      <c r="IS21" s="8"/>
      <c r="IT21" s="8"/>
    </row>
    <row r="22" s="6" customFormat="1" ht="24.95" hidden="1" customHeight="1" spans="1:254">
      <c r="A22" s="29"/>
      <c r="B22" s="30" t="s">
        <v>1710</v>
      </c>
      <c r="C22" s="31">
        <v>23653</v>
      </c>
      <c r="D22" s="32">
        <f t="shared" ref="D21:D24" si="5">E22-C22</f>
        <v>-8428</v>
      </c>
      <c r="E22" s="31">
        <f>15224+1</f>
        <v>15225</v>
      </c>
      <c r="F22" s="33"/>
      <c r="IR22" s="38"/>
      <c r="IS22" s="38"/>
      <c r="IT22" s="38"/>
    </row>
    <row r="23" s="6" customFormat="1" ht="24.95" hidden="1" customHeight="1" spans="1:254">
      <c r="A23" s="29"/>
      <c r="B23" s="30" t="s">
        <v>1711</v>
      </c>
      <c r="C23" s="31">
        <v>11485</v>
      </c>
      <c r="D23" s="32">
        <f t="shared" si="5"/>
        <v>5435</v>
      </c>
      <c r="E23" s="31">
        <f>16915+5</f>
        <v>16920</v>
      </c>
      <c r="F23" s="33"/>
      <c r="IR23" s="38"/>
      <c r="IS23" s="38"/>
      <c r="IT23" s="38"/>
    </row>
    <row r="24" s="5" customFormat="1" ht="24.95" customHeight="1" spans="1:254">
      <c r="A24" s="18"/>
      <c r="B24" s="34" t="s">
        <v>1737</v>
      </c>
      <c r="C24" s="19">
        <f>C7+C18</f>
        <v>54127</v>
      </c>
      <c r="D24" s="35">
        <f t="shared" si="5"/>
        <v>9926</v>
      </c>
      <c r="E24" s="19">
        <f>E7+E18</f>
        <v>64053</v>
      </c>
      <c r="F24" s="36"/>
      <c r="IR24" s="37"/>
      <c r="IS24" s="37"/>
      <c r="IT24" s="37"/>
    </row>
    <row r="25" s="1" customFormat="1" spans="1:254">
      <c r="A25" s="7"/>
      <c r="IR25" s="8"/>
      <c r="IS25" s="8"/>
      <c r="IT25" s="8"/>
    </row>
    <row r="26" s="1" customFormat="1" spans="252:254">
      <c r="IR26" s="8"/>
      <c r="IS26" s="8"/>
      <c r="IT26" s="8"/>
    </row>
  </sheetData>
  <mergeCells count="7">
    <mergeCell ref="A2:F2"/>
    <mergeCell ref="A5:A6"/>
    <mergeCell ref="B5:B6"/>
    <mergeCell ref="C5:C6"/>
    <mergeCell ref="D5:D6"/>
    <mergeCell ref="E5:E6"/>
    <mergeCell ref="F5:F6"/>
  </mergeCells>
  <printOptions horizontalCentered="1"/>
  <pageMargins left="0.786805555555556" right="0.786805555555556" top="0.393055555555556" bottom="0.393055555555556" header="0.196527777777778" footer="0.196527777777778"/>
  <pageSetup paperSize="9" scale="9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workbookViewId="0">
      <pane ySplit="5" topLeftCell="A44" activePane="bottomLeft" state="frozen"/>
      <selection/>
      <selection pane="bottomLeft" activeCell="N1" sqref="N$1:S$1048576"/>
    </sheetView>
  </sheetViews>
  <sheetFormatPr defaultColWidth="9" defaultRowHeight="14.25"/>
  <cols>
    <col min="1" max="1" width="28.25" style="526" customWidth="1"/>
    <col min="2" max="3" width="9.5" style="527" customWidth="1"/>
    <col min="4" max="5" width="9.5" style="526" customWidth="1"/>
    <col min="6" max="7" width="9.5" style="528" hidden="1" customWidth="1"/>
    <col min="8" max="11" width="9.5" style="526" customWidth="1"/>
    <col min="12" max="12" width="22.375" style="526" customWidth="1"/>
    <col min="13" max="13" width="10.5" style="526" customWidth="1"/>
    <col min="14" max="14" width="12.625" style="526" customWidth="1"/>
    <col min="15" max="15" width="9" style="526" customWidth="1"/>
    <col min="16" max="16" width="12.625" style="526" customWidth="1"/>
    <col min="17" max="17" width="9" style="526" customWidth="1"/>
    <col min="18" max="18" width="12.625" style="529"/>
    <col min="19" max="19" width="13.75" style="529"/>
    <col min="20" max="16384" width="9" style="526"/>
  </cols>
  <sheetData>
    <row r="1" s="58" customFormat="1" ht="13" customHeight="1" spans="1:14">
      <c r="A1" s="327" t="s">
        <v>3</v>
      </c>
      <c r="B1" s="327"/>
      <c r="C1" s="494"/>
      <c r="D1" s="495"/>
      <c r="E1" s="494"/>
      <c r="F1" s="495"/>
      <c r="G1" s="495"/>
      <c r="H1" s="495"/>
      <c r="I1" s="495"/>
      <c r="J1" s="495"/>
      <c r="K1" s="510"/>
      <c r="L1" s="510"/>
      <c r="M1" s="510"/>
      <c r="N1" s="510"/>
    </row>
    <row r="2" s="186" customFormat="1" ht="28" customHeight="1" spans="1:15">
      <c r="A2" s="194" t="s">
        <v>4</v>
      </c>
      <c r="B2" s="194"/>
      <c r="C2" s="194"/>
      <c r="D2" s="194"/>
      <c r="E2" s="194"/>
      <c r="F2" s="194"/>
      <c r="G2" s="194"/>
      <c r="H2" s="194"/>
      <c r="I2" s="194"/>
      <c r="J2" s="194"/>
      <c r="K2" s="194"/>
      <c r="L2" s="194"/>
      <c r="M2" s="564"/>
      <c r="N2" s="564"/>
      <c r="O2" s="565"/>
    </row>
    <row r="3" s="185" customFormat="1" ht="20" customHeight="1" spans="1:14">
      <c r="A3" s="530"/>
      <c r="B3" s="530"/>
      <c r="C3" s="531"/>
      <c r="D3" s="532"/>
      <c r="E3" s="531"/>
      <c r="F3" s="532"/>
      <c r="G3" s="532"/>
      <c r="H3" s="532"/>
      <c r="I3" s="532"/>
      <c r="J3" s="531"/>
      <c r="K3" s="566"/>
      <c r="L3" s="511" t="s">
        <v>5</v>
      </c>
      <c r="M3" s="566"/>
      <c r="N3" s="566"/>
    </row>
    <row r="4" ht="24" customHeight="1" spans="1:19">
      <c r="A4" s="533" t="s">
        <v>6</v>
      </c>
      <c r="B4" s="336" t="s">
        <v>7</v>
      </c>
      <c r="C4" s="337"/>
      <c r="D4" s="534" t="s">
        <v>8</v>
      </c>
      <c r="E4" s="535"/>
      <c r="F4" s="536"/>
      <c r="G4" s="536"/>
      <c r="H4" s="534" t="s">
        <v>9</v>
      </c>
      <c r="I4" s="535"/>
      <c r="J4" s="534" t="s">
        <v>10</v>
      </c>
      <c r="K4" s="535"/>
      <c r="L4" s="358" t="s">
        <v>11</v>
      </c>
      <c r="R4" s="576"/>
      <c r="S4" s="576"/>
    </row>
    <row r="5" ht="24" customHeight="1" spans="1:19">
      <c r="A5" s="537"/>
      <c r="B5" s="538" t="s">
        <v>12</v>
      </c>
      <c r="C5" s="539" t="s">
        <v>13</v>
      </c>
      <c r="D5" s="43" t="s">
        <v>12</v>
      </c>
      <c r="E5" s="540" t="s">
        <v>13</v>
      </c>
      <c r="F5" s="541"/>
      <c r="G5" s="541"/>
      <c r="H5" s="43" t="s">
        <v>12</v>
      </c>
      <c r="I5" s="540" t="s">
        <v>13</v>
      </c>
      <c r="J5" s="43" t="s">
        <v>12</v>
      </c>
      <c r="K5" s="540" t="s">
        <v>13</v>
      </c>
      <c r="L5" s="359"/>
      <c r="R5" s="576"/>
      <c r="S5" s="576"/>
    </row>
    <row r="6" ht="24" customHeight="1" spans="1:19">
      <c r="A6" s="542" t="s">
        <v>14</v>
      </c>
      <c r="B6" s="543">
        <f>SUM(B7:B22)</f>
        <v>230180.17</v>
      </c>
      <c r="C6" s="543">
        <f t="shared" ref="C6:J6" si="0">SUM(C7:C22)</f>
        <v>45840.015</v>
      </c>
      <c r="D6" s="543">
        <f t="shared" si="0"/>
        <v>43147.87</v>
      </c>
      <c r="E6" s="543">
        <f t="shared" si="0"/>
        <v>-3556</v>
      </c>
      <c r="F6" s="544">
        <f t="shared" si="0"/>
        <v>-3557.015</v>
      </c>
      <c r="G6" s="544">
        <f t="shared" si="0"/>
        <v>42283</v>
      </c>
      <c r="H6" s="543">
        <f t="shared" si="0"/>
        <v>273328.04</v>
      </c>
      <c r="I6" s="543">
        <f t="shared" si="0"/>
        <v>42283.835</v>
      </c>
      <c r="J6" s="347">
        <f>IF(B6=0,IF(H6=0,0,100),100*(H6/B6-1))</f>
        <v>18.7452594200447</v>
      </c>
      <c r="K6" s="347">
        <f>IF(C6=0,IF(I6=0,0,100),100*(I6/C6-1))</f>
        <v>-7.75780723457442</v>
      </c>
      <c r="L6" s="222"/>
      <c r="N6" s="567"/>
      <c r="O6" s="567"/>
      <c r="P6" s="567"/>
      <c r="Q6" s="567"/>
      <c r="R6" s="577"/>
      <c r="S6" s="577"/>
    </row>
    <row r="7" ht="24" customHeight="1" spans="1:19">
      <c r="A7" s="585" t="s">
        <v>15</v>
      </c>
      <c r="B7" s="545">
        <v>85095.84</v>
      </c>
      <c r="C7" s="543">
        <v>12764.375</v>
      </c>
      <c r="D7" s="546">
        <f>H7-B7</f>
        <v>44667.16</v>
      </c>
      <c r="E7" s="546">
        <v>3456</v>
      </c>
      <c r="F7" s="544">
        <f>G7-C7</f>
        <v>3455.625</v>
      </c>
      <c r="G7" s="544">
        <v>16220</v>
      </c>
      <c r="H7" s="546">
        <f>I7/0.125</f>
        <v>129763</v>
      </c>
      <c r="I7" s="546">
        <f>C7+E7</f>
        <v>16220.375</v>
      </c>
      <c r="J7" s="347">
        <f>IF(B7=0,IF(H7=0,0,100),100*(H7/B7-1))</f>
        <v>52.4904155126737</v>
      </c>
      <c r="K7" s="347">
        <f>IF(C7=0,IF(I7=0,0,100),100*(I7/C7-1))</f>
        <v>27.0753562160309</v>
      </c>
      <c r="L7" s="222"/>
      <c r="N7" s="567"/>
      <c r="O7" s="567"/>
      <c r="P7" s="567"/>
      <c r="Q7" s="567"/>
      <c r="R7" s="577"/>
      <c r="S7" s="577"/>
    </row>
    <row r="8" ht="24" customHeight="1" spans="1:19">
      <c r="A8" s="585" t="s">
        <v>16</v>
      </c>
      <c r="B8" s="545">
        <v>7</v>
      </c>
      <c r="C8" s="543">
        <v>0</v>
      </c>
      <c r="D8" s="546">
        <f>H8-B8</f>
        <v>3</v>
      </c>
      <c r="E8" s="546">
        <v>0</v>
      </c>
      <c r="F8" s="544">
        <f>G8-C8</f>
        <v>0</v>
      </c>
      <c r="G8" s="544">
        <v>0</v>
      </c>
      <c r="H8" s="546">
        <v>10</v>
      </c>
      <c r="I8" s="546">
        <f>C8+E8</f>
        <v>0</v>
      </c>
      <c r="J8" s="347">
        <f>IF(B8=0,IF(H8=0,0,100),100*(H8/B8-1))</f>
        <v>42.8571428571429</v>
      </c>
      <c r="K8" s="347">
        <f>IF(C8=0,IF(I8=0,0,100),100*(I8/C8-1))</f>
        <v>0</v>
      </c>
      <c r="L8" s="222"/>
      <c r="N8" s="567"/>
      <c r="O8" s="567"/>
      <c r="P8" s="567"/>
      <c r="Q8" s="567"/>
      <c r="R8" s="577"/>
      <c r="S8" s="577"/>
    </row>
    <row r="9" ht="24" customHeight="1" spans="1:19">
      <c r="A9" s="585" t="s">
        <v>17</v>
      </c>
      <c r="B9" s="545">
        <v>145</v>
      </c>
      <c r="C9" s="543">
        <v>0</v>
      </c>
      <c r="D9" s="546">
        <f>H9-B9</f>
        <v>855</v>
      </c>
      <c r="E9" s="546">
        <v>0</v>
      </c>
      <c r="F9" s="544">
        <f>G9-C9</f>
        <v>0</v>
      </c>
      <c r="G9" s="544"/>
      <c r="H9" s="546">
        <v>1000</v>
      </c>
      <c r="I9" s="546">
        <f>C9+E9</f>
        <v>0</v>
      </c>
      <c r="J9" s="347">
        <f>IF(B9=0,IF(H9=0,0,100),100*(H9/B9-1))</f>
        <v>589.655172413793</v>
      </c>
      <c r="K9" s="347">
        <f>IF(C9=0,IF(I9=0,0,100),100*(I9/C9-1))</f>
        <v>0</v>
      </c>
      <c r="L9" s="222"/>
      <c r="N9" s="567"/>
      <c r="O9" s="567"/>
      <c r="P9" s="567"/>
      <c r="Q9" s="567"/>
      <c r="R9" s="577"/>
      <c r="S9" s="577"/>
    </row>
    <row r="10" ht="24" customHeight="1" spans="1:19">
      <c r="A10" s="542" t="s">
        <v>18</v>
      </c>
      <c r="B10" s="545">
        <v>56557.36</v>
      </c>
      <c r="C10" s="545">
        <v>6786.88</v>
      </c>
      <c r="D10" s="546">
        <f>H10-B10</f>
        <v>18442.64</v>
      </c>
      <c r="E10" s="546">
        <v>713</v>
      </c>
      <c r="F10" s="544">
        <f>G10-C10</f>
        <v>713.12</v>
      </c>
      <c r="G10" s="544">
        <v>7500</v>
      </c>
      <c r="H10" s="546">
        <f>I10/0.1</f>
        <v>75000</v>
      </c>
      <c r="I10" s="546">
        <v>7500</v>
      </c>
      <c r="J10" s="347">
        <f>IF(B10=0,IF(H10=0,0,100),100*(H10/B10-1))</f>
        <v>32.6087356269812</v>
      </c>
      <c r="K10" s="347">
        <f>IF(C10=0,IF(I10=0,0,100),100*(I10/C10-1))</f>
        <v>10.5073317931067</v>
      </c>
      <c r="L10" s="222"/>
      <c r="N10" s="567"/>
      <c r="O10" s="567"/>
      <c r="P10" s="567"/>
      <c r="Q10" s="567"/>
      <c r="R10" s="577"/>
      <c r="S10" s="577"/>
    </row>
    <row r="11" ht="24" customHeight="1" spans="1:19">
      <c r="A11" s="585" t="s">
        <v>19</v>
      </c>
      <c r="B11" s="543">
        <v>11301.52</v>
      </c>
      <c r="C11" s="543">
        <v>1356.18</v>
      </c>
      <c r="D11" s="546">
        <f t="shared" ref="D11:D22" si="1">H11-B11</f>
        <v>-2601.52</v>
      </c>
      <c r="E11" s="546">
        <v>-486</v>
      </c>
      <c r="F11" s="544">
        <f t="shared" ref="F11:F22" si="2">G11-C11</f>
        <v>-486.18</v>
      </c>
      <c r="G11" s="544">
        <v>870</v>
      </c>
      <c r="H11" s="546">
        <v>8700</v>
      </c>
      <c r="I11" s="546">
        <f t="shared" ref="I11:I33" si="3">C11+E11</f>
        <v>870.18</v>
      </c>
      <c r="J11" s="347">
        <f t="shared" ref="J11:J35" si="4">IF(B11=0,IF(H11=0,0,100),100*(H11/B11-1))</f>
        <v>-23.0192044963863</v>
      </c>
      <c r="K11" s="347">
        <f t="shared" ref="K11:K34" si="5">IF(C11=0,IF(I11=0,0,100),100*(I11/C11-1))</f>
        <v>-35.8359509799584</v>
      </c>
      <c r="L11" s="222"/>
      <c r="N11" s="567"/>
      <c r="O11" s="567"/>
      <c r="P11" s="567"/>
      <c r="Q11" s="567"/>
      <c r="R11" s="577"/>
      <c r="S11" s="577"/>
    </row>
    <row r="12" ht="24" customHeight="1" spans="1:19">
      <c r="A12" s="542" t="s">
        <v>20</v>
      </c>
      <c r="B12" s="545">
        <v>462.06</v>
      </c>
      <c r="C12" s="543">
        <v>462.06</v>
      </c>
      <c r="D12" s="546">
        <f t="shared" si="1"/>
        <v>-372.06</v>
      </c>
      <c r="E12" s="546">
        <v>-372</v>
      </c>
      <c r="F12" s="544">
        <f t="shared" si="2"/>
        <v>-372.06</v>
      </c>
      <c r="G12" s="544">
        <v>90</v>
      </c>
      <c r="H12" s="546">
        <v>90</v>
      </c>
      <c r="I12" s="546">
        <f t="shared" si="3"/>
        <v>90.06</v>
      </c>
      <c r="J12" s="347">
        <f t="shared" si="4"/>
        <v>-80.5220101285547</v>
      </c>
      <c r="K12" s="347">
        <f t="shared" si="5"/>
        <v>-80.5090248019738</v>
      </c>
      <c r="L12" s="222"/>
      <c r="N12" s="567"/>
      <c r="O12" s="567"/>
      <c r="P12" s="567"/>
      <c r="Q12" s="567"/>
      <c r="R12" s="577"/>
      <c r="S12" s="577"/>
    </row>
    <row r="13" ht="24" customHeight="1" spans="1:19">
      <c r="A13" s="585" t="s">
        <v>21</v>
      </c>
      <c r="B13" s="545">
        <v>6443</v>
      </c>
      <c r="C13" s="543">
        <v>3865.8</v>
      </c>
      <c r="D13" s="546">
        <f t="shared" si="1"/>
        <v>7012.6</v>
      </c>
      <c r="E13" s="546">
        <v>2862</v>
      </c>
      <c r="F13" s="544">
        <f t="shared" si="2"/>
        <v>2862.2</v>
      </c>
      <c r="G13" s="544">
        <v>6728</v>
      </c>
      <c r="H13" s="546">
        <f>I13/0.5</f>
        <v>13455.6</v>
      </c>
      <c r="I13" s="546">
        <f t="shared" si="3"/>
        <v>6727.8</v>
      </c>
      <c r="J13" s="347">
        <f t="shared" si="4"/>
        <v>108.840602203942</v>
      </c>
      <c r="K13" s="347">
        <f t="shared" si="5"/>
        <v>74.0338351699519</v>
      </c>
      <c r="L13" s="222"/>
      <c r="N13" s="567"/>
      <c r="O13" s="567"/>
      <c r="P13" s="567"/>
      <c r="Q13" s="567"/>
      <c r="R13" s="577"/>
      <c r="S13" s="577"/>
    </row>
    <row r="14" ht="24" customHeight="1" spans="1:19">
      <c r="A14" s="585" t="s">
        <v>22</v>
      </c>
      <c r="B14" s="545">
        <v>5866</v>
      </c>
      <c r="C14" s="543">
        <v>3519.6</v>
      </c>
      <c r="D14" s="546">
        <f t="shared" si="1"/>
        <v>-1006</v>
      </c>
      <c r="E14" s="546">
        <v>-1090</v>
      </c>
      <c r="F14" s="544">
        <f t="shared" si="2"/>
        <v>-1089.6</v>
      </c>
      <c r="G14" s="544">
        <v>2430</v>
      </c>
      <c r="H14" s="546">
        <v>4860</v>
      </c>
      <c r="I14" s="546">
        <f t="shared" si="3"/>
        <v>2429.6</v>
      </c>
      <c r="J14" s="347">
        <f t="shared" si="4"/>
        <v>-17.1496760995568</v>
      </c>
      <c r="K14" s="347">
        <f t="shared" si="5"/>
        <v>-30.96942834413</v>
      </c>
      <c r="L14" s="222"/>
      <c r="N14" s="567"/>
      <c r="O14" s="567"/>
      <c r="P14" s="567"/>
      <c r="Q14" s="567"/>
      <c r="R14" s="577"/>
      <c r="S14" s="577"/>
    </row>
    <row r="15" ht="24" customHeight="1" spans="1:19">
      <c r="A15" s="542" t="s">
        <v>23</v>
      </c>
      <c r="B15" s="545">
        <v>6602.4</v>
      </c>
      <c r="C15" s="543">
        <v>6602.4</v>
      </c>
      <c r="D15" s="546">
        <f t="shared" si="1"/>
        <v>-3812.4</v>
      </c>
      <c r="E15" s="546">
        <v>-3812</v>
      </c>
      <c r="F15" s="544">
        <f t="shared" si="2"/>
        <v>-3812.4</v>
      </c>
      <c r="G15" s="544">
        <v>2790</v>
      </c>
      <c r="H15" s="546">
        <v>2790</v>
      </c>
      <c r="I15" s="546">
        <f t="shared" si="3"/>
        <v>2790.4</v>
      </c>
      <c r="J15" s="347">
        <f t="shared" si="4"/>
        <v>-57.742639040349</v>
      </c>
      <c r="K15" s="347">
        <f t="shared" si="5"/>
        <v>-57.736580637344</v>
      </c>
      <c r="L15" s="222"/>
      <c r="N15" s="567"/>
      <c r="O15" s="567"/>
      <c r="P15" s="567"/>
      <c r="Q15" s="567"/>
      <c r="R15" s="577"/>
      <c r="S15" s="577"/>
    </row>
    <row r="16" ht="24" customHeight="1" spans="1:19">
      <c r="A16" s="542" t="s">
        <v>24</v>
      </c>
      <c r="B16" s="545">
        <v>14126</v>
      </c>
      <c r="C16" s="543">
        <v>0</v>
      </c>
      <c r="D16" s="546">
        <f t="shared" si="1"/>
        <v>-8626</v>
      </c>
      <c r="E16" s="546">
        <v>0</v>
      </c>
      <c r="F16" s="544">
        <f t="shared" si="2"/>
        <v>0</v>
      </c>
      <c r="G16" s="544">
        <v>0</v>
      </c>
      <c r="H16" s="546">
        <v>5500</v>
      </c>
      <c r="I16" s="546">
        <f t="shared" si="3"/>
        <v>0</v>
      </c>
      <c r="J16" s="347">
        <f t="shared" si="4"/>
        <v>-61.0647033838312</v>
      </c>
      <c r="K16" s="347">
        <f t="shared" si="5"/>
        <v>0</v>
      </c>
      <c r="L16" s="222"/>
      <c r="N16" s="567"/>
      <c r="O16" s="567"/>
      <c r="P16" s="567"/>
      <c r="Q16" s="567"/>
      <c r="R16" s="577"/>
      <c r="S16" s="577"/>
    </row>
    <row r="17" ht="24" customHeight="1" spans="1:19">
      <c r="A17" s="585" t="s">
        <v>25</v>
      </c>
      <c r="B17" s="545">
        <v>28911</v>
      </c>
      <c r="C17" s="543">
        <v>8673.3</v>
      </c>
      <c r="D17" s="546">
        <f t="shared" si="1"/>
        <v>-10211</v>
      </c>
      <c r="E17" s="546">
        <v>-3360</v>
      </c>
      <c r="F17" s="544">
        <f t="shared" si="2"/>
        <v>-3360.3</v>
      </c>
      <c r="G17" s="544">
        <v>5313</v>
      </c>
      <c r="H17" s="546">
        <v>18700</v>
      </c>
      <c r="I17" s="546">
        <v>5313</v>
      </c>
      <c r="J17" s="347">
        <f t="shared" si="4"/>
        <v>-35.3187368129778</v>
      </c>
      <c r="K17" s="347">
        <f t="shared" si="5"/>
        <v>-38.7430389817025</v>
      </c>
      <c r="L17" s="222"/>
      <c r="N17" s="567"/>
      <c r="O17" s="567"/>
      <c r="P17" s="567"/>
      <c r="Q17" s="567"/>
      <c r="R17" s="577"/>
      <c r="S17" s="577"/>
    </row>
    <row r="18" ht="24" customHeight="1" spans="1:19">
      <c r="A18" s="542" t="s">
        <v>26</v>
      </c>
      <c r="B18" s="545">
        <v>8.16</v>
      </c>
      <c r="C18" s="543">
        <v>0</v>
      </c>
      <c r="D18" s="546">
        <f t="shared" si="1"/>
        <v>-4.16</v>
      </c>
      <c r="E18" s="546">
        <v>0</v>
      </c>
      <c r="F18" s="544">
        <f t="shared" si="2"/>
        <v>0</v>
      </c>
      <c r="G18" s="544">
        <v>0</v>
      </c>
      <c r="H18" s="546">
        <v>4</v>
      </c>
      <c r="I18" s="546">
        <f t="shared" si="3"/>
        <v>0</v>
      </c>
      <c r="J18" s="347">
        <f t="shared" si="4"/>
        <v>-50.9803921568627</v>
      </c>
      <c r="K18" s="347">
        <f t="shared" si="5"/>
        <v>0</v>
      </c>
      <c r="L18" s="222"/>
      <c r="N18" s="567"/>
      <c r="O18" s="567"/>
      <c r="P18" s="567"/>
      <c r="Q18" s="567"/>
      <c r="R18" s="577"/>
      <c r="S18" s="577"/>
    </row>
    <row r="19" ht="24" customHeight="1" spans="1:19">
      <c r="A19" s="585" t="s">
        <v>27</v>
      </c>
      <c r="B19" s="545">
        <v>2828.7</v>
      </c>
      <c r="C19" s="543">
        <v>1697.22</v>
      </c>
      <c r="D19" s="546">
        <f t="shared" si="1"/>
        <v>-2342.26</v>
      </c>
      <c r="E19" s="546">
        <v>-1454</v>
      </c>
      <c r="F19" s="544">
        <f t="shared" si="2"/>
        <v>-1454.22</v>
      </c>
      <c r="G19" s="544">
        <v>243</v>
      </c>
      <c r="H19" s="546">
        <f>I19/0.5</f>
        <v>486.44</v>
      </c>
      <c r="I19" s="546">
        <f t="shared" si="3"/>
        <v>243.22</v>
      </c>
      <c r="J19" s="347">
        <f t="shared" si="4"/>
        <v>-82.8034079259023</v>
      </c>
      <c r="K19" s="347">
        <f t="shared" si="5"/>
        <v>-85.6695066049186</v>
      </c>
      <c r="L19" s="222"/>
      <c r="N19" s="567"/>
      <c r="O19" s="567"/>
      <c r="P19" s="567"/>
      <c r="Q19" s="567"/>
      <c r="R19" s="577"/>
      <c r="S19" s="577"/>
    </row>
    <row r="20" ht="24" customHeight="1" spans="1:19">
      <c r="A20" s="542" t="s">
        <v>28</v>
      </c>
      <c r="B20" s="545">
        <v>11639.13</v>
      </c>
      <c r="C20" s="543">
        <v>0</v>
      </c>
      <c r="D20" s="546">
        <f t="shared" si="1"/>
        <v>1130.87</v>
      </c>
      <c r="E20" s="546">
        <v>0</v>
      </c>
      <c r="F20" s="544">
        <f t="shared" si="2"/>
        <v>0</v>
      </c>
      <c r="G20" s="544">
        <v>0</v>
      </c>
      <c r="H20" s="546">
        <v>12770</v>
      </c>
      <c r="I20" s="546">
        <f t="shared" si="3"/>
        <v>0</v>
      </c>
      <c r="J20" s="347">
        <f t="shared" si="4"/>
        <v>9.71610421053808</v>
      </c>
      <c r="K20" s="347">
        <f t="shared" si="5"/>
        <v>0</v>
      </c>
      <c r="L20" s="222"/>
      <c r="N20" s="567"/>
      <c r="O20" s="567"/>
      <c r="P20" s="567"/>
      <c r="Q20" s="567"/>
      <c r="R20" s="577"/>
      <c r="S20" s="577"/>
    </row>
    <row r="21" ht="24" customHeight="1" spans="1:19">
      <c r="A21" s="542" t="s">
        <v>29</v>
      </c>
      <c r="B21" s="543">
        <v>187</v>
      </c>
      <c r="C21" s="543">
        <v>112.2</v>
      </c>
      <c r="D21" s="546">
        <f t="shared" si="1"/>
        <v>8</v>
      </c>
      <c r="E21" s="546">
        <v>-15</v>
      </c>
      <c r="F21" s="544">
        <f t="shared" si="2"/>
        <v>-15.2</v>
      </c>
      <c r="G21" s="544">
        <v>97</v>
      </c>
      <c r="H21" s="546">
        <v>195</v>
      </c>
      <c r="I21" s="546">
        <f t="shared" si="3"/>
        <v>97.2</v>
      </c>
      <c r="J21" s="347">
        <f t="shared" si="4"/>
        <v>4.27807486631016</v>
      </c>
      <c r="K21" s="347">
        <f t="shared" si="5"/>
        <v>-13.3689839572192</v>
      </c>
      <c r="L21" s="222"/>
      <c r="N21" s="567"/>
      <c r="O21" s="567"/>
      <c r="P21" s="567"/>
      <c r="Q21" s="567"/>
      <c r="R21" s="577"/>
      <c r="S21" s="577"/>
    </row>
    <row r="22" ht="24" customHeight="1" spans="1:19">
      <c r="A22" s="585" t="s">
        <v>30</v>
      </c>
      <c r="B22" s="543">
        <v>0</v>
      </c>
      <c r="C22" s="543">
        <v>0</v>
      </c>
      <c r="D22" s="546">
        <f t="shared" si="1"/>
        <v>4</v>
      </c>
      <c r="E22" s="546">
        <v>2</v>
      </c>
      <c r="F22" s="544">
        <f t="shared" si="2"/>
        <v>2</v>
      </c>
      <c r="G22" s="544">
        <v>2</v>
      </c>
      <c r="H22" s="546">
        <f>I22/0.5</f>
        <v>4</v>
      </c>
      <c r="I22" s="546">
        <f t="shared" si="3"/>
        <v>2</v>
      </c>
      <c r="J22" s="347">
        <f t="shared" si="4"/>
        <v>100</v>
      </c>
      <c r="K22" s="347">
        <f t="shared" si="5"/>
        <v>100</v>
      </c>
      <c r="L22" s="222"/>
      <c r="N22" s="567"/>
      <c r="O22" s="567"/>
      <c r="P22" s="567"/>
      <c r="Q22" s="567"/>
      <c r="R22" s="577"/>
      <c r="S22" s="577"/>
    </row>
    <row r="23" ht="24" customHeight="1" spans="1:19">
      <c r="A23" s="228" t="s">
        <v>31</v>
      </c>
      <c r="B23" s="543">
        <f t="shared" ref="B23:G23" si="6">SUM(B24:B34)</f>
        <v>18256.4525396825</v>
      </c>
      <c r="C23" s="543">
        <f t="shared" si="6"/>
        <v>15132.36</v>
      </c>
      <c r="D23" s="546">
        <f t="shared" si="6"/>
        <v>4220.76603174603</v>
      </c>
      <c r="E23" s="546">
        <f t="shared" si="6"/>
        <v>3555.7</v>
      </c>
      <c r="F23" s="544">
        <f t="shared" si="6"/>
        <v>3556.14</v>
      </c>
      <c r="G23" s="544">
        <f t="shared" si="6"/>
        <v>18688.5</v>
      </c>
      <c r="H23" s="546">
        <f>B23+D23</f>
        <v>22477.2185714286</v>
      </c>
      <c r="I23" s="546">
        <f t="shared" si="3"/>
        <v>18688.06</v>
      </c>
      <c r="J23" s="347">
        <f t="shared" si="4"/>
        <v>23.1193109536023</v>
      </c>
      <c r="K23" s="347">
        <f t="shared" si="5"/>
        <v>23.4973262597506</v>
      </c>
      <c r="L23" s="75"/>
      <c r="N23" s="567"/>
      <c r="O23" s="567"/>
      <c r="P23" s="567"/>
      <c r="Q23" s="567"/>
      <c r="R23" s="577"/>
      <c r="S23" s="577"/>
    </row>
    <row r="24" ht="24" customHeight="1" spans="1:19">
      <c r="A24" s="586" t="s">
        <v>32</v>
      </c>
      <c r="B24" s="543">
        <v>3028.33</v>
      </c>
      <c r="C24" s="543">
        <v>1817</v>
      </c>
      <c r="D24" s="546">
        <v>351.67</v>
      </c>
      <c r="E24" s="546">
        <v>-127</v>
      </c>
      <c r="F24" s="544">
        <f>G24-C24</f>
        <v>-127</v>
      </c>
      <c r="G24" s="544">
        <v>1690</v>
      </c>
      <c r="H24" s="546">
        <f>I24/0.5</f>
        <v>3380</v>
      </c>
      <c r="I24" s="546">
        <f t="shared" si="3"/>
        <v>1690</v>
      </c>
      <c r="J24" s="347">
        <f t="shared" si="4"/>
        <v>11.6126710100947</v>
      </c>
      <c r="K24" s="347">
        <f t="shared" si="5"/>
        <v>-6.989543203082</v>
      </c>
      <c r="L24" s="222"/>
      <c r="N24" s="567"/>
      <c r="O24" s="567"/>
      <c r="P24" s="567"/>
      <c r="Q24" s="567"/>
      <c r="R24" s="577"/>
      <c r="S24" s="577"/>
    </row>
    <row r="25" ht="24" customHeight="1" spans="1:19">
      <c r="A25" s="586" t="s">
        <v>33</v>
      </c>
      <c r="B25" s="543">
        <v>2148.43253968254</v>
      </c>
      <c r="C25" s="543">
        <v>902.34</v>
      </c>
      <c r="D25" s="546">
        <v>55.3960317460314</v>
      </c>
      <c r="E25" s="546">
        <v>-131</v>
      </c>
      <c r="F25" s="544">
        <f>G25-C25</f>
        <v>-131.34</v>
      </c>
      <c r="G25" s="544">
        <v>771</v>
      </c>
      <c r="H25" s="546">
        <f>I25/0.35</f>
        <v>2203.82857142857</v>
      </c>
      <c r="I25" s="546">
        <f t="shared" si="3"/>
        <v>771.34</v>
      </c>
      <c r="J25" s="347">
        <f t="shared" si="4"/>
        <v>2.57843943074036</v>
      </c>
      <c r="K25" s="347">
        <f t="shared" si="5"/>
        <v>-14.5178092515016</v>
      </c>
      <c r="L25" s="222"/>
      <c r="N25" s="567"/>
      <c r="O25" s="567"/>
      <c r="P25" s="567"/>
      <c r="Q25" s="567"/>
      <c r="R25" s="577"/>
      <c r="S25" s="577"/>
    </row>
    <row r="26" ht="24" customHeight="1" spans="1:19">
      <c r="A26" s="586" t="s">
        <v>34</v>
      </c>
      <c r="B26" s="543">
        <v>0</v>
      </c>
      <c r="C26" s="543">
        <v>0</v>
      </c>
      <c r="D26" s="546">
        <v>1045</v>
      </c>
      <c r="E26" s="546">
        <v>1045</v>
      </c>
      <c r="F26" s="544">
        <f>G26-C26</f>
        <v>1045</v>
      </c>
      <c r="G26" s="544">
        <v>1045</v>
      </c>
      <c r="H26" s="546">
        <f t="shared" ref="H26:H35" si="7">B26+D26</f>
        <v>1045</v>
      </c>
      <c r="I26" s="546">
        <f t="shared" si="3"/>
        <v>1045</v>
      </c>
      <c r="J26" s="347">
        <f t="shared" si="4"/>
        <v>100</v>
      </c>
      <c r="K26" s="347">
        <f t="shared" si="5"/>
        <v>100</v>
      </c>
      <c r="L26" s="222"/>
      <c r="N26" s="567"/>
      <c r="O26" s="567"/>
      <c r="P26" s="567"/>
      <c r="Q26" s="567"/>
      <c r="R26" s="577"/>
      <c r="S26" s="577"/>
    </row>
    <row r="27" ht="24" customHeight="1" spans="1:19">
      <c r="A27" s="586" t="s">
        <v>35</v>
      </c>
      <c r="B27" s="543">
        <v>0</v>
      </c>
      <c r="C27" s="543">
        <v>0</v>
      </c>
      <c r="D27" s="546">
        <v>62</v>
      </c>
      <c r="E27" s="546">
        <v>62</v>
      </c>
      <c r="F27" s="544">
        <f t="shared" ref="F27:F37" si="8">G27-C27</f>
        <v>62</v>
      </c>
      <c r="G27" s="544">
        <v>62</v>
      </c>
      <c r="H27" s="546">
        <f t="shared" si="7"/>
        <v>62</v>
      </c>
      <c r="I27" s="546">
        <f t="shared" si="3"/>
        <v>62</v>
      </c>
      <c r="J27" s="347">
        <f t="shared" si="4"/>
        <v>100</v>
      </c>
      <c r="K27" s="347">
        <f t="shared" si="5"/>
        <v>100</v>
      </c>
      <c r="L27" s="222"/>
      <c r="N27" s="567"/>
      <c r="O27" s="567"/>
      <c r="P27" s="567"/>
      <c r="Q27" s="567"/>
      <c r="R27" s="577"/>
      <c r="S27" s="577"/>
    </row>
    <row r="28" ht="24" customHeight="1" spans="1:19">
      <c r="A28" s="586" t="s">
        <v>36</v>
      </c>
      <c r="B28" s="543">
        <v>0</v>
      </c>
      <c r="C28" s="543">
        <v>0</v>
      </c>
      <c r="D28" s="546">
        <v>2160</v>
      </c>
      <c r="E28" s="546">
        <v>2160</v>
      </c>
      <c r="F28" s="544">
        <f t="shared" si="8"/>
        <v>2160</v>
      </c>
      <c r="G28" s="544">
        <v>2160</v>
      </c>
      <c r="H28" s="546">
        <f t="shared" si="7"/>
        <v>2160</v>
      </c>
      <c r="I28" s="546">
        <f t="shared" si="3"/>
        <v>2160</v>
      </c>
      <c r="J28" s="347">
        <f t="shared" si="4"/>
        <v>100</v>
      </c>
      <c r="K28" s="347">
        <f t="shared" si="5"/>
        <v>100</v>
      </c>
      <c r="L28" s="222"/>
      <c r="N28" s="567"/>
      <c r="O28" s="567"/>
      <c r="P28" s="567"/>
      <c r="Q28" s="567"/>
      <c r="R28" s="577"/>
      <c r="S28" s="577"/>
    </row>
    <row r="29" ht="24" customHeight="1" spans="1:19">
      <c r="A29" s="586" t="s">
        <v>37</v>
      </c>
      <c r="B29" s="543">
        <v>0</v>
      </c>
      <c r="C29" s="543">
        <v>0</v>
      </c>
      <c r="D29" s="546">
        <v>114</v>
      </c>
      <c r="E29" s="546">
        <v>114</v>
      </c>
      <c r="F29" s="544">
        <f t="shared" si="8"/>
        <v>114</v>
      </c>
      <c r="G29" s="544">
        <v>114</v>
      </c>
      <c r="H29" s="546">
        <f t="shared" si="7"/>
        <v>114</v>
      </c>
      <c r="I29" s="546">
        <f t="shared" si="3"/>
        <v>114</v>
      </c>
      <c r="J29" s="347">
        <f t="shared" si="4"/>
        <v>100</v>
      </c>
      <c r="K29" s="347">
        <f t="shared" si="5"/>
        <v>100</v>
      </c>
      <c r="L29" s="222"/>
      <c r="N29" s="567"/>
      <c r="O29" s="567"/>
      <c r="P29" s="567"/>
      <c r="Q29" s="567"/>
      <c r="R29" s="577"/>
      <c r="S29" s="577"/>
    </row>
    <row r="30" ht="24" customHeight="1" spans="1:19">
      <c r="A30" s="586" t="s">
        <v>38</v>
      </c>
      <c r="B30" s="543">
        <v>6226.08</v>
      </c>
      <c r="C30" s="543">
        <v>6226.08</v>
      </c>
      <c r="D30" s="546">
        <v>-1752</v>
      </c>
      <c r="E30" s="546">
        <v>-1752</v>
      </c>
      <c r="F30" s="544">
        <f t="shared" si="8"/>
        <v>-1752.08</v>
      </c>
      <c r="G30" s="544">
        <v>4474</v>
      </c>
      <c r="H30" s="546">
        <f t="shared" si="7"/>
        <v>4474.08</v>
      </c>
      <c r="I30" s="546">
        <f t="shared" si="3"/>
        <v>4474.08</v>
      </c>
      <c r="J30" s="347">
        <f t="shared" si="4"/>
        <v>-28.1396962454707</v>
      </c>
      <c r="K30" s="347">
        <f t="shared" si="5"/>
        <v>-28.1396962454707</v>
      </c>
      <c r="L30" s="222"/>
      <c r="N30" s="567"/>
      <c r="O30" s="567"/>
      <c r="P30" s="567"/>
      <c r="Q30" s="567"/>
      <c r="R30" s="577"/>
      <c r="S30" s="577"/>
    </row>
    <row r="31" ht="24" customHeight="1" spans="1:19">
      <c r="A31" s="586" t="s">
        <v>39</v>
      </c>
      <c r="B31" s="543">
        <v>144.7</v>
      </c>
      <c r="C31" s="543">
        <v>144.7</v>
      </c>
      <c r="D31" s="546">
        <v>1339</v>
      </c>
      <c r="E31" s="546">
        <v>1339</v>
      </c>
      <c r="F31" s="544">
        <f t="shared" si="8"/>
        <v>1339.3</v>
      </c>
      <c r="G31" s="544">
        <v>1484</v>
      </c>
      <c r="H31" s="546">
        <f t="shared" si="7"/>
        <v>1483.7</v>
      </c>
      <c r="I31" s="546">
        <f t="shared" si="3"/>
        <v>1483.7</v>
      </c>
      <c r="J31" s="347">
        <f t="shared" si="4"/>
        <v>925.362819626814</v>
      </c>
      <c r="K31" s="347">
        <f t="shared" si="5"/>
        <v>925.362819626814</v>
      </c>
      <c r="L31" s="222"/>
      <c r="N31" s="567"/>
      <c r="O31" s="567"/>
      <c r="P31" s="567"/>
      <c r="Q31" s="567"/>
      <c r="R31" s="577"/>
      <c r="S31" s="577"/>
    </row>
    <row r="32" ht="24" customHeight="1" spans="1:19">
      <c r="A32" s="228" t="s">
        <v>40</v>
      </c>
      <c r="B32" s="543">
        <v>920.66</v>
      </c>
      <c r="C32" s="543">
        <v>920.66</v>
      </c>
      <c r="D32" s="546">
        <v>-741</v>
      </c>
      <c r="E32" s="546">
        <v>-741</v>
      </c>
      <c r="F32" s="544">
        <f t="shared" si="8"/>
        <v>-740.66</v>
      </c>
      <c r="G32" s="544">
        <v>180</v>
      </c>
      <c r="H32" s="546">
        <f t="shared" si="7"/>
        <v>179.66</v>
      </c>
      <c r="I32" s="546">
        <f t="shared" si="3"/>
        <v>179.66</v>
      </c>
      <c r="J32" s="347">
        <f t="shared" si="4"/>
        <v>-80.4857384919514</v>
      </c>
      <c r="K32" s="347">
        <f t="shared" si="5"/>
        <v>-80.4857384919514</v>
      </c>
      <c r="L32" s="568"/>
      <c r="N32" s="567"/>
      <c r="O32" s="567"/>
      <c r="P32" s="567"/>
      <c r="Q32" s="567"/>
      <c r="R32" s="577"/>
      <c r="S32" s="577"/>
    </row>
    <row r="33" ht="24" customHeight="1" spans="1:19">
      <c r="A33" s="586" t="s">
        <v>41</v>
      </c>
      <c r="B33" s="543">
        <v>1666.67</v>
      </c>
      <c r="C33" s="543">
        <v>1000</v>
      </c>
      <c r="D33" s="546">
        <v>3876.4</v>
      </c>
      <c r="E33" s="546">
        <v>3876.4</v>
      </c>
      <c r="F33" s="544">
        <f t="shared" si="8"/>
        <v>3876</v>
      </c>
      <c r="G33" s="544">
        <v>4876</v>
      </c>
      <c r="H33" s="546">
        <f t="shared" si="7"/>
        <v>5543.07</v>
      </c>
      <c r="I33" s="546">
        <f t="shared" si="3"/>
        <v>4876.4</v>
      </c>
      <c r="J33" s="347">
        <f t="shared" si="4"/>
        <v>232.58353483293</v>
      </c>
      <c r="K33" s="347">
        <f t="shared" si="5"/>
        <v>387.64</v>
      </c>
      <c r="L33" s="223"/>
      <c r="N33" s="567"/>
      <c r="O33" s="567"/>
      <c r="P33" s="567"/>
      <c r="Q33" s="567"/>
      <c r="R33" s="577"/>
      <c r="S33" s="577"/>
    </row>
    <row r="34" ht="24" customHeight="1" spans="1:19">
      <c r="A34" s="586" t="s">
        <v>42</v>
      </c>
      <c r="B34" s="543">
        <v>4121.58</v>
      </c>
      <c r="C34" s="543">
        <v>4121.58</v>
      </c>
      <c r="D34" s="546">
        <v>-2289.7</v>
      </c>
      <c r="E34" s="546">
        <v>-2289.7</v>
      </c>
      <c r="F34" s="544">
        <f t="shared" si="8"/>
        <v>-2289.08</v>
      </c>
      <c r="G34" s="544">
        <v>1832.5</v>
      </c>
      <c r="H34" s="546">
        <f t="shared" si="7"/>
        <v>1831.88</v>
      </c>
      <c r="I34" s="546">
        <f t="shared" ref="I34:I44" si="9">C34+E34</f>
        <v>1831.88</v>
      </c>
      <c r="J34" s="347">
        <f t="shared" si="4"/>
        <v>-55.5539380528826</v>
      </c>
      <c r="K34" s="347">
        <f t="shared" si="5"/>
        <v>-55.5539380528826</v>
      </c>
      <c r="L34" s="223"/>
      <c r="N34" s="567"/>
      <c r="O34" s="567"/>
      <c r="P34" s="567"/>
      <c r="Q34" s="567"/>
      <c r="R34" s="577"/>
      <c r="S34" s="577"/>
    </row>
    <row r="35" ht="24" customHeight="1" spans="1:19">
      <c r="A35" s="547" t="s">
        <v>43</v>
      </c>
      <c r="B35" s="548">
        <f>SUM(B6,B23)</f>
        <v>248436.622539683</v>
      </c>
      <c r="C35" s="548">
        <f>SUM(C6,C23)</f>
        <v>60972.375</v>
      </c>
      <c r="D35" s="549">
        <f>SUM(D6,D23)</f>
        <v>47368.636031746</v>
      </c>
      <c r="E35" s="549">
        <v>0</v>
      </c>
      <c r="F35" s="550">
        <f t="shared" si="8"/>
        <v>-0.875</v>
      </c>
      <c r="G35" s="550">
        <f>SUM(G6,G23)</f>
        <v>60971.5</v>
      </c>
      <c r="H35" s="549">
        <f t="shared" si="7"/>
        <v>295805.258571429</v>
      </c>
      <c r="I35" s="549">
        <f t="shared" si="9"/>
        <v>60972.375</v>
      </c>
      <c r="J35" s="569">
        <f t="shared" si="4"/>
        <v>19.0666881345885</v>
      </c>
      <c r="K35" s="569">
        <v>0</v>
      </c>
      <c r="L35" s="570"/>
      <c r="N35" s="567"/>
      <c r="O35" s="567"/>
      <c r="P35" s="567"/>
      <c r="Q35" s="567"/>
      <c r="R35" s="577"/>
      <c r="S35" s="577"/>
    </row>
    <row r="36" ht="24" customHeight="1" spans="1:19">
      <c r="A36" s="551" t="s">
        <v>44</v>
      </c>
      <c r="B36" s="549">
        <f t="shared" ref="B36:I36" si="10">B6+B24+B25</f>
        <v>235356.932539683</v>
      </c>
      <c r="C36" s="549">
        <f t="shared" si="10"/>
        <v>48559.355</v>
      </c>
      <c r="D36" s="549">
        <f t="shared" si="10"/>
        <v>43554.936031746</v>
      </c>
      <c r="E36" s="549">
        <f t="shared" si="10"/>
        <v>-3814</v>
      </c>
      <c r="F36" s="550">
        <f t="shared" si="10"/>
        <v>-3815.355</v>
      </c>
      <c r="G36" s="550">
        <f t="shared" si="10"/>
        <v>44744</v>
      </c>
      <c r="H36" s="549">
        <f t="shared" si="10"/>
        <v>278911.868571429</v>
      </c>
      <c r="I36" s="549">
        <f t="shared" si="10"/>
        <v>44745.175</v>
      </c>
      <c r="J36" s="569">
        <f t="shared" ref="J36:J45" si="11">IF(B36=0,IF(H36=0,0,100),100*(H36/B36-1))</f>
        <v>18.5059074154964</v>
      </c>
      <c r="K36" s="569">
        <f t="shared" ref="K36:K45" si="12">IF(C36=0,IF(I36=0,0,100),100*(I36/C36-1))</f>
        <v>-7.85467599394597</v>
      </c>
      <c r="L36" s="570"/>
      <c r="N36" s="567"/>
      <c r="O36" s="567"/>
      <c r="P36" s="567"/>
      <c r="Q36" s="567"/>
      <c r="R36" s="577"/>
      <c r="S36" s="577"/>
    </row>
    <row r="37" ht="24" customHeight="1" spans="1:19">
      <c r="A37" s="552" t="s">
        <v>45</v>
      </c>
      <c r="B37" s="553">
        <f t="shared" ref="B37:I37" si="13">SUM(B26:B34)</f>
        <v>13079.69</v>
      </c>
      <c r="C37" s="553">
        <f t="shared" si="13"/>
        <v>12413.02</v>
      </c>
      <c r="D37" s="553">
        <f t="shared" si="13"/>
        <v>3813.7</v>
      </c>
      <c r="E37" s="553">
        <f t="shared" si="13"/>
        <v>3813.7</v>
      </c>
      <c r="F37" s="554">
        <f t="shared" si="13"/>
        <v>3814.48</v>
      </c>
      <c r="G37" s="554">
        <f t="shared" si="13"/>
        <v>16227.5</v>
      </c>
      <c r="H37" s="553">
        <f t="shared" si="13"/>
        <v>16893.39</v>
      </c>
      <c r="I37" s="553">
        <f t="shared" si="13"/>
        <v>16226.72</v>
      </c>
      <c r="J37" s="571">
        <f t="shared" si="11"/>
        <v>29.15741886849</v>
      </c>
      <c r="K37" s="571">
        <f t="shared" si="12"/>
        <v>30.7233856064036</v>
      </c>
      <c r="L37" s="236"/>
      <c r="N37" s="567"/>
      <c r="O37" s="567"/>
      <c r="P37" s="567"/>
      <c r="Q37" s="567"/>
      <c r="R37" s="577"/>
      <c r="S37" s="577"/>
    </row>
    <row r="38" ht="24" customHeight="1" spans="1:19">
      <c r="A38" s="551" t="s">
        <v>46</v>
      </c>
      <c r="B38" s="543">
        <f t="shared" ref="B38:I38" si="14">SUM(B39:B44)</f>
        <v>0</v>
      </c>
      <c r="C38" s="543">
        <f t="shared" si="14"/>
        <v>145606.243929</v>
      </c>
      <c r="D38" s="543">
        <f t="shared" si="14"/>
        <v>0</v>
      </c>
      <c r="E38" s="543">
        <f t="shared" si="14"/>
        <v>49035</v>
      </c>
      <c r="F38" s="544">
        <f t="shared" si="14"/>
        <v>49035.256071</v>
      </c>
      <c r="G38" s="544">
        <f t="shared" si="14"/>
        <v>194641.5</v>
      </c>
      <c r="H38" s="543">
        <f t="shared" si="14"/>
        <v>0</v>
      </c>
      <c r="I38" s="543">
        <f t="shared" si="14"/>
        <v>194641.243929</v>
      </c>
      <c r="J38" s="569">
        <f t="shared" si="11"/>
        <v>0</v>
      </c>
      <c r="K38" s="569">
        <f t="shared" si="12"/>
        <v>33.6764404306111</v>
      </c>
      <c r="L38" s="570"/>
      <c r="N38" s="567"/>
      <c r="O38" s="567"/>
      <c r="P38" s="567"/>
      <c r="Q38" s="567"/>
      <c r="R38" s="577"/>
      <c r="S38" s="577"/>
    </row>
    <row r="39" ht="24" customHeight="1" spans="1:19">
      <c r="A39" s="228" t="s">
        <v>47</v>
      </c>
      <c r="B39" s="543">
        <v>0</v>
      </c>
      <c r="C39" s="543">
        <v>32555</v>
      </c>
      <c r="D39" s="543">
        <v>0</v>
      </c>
      <c r="E39" s="543">
        <v>7276</v>
      </c>
      <c r="F39" s="544">
        <f t="shared" ref="F39:F44" si="15">G39-C39</f>
        <v>7276</v>
      </c>
      <c r="G39" s="544">
        <v>39831</v>
      </c>
      <c r="H39" s="546">
        <f t="shared" ref="H39:H44" si="16">B39+D39</f>
        <v>0</v>
      </c>
      <c r="I39" s="546">
        <f t="shared" si="9"/>
        <v>39831</v>
      </c>
      <c r="J39" s="347">
        <f t="shared" si="11"/>
        <v>0</v>
      </c>
      <c r="K39" s="347">
        <f t="shared" si="12"/>
        <v>22.3498694516971</v>
      </c>
      <c r="L39" s="223"/>
      <c r="N39" s="567"/>
      <c r="O39" s="567"/>
      <c r="P39" s="567"/>
      <c r="Q39" s="567"/>
      <c r="R39" s="577"/>
      <c r="S39" s="577"/>
    </row>
    <row r="40" ht="24" customHeight="1" spans="1:19">
      <c r="A40" s="228" t="s">
        <v>48</v>
      </c>
      <c r="B40" s="543">
        <v>0</v>
      </c>
      <c r="C40" s="543">
        <v>42965.743929</v>
      </c>
      <c r="D40" s="543">
        <v>0</v>
      </c>
      <c r="E40" s="543">
        <v>27287</v>
      </c>
      <c r="F40" s="544">
        <f t="shared" si="15"/>
        <v>27287.256071</v>
      </c>
      <c r="G40" s="544">
        <v>70253</v>
      </c>
      <c r="H40" s="546">
        <f t="shared" si="16"/>
        <v>0</v>
      </c>
      <c r="I40" s="546">
        <f t="shared" si="9"/>
        <v>70252.743929</v>
      </c>
      <c r="J40" s="347">
        <f t="shared" si="11"/>
        <v>0</v>
      </c>
      <c r="K40" s="347">
        <f t="shared" si="12"/>
        <v>63.5087339464928</v>
      </c>
      <c r="L40" s="223"/>
      <c r="N40" s="567"/>
      <c r="O40" s="567"/>
      <c r="P40" s="567"/>
      <c r="Q40" s="567"/>
      <c r="R40" s="577"/>
      <c r="S40" s="577"/>
    </row>
    <row r="41" ht="24" customHeight="1" spans="1:19">
      <c r="A41" s="228" t="s">
        <v>49</v>
      </c>
      <c r="B41" s="543">
        <v>0</v>
      </c>
      <c r="C41" s="543">
        <v>5000</v>
      </c>
      <c r="D41" s="543">
        <v>0</v>
      </c>
      <c r="E41" s="543">
        <v>7662</v>
      </c>
      <c r="F41" s="544">
        <f t="shared" si="15"/>
        <v>7662</v>
      </c>
      <c r="G41" s="544">
        <v>12662</v>
      </c>
      <c r="H41" s="546">
        <f t="shared" si="16"/>
        <v>0</v>
      </c>
      <c r="I41" s="546">
        <f t="shared" si="9"/>
        <v>12662</v>
      </c>
      <c r="J41" s="347">
        <f t="shared" si="11"/>
        <v>0</v>
      </c>
      <c r="K41" s="347">
        <f t="shared" si="12"/>
        <v>153.24</v>
      </c>
      <c r="L41" s="223"/>
      <c r="N41" s="567"/>
      <c r="O41" s="567"/>
      <c r="P41" s="567"/>
      <c r="Q41" s="567"/>
      <c r="R41" s="577"/>
      <c r="S41" s="577"/>
    </row>
    <row r="42" ht="24" customHeight="1" spans="1:19">
      <c r="A42" s="228" t="s">
        <v>50</v>
      </c>
      <c r="B42" s="543">
        <v>0</v>
      </c>
      <c r="C42" s="543">
        <v>13904.5</v>
      </c>
      <c r="D42" s="543">
        <v>0</v>
      </c>
      <c r="E42" s="543">
        <v>0</v>
      </c>
      <c r="F42" s="555">
        <f t="shared" si="15"/>
        <v>0</v>
      </c>
      <c r="G42" s="555">
        <v>13904.5</v>
      </c>
      <c r="H42" s="546">
        <f t="shared" si="16"/>
        <v>0</v>
      </c>
      <c r="I42" s="546">
        <f t="shared" si="9"/>
        <v>13904.5</v>
      </c>
      <c r="J42" s="347">
        <f t="shared" si="11"/>
        <v>0</v>
      </c>
      <c r="K42" s="347">
        <f t="shared" si="12"/>
        <v>0</v>
      </c>
      <c r="L42" s="222"/>
      <c r="N42" s="567"/>
      <c r="O42" s="567"/>
      <c r="P42" s="567"/>
      <c r="Q42" s="567"/>
      <c r="R42" s="577"/>
      <c r="S42" s="577"/>
    </row>
    <row r="43" ht="24" customHeight="1" spans="1:19">
      <c r="A43" s="228" t="s">
        <v>51</v>
      </c>
      <c r="B43" s="543">
        <v>0</v>
      </c>
      <c r="C43" s="545">
        <v>8069</v>
      </c>
      <c r="D43" s="543">
        <v>0</v>
      </c>
      <c r="E43" s="543">
        <v>0</v>
      </c>
      <c r="F43" s="555">
        <f t="shared" si="15"/>
        <v>0</v>
      </c>
      <c r="G43" s="555">
        <v>8069</v>
      </c>
      <c r="H43" s="546">
        <f t="shared" si="16"/>
        <v>0</v>
      </c>
      <c r="I43" s="546">
        <f t="shared" si="9"/>
        <v>8069</v>
      </c>
      <c r="J43" s="347">
        <f t="shared" si="11"/>
        <v>0</v>
      </c>
      <c r="K43" s="347">
        <f t="shared" si="12"/>
        <v>0</v>
      </c>
      <c r="L43" s="222"/>
      <c r="N43" s="567"/>
      <c r="O43" s="567"/>
      <c r="P43" s="567"/>
      <c r="Q43" s="567"/>
      <c r="R43" s="577"/>
      <c r="S43" s="577"/>
    </row>
    <row r="44" ht="24" customHeight="1" spans="1:19">
      <c r="A44" s="587" t="s">
        <v>52</v>
      </c>
      <c r="B44" s="557">
        <v>0</v>
      </c>
      <c r="C44" s="558">
        <v>43112</v>
      </c>
      <c r="D44" s="557">
        <v>0</v>
      </c>
      <c r="E44" s="557">
        <v>6810</v>
      </c>
      <c r="F44" s="555">
        <f t="shared" si="15"/>
        <v>6810</v>
      </c>
      <c r="G44" s="555">
        <v>49922</v>
      </c>
      <c r="H44" s="559">
        <f t="shared" si="16"/>
        <v>0</v>
      </c>
      <c r="I44" s="559">
        <f t="shared" si="9"/>
        <v>49922</v>
      </c>
      <c r="J44" s="572">
        <f t="shared" si="11"/>
        <v>0</v>
      </c>
      <c r="K44" s="572">
        <f t="shared" si="12"/>
        <v>15.7960660604936</v>
      </c>
      <c r="L44" s="573"/>
      <c r="N44" s="567"/>
      <c r="O44" s="567"/>
      <c r="P44" s="567"/>
      <c r="Q44" s="567"/>
      <c r="R44" s="577"/>
      <c r="S44" s="577"/>
    </row>
    <row r="45" ht="24" customHeight="1" spans="1:19">
      <c r="A45" s="560" t="s">
        <v>53</v>
      </c>
      <c r="B45" s="561">
        <f>B38+B35</f>
        <v>248436.622539683</v>
      </c>
      <c r="C45" s="561">
        <f>C38+C35</f>
        <v>206578.618929</v>
      </c>
      <c r="D45" s="562">
        <f>D38+D35</f>
        <v>47368.636031746</v>
      </c>
      <c r="E45" s="562">
        <f>E38+E35</f>
        <v>49035</v>
      </c>
      <c r="F45" s="563"/>
      <c r="G45" s="563"/>
      <c r="H45" s="562">
        <f>H38+H35</f>
        <v>295805.258571429</v>
      </c>
      <c r="I45" s="562">
        <f>I38+I35</f>
        <v>255613.618929</v>
      </c>
      <c r="J45" s="574">
        <f t="shared" si="11"/>
        <v>19.0666881345885</v>
      </c>
      <c r="K45" s="574">
        <f t="shared" si="12"/>
        <v>23.7367256370579</v>
      </c>
      <c r="L45" s="575"/>
      <c r="N45" s="567"/>
      <c r="O45" s="567"/>
      <c r="P45" s="567"/>
      <c r="Q45" s="567"/>
      <c r="R45" s="577"/>
      <c r="S45" s="577"/>
    </row>
  </sheetData>
  <mergeCells count="7">
    <mergeCell ref="A2:L2"/>
    <mergeCell ref="B4:C4"/>
    <mergeCell ref="D4:E4"/>
    <mergeCell ref="H4:I4"/>
    <mergeCell ref="J4:K4"/>
    <mergeCell ref="A4:A5"/>
    <mergeCell ref="L4:L5"/>
  </mergeCells>
  <printOptions horizontalCentered="1"/>
  <pageMargins left="0.786805555555556" right="0.786805555555556" top="0.393055555555556" bottom="0.393055555555556" header="0.196527777777778" footer="0.196527777777778"/>
  <pageSetup paperSize="9" scale="88" fitToHeight="0" orientation="landscape" horizontalDpi="600" vertic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38"/>
  <sheetViews>
    <sheetView showZeros="0" workbookViewId="0">
      <pane ySplit="5" topLeftCell="A425" activePane="bottomLeft" state="frozen"/>
      <selection/>
      <selection pane="bottomLeft" activeCell="C436" sqref="C436:I438"/>
    </sheetView>
  </sheetViews>
  <sheetFormatPr defaultColWidth="9" defaultRowHeight="18" customHeight="1"/>
  <cols>
    <col min="1" max="1" width="7.35833333333333" style="489" customWidth="1"/>
    <col min="2" max="2" width="19.3083333333333" style="490" customWidth="1"/>
    <col min="3" max="3" width="7.375" style="491" customWidth="1"/>
    <col min="4" max="4" width="6.5" style="491" customWidth="1"/>
    <col min="5" max="5" width="7.5" style="491" customWidth="1"/>
    <col min="6" max="7" width="6.875" style="491" customWidth="1"/>
    <col min="8" max="8" width="6.66666666666667" style="491" customWidth="1"/>
    <col min="9" max="9" width="7.91666666666667" style="491" customWidth="1"/>
    <col min="10" max="10" width="6.5" style="491" customWidth="1"/>
    <col min="11" max="11" width="7.5" style="491" customWidth="1"/>
    <col min="12" max="12" width="7.08333333333333" style="491" customWidth="1"/>
    <col min="13" max="13" width="7.5" style="491" customWidth="1"/>
    <col min="14" max="14" width="5.96666666666667" style="491" customWidth="1"/>
    <col min="15" max="15" width="21.1" style="492" customWidth="1"/>
    <col min="16" max="16350" width="9" style="487"/>
    <col min="16351" max="16384" width="9" style="493"/>
  </cols>
  <sheetData>
    <row r="1" s="58" customFormat="1" ht="21" customHeight="1" spans="1:14">
      <c r="A1" s="327" t="s">
        <v>54</v>
      </c>
      <c r="B1" s="327"/>
      <c r="C1" s="494"/>
      <c r="D1" s="495"/>
      <c r="E1" s="494"/>
      <c r="F1" s="495"/>
      <c r="G1" s="495"/>
      <c r="H1" s="495"/>
      <c r="I1" s="495"/>
      <c r="J1" s="495"/>
      <c r="K1" s="510"/>
      <c r="L1" s="510"/>
      <c r="M1" s="510"/>
      <c r="N1" s="510"/>
    </row>
    <row r="2" s="186" customFormat="1" ht="28" customHeight="1" spans="1:15">
      <c r="A2" s="194" t="s">
        <v>55</v>
      </c>
      <c r="B2" s="496"/>
      <c r="C2" s="497"/>
      <c r="D2" s="497"/>
      <c r="E2" s="497"/>
      <c r="F2" s="497"/>
      <c r="G2" s="497"/>
      <c r="H2" s="497"/>
      <c r="I2" s="497"/>
      <c r="J2" s="497"/>
      <c r="K2" s="497"/>
      <c r="L2" s="497"/>
      <c r="M2" s="497"/>
      <c r="N2" s="497"/>
      <c r="O2" s="194"/>
    </row>
    <row r="3" s="185" customFormat="1" ht="20" customHeight="1" spans="1:15">
      <c r="A3" s="334"/>
      <c r="B3" s="190"/>
      <c r="C3" s="498"/>
      <c r="D3" s="499"/>
      <c r="E3" s="498"/>
      <c r="F3" s="499"/>
      <c r="G3" s="499"/>
      <c r="H3" s="499"/>
      <c r="I3" s="499"/>
      <c r="J3" s="498"/>
      <c r="K3" s="511"/>
      <c r="L3" s="511"/>
      <c r="M3" s="511"/>
      <c r="N3" s="511"/>
      <c r="O3" s="219" t="s">
        <v>5</v>
      </c>
    </row>
    <row r="4" s="486" customFormat="1" ht="19" customHeight="1" spans="1:15">
      <c r="A4" s="500" t="s">
        <v>56</v>
      </c>
      <c r="B4" s="501" t="s">
        <v>57</v>
      </c>
      <c r="C4" s="502" t="s">
        <v>7</v>
      </c>
      <c r="D4" s="502"/>
      <c r="E4" s="502"/>
      <c r="F4" s="502" t="s">
        <v>8</v>
      </c>
      <c r="G4" s="502"/>
      <c r="H4" s="502"/>
      <c r="I4" s="502"/>
      <c r="J4" s="502"/>
      <c r="K4" s="502" t="s">
        <v>9</v>
      </c>
      <c r="L4" s="502"/>
      <c r="M4" s="502"/>
      <c r="N4" s="512" t="s">
        <v>58</v>
      </c>
      <c r="O4" s="513" t="s">
        <v>59</v>
      </c>
    </row>
    <row r="5" s="486" customFormat="1" ht="30" customHeight="1" spans="1:15">
      <c r="A5" s="503"/>
      <c r="B5" s="504"/>
      <c r="C5" s="505" t="s">
        <v>60</v>
      </c>
      <c r="D5" s="505" t="s">
        <v>61</v>
      </c>
      <c r="E5" s="505" t="s">
        <v>62</v>
      </c>
      <c r="F5" s="505" t="s">
        <v>63</v>
      </c>
      <c r="G5" s="505" t="s">
        <v>64</v>
      </c>
      <c r="H5" s="505" t="s">
        <v>65</v>
      </c>
      <c r="I5" s="505" t="s">
        <v>66</v>
      </c>
      <c r="J5" s="505" t="s">
        <v>67</v>
      </c>
      <c r="K5" s="505" t="s">
        <v>68</v>
      </c>
      <c r="L5" s="505" t="s">
        <v>61</v>
      </c>
      <c r="M5" s="505" t="s">
        <v>62</v>
      </c>
      <c r="N5" s="514"/>
      <c r="O5" s="515"/>
    </row>
    <row r="6" s="487" customFormat="1" customHeight="1" spans="1:15">
      <c r="A6" s="506">
        <v>201</v>
      </c>
      <c r="B6" s="507" t="s">
        <v>69</v>
      </c>
      <c r="C6" s="508">
        <f t="shared" ref="C6:I6" si="0">C7+C14+C20+C23+C29+C35+C40+C42+C47+C51+C56+C64+C68+C70+C74+C79+C82+C85+C90+C93+C99</f>
        <v>19558.52</v>
      </c>
      <c r="D6" s="508">
        <f>D7+D14+D20+D23+D29+D35+D40+D42+D47+D51+D56+D64+D68+D70+D74+D79+D82+D85+D90+D93+D99+D60</f>
        <v>1045</v>
      </c>
      <c r="E6" s="508">
        <f>C6+D6</f>
        <v>20603.52</v>
      </c>
      <c r="F6" s="508">
        <f t="shared" si="0"/>
        <v>1704.47</v>
      </c>
      <c r="G6" s="508">
        <f t="shared" si="0"/>
        <v>-6.6</v>
      </c>
      <c r="H6" s="508">
        <f t="shared" si="0"/>
        <v>0</v>
      </c>
      <c r="I6" s="508">
        <f t="shared" si="0"/>
        <v>1949.36</v>
      </c>
      <c r="J6" s="508">
        <f t="shared" ref="J6:J69" si="1">L6-D6</f>
        <v>1570</v>
      </c>
      <c r="K6" s="508">
        <v>23205.77</v>
      </c>
      <c r="L6" s="508">
        <v>2615</v>
      </c>
      <c r="M6" s="508">
        <f t="shared" ref="M6:M69" si="2">K6+L6</f>
        <v>25820.77</v>
      </c>
      <c r="N6" s="508">
        <f>(M6-E6)/E6*100</f>
        <v>25.3221294225453</v>
      </c>
      <c r="O6" s="516"/>
    </row>
    <row r="7" s="487" customFormat="1" customHeight="1" spans="1:15">
      <c r="A7" s="506">
        <v>20101</v>
      </c>
      <c r="B7" s="507" t="s">
        <v>70</v>
      </c>
      <c r="C7" s="508">
        <f t="shared" ref="C7:I7" si="3">C8+C9+C10+C11+C12+C13</f>
        <v>665.09</v>
      </c>
      <c r="D7" s="508">
        <f t="shared" si="3"/>
        <v>0</v>
      </c>
      <c r="E7" s="508">
        <f t="shared" ref="E6:E69" si="4">C7+D7</f>
        <v>665.09</v>
      </c>
      <c r="F7" s="508">
        <f t="shared" si="3"/>
        <v>18.17</v>
      </c>
      <c r="G7" s="508">
        <f t="shared" si="3"/>
        <v>0</v>
      </c>
      <c r="H7" s="508">
        <f t="shared" si="3"/>
        <v>0</v>
      </c>
      <c r="I7" s="508">
        <f t="shared" si="3"/>
        <v>148.12</v>
      </c>
      <c r="J7" s="508">
        <f t="shared" si="1"/>
        <v>105</v>
      </c>
      <c r="K7" s="508">
        <v>831.38</v>
      </c>
      <c r="L7" s="508">
        <v>105</v>
      </c>
      <c r="M7" s="508">
        <f t="shared" si="2"/>
        <v>936.38</v>
      </c>
      <c r="N7" s="508">
        <f t="shared" ref="N7:N70" si="5">(M7-E7)/E7*100</f>
        <v>40.7899682749703</v>
      </c>
      <c r="O7" s="516"/>
    </row>
    <row r="8" s="487" customFormat="1" customHeight="1" spans="1:15">
      <c r="A8" s="506">
        <v>2010101</v>
      </c>
      <c r="B8" s="507" t="s">
        <v>71</v>
      </c>
      <c r="C8" s="508">
        <v>510.69</v>
      </c>
      <c r="D8" s="508"/>
      <c r="E8" s="508">
        <f t="shared" si="4"/>
        <v>510.69</v>
      </c>
      <c r="F8" s="508">
        <v>18.17</v>
      </c>
      <c r="G8" s="508">
        <v>0</v>
      </c>
      <c r="H8" s="508">
        <v>0</v>
      </c>
      <c r="I8" s="508">
        <v>148.12</v>
      </c>
      <c r="J8" s="508">
        <f t="shared" si="1"/>
        <v>0</v>
      </c>
      <c r="K8" s="508">
        <v>676.98</v>
      </c>
      <c r="L8" s="508">
        <v>0</v>
      </c>
      <c r="M8" s="508">
        <f t="shared" si="2"/>
        <v>676.98</v>
      </c>
      <c r="N8" s="508">
        <f t="shared" si="5"/>
        <v>32.5618281149034</v>
      </c>
      <c r="O8" s="516" t="s">
        <v>72</v>
      </c>
    </row>
    <row r="9" s="487" customFormat="1" customHeight="1" spans="1:15">
      <c r="A9" s="506">
        <v>2010104</v>
      </c>
      <c r="B9" s="507" t="s">
        <v>73</v>
      </c>
      <c r="C9" s="508">
        <v>29</v>
      </c>
      <c r="D9" s="508"/>
      <c r="E9" s="508">
        <f t="shared" si="4"/>
        <v>29</v>
      </c>
      <c r="F9" s="508">
        <v>0</v>
      </c>
      <c r="G9" s="508">
        <v>0</v>
      </c>
      <c r="H9" s="508">
        <v>0</v>
      </c>
      <c r="I9" s="508">
        <v>0</v>
      </c>
      <c r="J9" s="508">
        <f t="shared" si="1"/>
        <v>0</v>
      </c>
      <c r="K9" s="508">
        <v>29</v>
      </c>
      <c r="L9" s="508">
        <v>0</v>
      </c>
      <c r="M9" s="508">
        <f t="shared" si="2"/>
        <v>29</v>
      </c>
      <c r="N9" s="508">
        <f t="shared" si="5"/>
        <v>0</v>
      </c>
      <c r="O9" s="516"/>
    </row>
    <row r="10" s="487" customFormat="1" customHeight="1" spans="1:15">
      <c r="A10" s="506">
        <v>2010106</v>
      </c>
      <c r="B10" s="507" t="s">
        <v>74</v>
      </c>
      <c r="C10" s="508">
        <v>9</v>
      </c>
      <c r="D10" s="508"/>
      <c r="E10" s="508">
        <f t="shared" si="4"/>
        <v>9</v>
      </c>
      <c r="F10" s="508">
        <v>0</v>
      </c>
      <c r="G10" s="508">
        <v>0</v>
      </c>
      <c r="H10" s="508">
        <v>0</v>
      </c>
      <c r="I10" s="508">
        <v>0</v>
      </c>
      <c r="J10" s="508">
        <f t="shared" si="1"/>
        <v>0</v>
      </c>
      <c r="K10" s="508">
        <v>9</v>
      </c>
      <c r="L10" s="508">
        <v>0</v>
      </c>
      <c r="M10" s="508">
        <f t="shared" si="2"/>
        <v>9</v>
      </c>
      <c r="N10" s="508">
        <f t="shared" si="5"/>
        <v>0</v>
      </c>
      <c r="O10" s="516"/>
    </row>
    <row r="11" s="487" customFormat="1" ht="19" customHeight="1" spans="1:15">
      <c r="A11" s="506">
        <v>2010107</v>
      </c>
      <c r="B11" s="507" t="s">
        <v>75</v>
      </c>
      <c r="C11" s="508">
        <v>14</v>
      </c>
      <c r="D11" s="508"/>
      <c r="E11" s="508">
        <f t="shared" si="4"/>
        <v>14</v>
      </c>
      <c r="F11" s="508">
        <v>0</v>
      </c>
      <c r="G11" s="508">
        <v>0</v>
      </c>
      <c r="H11" s="508">
        <v>0</v>
      </c>
      <c r="I11" s="508">
        <v>0</v>
      </c>
      <c r="J11" s="508">
        <f t="shared" si="1"/>
        <v>0</v>
      </c>
      <c r="K11" s="508">
        <v>14</v>
      </c>
      <c r="L11" s="508">
        <v>0</v>
      </c>
      <c r="M11" s="508">
        <f t="shared" si="2"/>
        <v>14</v>
      </c>
      <c r="N11" s="508">
        <f t="shared" si="5"/>
        <v>0</v>
      </c>
      <c r="O11" s="516"/>
    </row>
    <row r="12" s="487" customFormat="1" customHeight="1" spans="1:15">
      <c r="A12" s="506">
        <v>2010108</v>
      </c>
      <c r="B12" s="507" t="s">
        <v>76</v>
      </c>
      <c r="C12" s="508">
        <v>57.4</v>
      </c>
      <c r="D12" s="508"/>
      <c r="E12" s="508">
        <f t="shared" si="4"/>
        <v>57.4</v>
      </c>
      <c r="F12" s="508">
        <v>0</v>
      </c>
      <c r="G12" s="508">
        <v>0</v>
      </c>
      <c r="H12" s="508">
        <v>0</v>
      </c>
      <c r="I12" s="508">
        <v>0</v>
      </c>
      <c r="J12" s="508">
        <f t="shared" si="1"/>
        <v>0</v>
      </c>
      <c r="K12" s="508">
        <v>57.4</v>
      </c>
      <c r="L12" s="508">
        <v>0</v>
      </c>
      <c r="M12" s="508">
        <f t="shared" si="2"/>
        <v>57.4</v>
      </c>
      <c r="N12" s="508">
        <f t="shared" si="5"/>
        <v>0</v>
      </c>
      <c r="O12" s="517"/>
    </row>
    <row r="13" s="487" customFormat="1" customHeight="1" spans="1:15">
      <c r="A13" s="506">
        <v>2010199</v>
      </c>
      <c r="B13" s="507" t="s">
        <v>77</v>
      </c>
      <c r="C13" s="508">
        <v>45</v>
      </c>
      <c r="D13" s="508"/>
      <c r="E13" s="508">
        <f t="shared" si="4"/>
        <v>45</v>
      </c>
      <c r="F13" s="508">
        <v>0</v>
      </c>
      <c r="G13" s="508">
        <v>0</v>
      </c>
      <c r="H13" s="508">
        <v>0</v>
      </c>
      <c r="I13" s="508">
        <v>0</v>
      </c>
      <c r="J13" s="508">
        <f t="shared" si="1"/>
        <v>105</v>
      </c>
      <c r="K13" s="508">
        <v>45</v>
      </c>
      <c r="L13" s="508">
        <v>105</v>
      </c>
      <c r="M13" s="508">
        <f t="shared" si="2"/>
        <v>150</v>
      </c>
      <c r="N13" s="508">
        <f t="shared" si="5"/>
        <v>233.333333333333</v>
      </c>
      <c r="O13" s="516"/>
    </row>
    <row r="14" s="487" customFormat="1" customHeight="1" spans="1:15">
      <c r="A14" s="506">
        <v>20102</v>
      </c>
      <c r="B14" s="507" t="s">
        <v>78</v>
      </c>
      <c r="C14" s="508">
        <f t="shared" ref="C14:I14" si="6">C15+C16+C17+C18+C19</f>
        <v>367.34</v>
      </c>
      <c r="D14" s="508">
        <f t="shared" si="6"/>
        <v>0</v>
      </c>
      <c r="E14" s="508">
        <f t="shared" si="4"/>
        <v>367.34</v>
      </c>
      <c r="F14" s="508">
        <f t="shared" si="6"/>
        <v>23.27</v>
      </c>
      <c r="G14" s="508">
        <f t="shared" si="6"/>
        <v>0</v>
      </c>
      <c r="H14" s="508">
        <f t="shared" si="6"/>
        <v>0</v>
      </c>
      <c r="I14" s="508">
        <f t="shared" si="6"/>
        <v>85.52</v>
      </c>
      <c r="J14" s="508">
        <f t="shared" si="1"/>
        <v>0</v>
      </c>
      <c r="K14" s="508">
        <v>476.13</v>
      </c>
      <c r="L14" s="508">
        <v>0</v>
      </c>
      <c r="M14" s="508">
        <f t="shared" si="2"/>
        <v>476.13</v>
      </c>
      <c r="N14" s="508">
        <f t="shared" si="5"/>
        <v>29.615614961616</v>
      </c>
      <c r="O14" s="517"/>
    </row>
    <row r="15" s="487" customFormat="1" customHeight="1" spans="1:15">
      <c r="A15" s="506">
        <v>2010201</v>
      </c>
      <c r="B15" s="507" t="s">
        <v>71</v>
      </c>
      <c r="C15" s="508">
        <v>289.14</v>
      </c>
      <c r="D15" s="508"/>
      <c r="E15" s="508">
        <f t="shared" si="4"/>
        <v>289.14</v>
      </c>
      <c r="F15" s="509">
        <v>23.27</v>
      </c>
      <c r="G15" s="509">
        <v>0</v>
      </c>
      <c r="H15" s="509">
        <v>0</v>
      </c>
      <c r="I15" s="509">
        <v>69.52</v>
      </c>
      <c r="J15" s="508">
        <f t="shared" si="1"/>
        <v>0</v>
      </c>
      <c r="K15" s="508">
        <v>381.93</v>
      </c>
      <c r="L15" s="508">
        <v>0</v>
      </c>
      <c r="M15" s="508">
        <f t="shared" si="2"/>
        <v>381.93</v>
      </c>
      <c r="N15" s="508">
        <f t="shared" si="5"/>
        <v>32.0917202739158</v>
      </c>
      <c r="O15" s="516" t="s">
        <v>72</v>
      </c>
    </row>
    <row r="16" s="487" customFormat="1" customHeight="1" spans="1:15">
      <c r="A16" s="506">
        <v>2010204</v>
      </c>
      <c r="B16" s="507" t="s">
        <v>79</v>
      </c>
      <c r="C16" s="508">
        <v>22</v>
      </c>
      <c r="D16" s="508"/>
      <c r="E16" s="508">
        <f t="shared" si="4"/>
        <v>22</v>
      </c>
      <c r="F16" s="509">
        <v>0</v>
      </c>
      <c r="G16" s="509">
        <v>0</v>
      </c>
      <c r="H16" s="509">
        <v>0</v>
      </c>
      <c r="I16" s="509"/>
      <c r="J16" s="508">
        <f t="shared" si="1"/>
        <v>0</v>
      </c>
      <c r="K16" s="508">
        <v>22</v>
      </c>
      <c r="L16" s="508">
        <v>0</v>
      </c>
      <c r="M16" s="508">
        <f t="shared" si="2"/>
        <v>22</v>
      </c>
      <c r="N16" s="508">
        <f t="shared" si="5"/>
        <v>0</v>
      </c>
      <c r="O16" s="516"/>
    </row>
    <row r="17" s="487" customFormat="1" customHeight="1" spans="1:15">
      <c r="A17" s="506">
        <v>2010205</v>
      </c>
      <c r="B17" s="507" t="s">
        <v>80</v>
      </c>
      <c r="C17" s="508">
        <v>10</v>
      </c>
      <c r="D17" s="508"/>
      <c r="E17" s="508">
        <f t="shared" si="4"/>
        <v>10</v>
      </c>
      <c r="F17" s="509">
        <v>-5</v>
      </c>
      <c r="G17" s="509">
        <v>0</v>
      </c>
      <c r="H17" s="509">
        <v>0</v>
      </c>
      <c r="I17" s="509"/>
      <c r="J17" s="508">
        <f t="shared" si="1"/>
        <v>0</v>
      </c>
      <c r="K17" s="508">
        <v>5</v>
      </c>
      <c r="L17" s="508">
        <v>0</v>
      </c>
      <c r="M17" s="508">
        <f t="shared" si="2"/>
        <v>5</v>
      </c>
      <c r="N17" s="508">
        <f t="shared" si="5"/>
        <v>-50</v>
      </c>
      <c r="O17" s="516"/>
    </row>
    <row r="18" s="487" customFormat="1" customHeight="1" spans="1:15">
      <c r="A18" s="506">
        <v>2010206</v>
      </c>
      <c r="B18" s="507" t="s">
        <v>81</v>
      </c>
      <c r="C18" s="508">
        <v>9</v>
      </c>
      <c r="D18" s="508"/>
      <c r="E18" s="508">
        <f t="shared" si="4"/>
        <v>9</v>
      </c>
      <c r="F18" s="509">
        <v>-4</v>
      </c>
      <c r="G18" s="509">
        <v>0</v>
      </c>
      <c r="H18" s="509">
        <v>0</v>
      </c>
      <c r="I18" s="509"/>
      <c r="J18" s="508">
        <f t="shared" si="1"/>
        <v>0</v>
      </c>
      <c r="K18" s="508">
        <v>5</v>
      </c>
      <c r="L18" s="508">
        <v>0</v>
      </c>
      <c r="M18" s="508">
        <f t="shared" si="2"/>
        <v>5</v>
      </c>
      <c r="N18" s="508">
        <f t="shared" si="5"/>
        <v>-44.4444444444444</v>
      </c>
      <c r="O18" s="516"/>
    </row>
    <row r="19" s="487" customFormat="1" customHeight="1" spans="1:16">
      <c r="A19" s="506">
        <v>2010299</v>
      </c>
      <c r="B19" s="507" t="s">
        <v>82</v>
      </c>
      <c r="C19" s="508">
        <v>37.2</v>
      </c>
      <c r="D19" s="508"/>
      <c r="E19" s="508">
        <f t="shared" si="4"/>
        <v>37.2</v>
      </c>
      <c r="F19" s="509">
        <v>9</v>
      </c>
      <c r="G19" s="509">
        <v>0</v>
      </c>
      <c r="H19" s="509">
        <v>0</v>
      </c>
      <c r="I19" s="509">
        <v>16</v>
      </c>
      <c r="J19" s="508">
        <f t="shared" si="1"/>
        <v>0</v>
      </c>
      <c r="K19" s="508">
        <v>62.2</v>
      </c>
      <c r="L19" s="508">
        <v>0</v>
      </c>
      <c r="M19" s="508">
        <f t="shared" si="2"/>
        <v>62.2</v>
      </c>
      <c r="N19" s="508">
        <f t="shared" si="5"/>
        <v>67.2043010752688</v>
      </c>
      <c r="O19" s="516"/>
      <c r="P19" s="490"/>
    </row>
    <row r="20" s="487" customFormat="1" ht="31" customHeight="1" spans="1:15">
      <c r="A20" s="506">
        <v>20103</v>
      </c>
      <c r="B20" s="507" t="s">
        <v>83</v>
      </c>
      <c r="C20" s="508">
        <f t="shared" ref="C20:I20" si="7">C21+C22</f>
        <v>3279.97</v>
      </c>
      <c r="D20" s="508">
        <f t="shared" si="7"/>
        <v>0</v>
      </c>
      <c r="E20" s="508">
        <f t="shared" si="4"/>
        <v>3279.97</v>
      </c>
      <c r="F20" s="508">
        <f t="shared" si="7"/>
        <v>177.19</v>
      </c>
      <c r="G20" s="508">
        <f t="shared" si="7"/>
        <v>0</v>
      </c>
      <c r="H20" s="508">
        <f t="shared" si="7"/>
        <v>0</v>
      </c>
      <c r="I20" s="508">
        <f t="shared" si="7"/>
        <v>336.53</v>
      </c>
      <c r="J20" s="508">
        <f t="shared" si="1"/>
        <v>0</v>
      </c>
      <c r="K20" s="508">
        <v>3793.69</v>
      </c>
      <c r="L20" s="508">
        <v>0</v>
      </c>
      <c r="M20" s="508">
        <f t="shared" si="2"/>
        <v>3793.69</v>
      </c>
      <c r="N20" s="508">
        <f t="shared" si="5"/>
        <v>15.6623383750461</v>
      </c>
      <c r="O20" s="516"/>
    </row>
    <row r="21" s="487" customFormat="1" customHeight="1" spans="1:15">
      <c r="A21" s="506">
        <v>2010301</v>
      </c>
      <c r="B21" s="507" t="s">
        <v>71</v>
      </c>
      <c r="C21" s="508">
        <v>1644.04</v>
      </c>
      <c r="D21" s="508"/>
      <c r="E21" s="508">
        <f t="shared" si="4"/>
        <v>1644.04</v>
      </c>
      <c r="F21" s="509">
        <v>50.49</v>
      </c>
      <c r="G21" s="509">
        <v>0</v>
      </c>
      <c r="H21" s="509">
        <v>0</v>
      </c>
      <c r="I21" s="509">
        <v>336.54</v>
      </c>
      <c r="J21" s="508">
        <f t="shared" si="1"/>
        <v>0</v>
      </c>
      <c r="K21" s="508">
        <v>2031.07</v>
      </c>
      <c r="L21" s="508">
        <v>0</v>
      </c>
      <c r="M21" s="508">
        <f t="shared" si="2"/>
        <v>2031.07</v>
      </c>
      <c r="N21" s="508">
        <f t="shared" si="5"/>
        <v>23.5413980195129</v>
      </c>
      <c r="O21" s="516" t="s">
        <v>72</v>
      </c>
    </row>
    <row r="22" s="487" customFormat="1" ht="55" customHeight="1" spans="1:15">
      <c r="A22" s="506">
        <v>2010399</v>
      </c>
      <c r="B22" s="507" t="s">
        <v>84</v>
      </c>
      <c r="C22" s="508">
        <v>1635.93</v>
      </c>
      <c r="D22" s="508"/>
      <c r="E22" s="508">
        <f t="shared" si="4"/>
        <v>1635.93</v>
      </c>
      <c r="F22" s="509">
        <v>126.7</v>
      </c>
      <c r="G22" s="509">
        <v>0</v>
      </c>
      <c r="H22" s="509">
        <v>0</v>
      </c>
      <c r="I22" s="509">
        <v>-0.0100000000000051</v>
      </c>
      <c r="J22" s="508">
        <f t="shared" si="1"/>
        <v>0</v>
      </c>
      <c r="K22" s="508">
        <v>1762.62</v>
      </c>
      <c r="L22" s="508">
        <v>0</v>
      </c>
      <c r="M22" s="508">
        <f t="shared" si="2"/>
        <v>1762.62</v>
      </c>
      <c r="N22" s="508">
        <f t="shared" si="5"/>
        <v>7.74421888467109</v>
      </c>
      <c r="O22" s="516" t="s">
        <v>85</v>
      </c>
    </row>
    <row r="23" s="487" customFormat="1" customHeight="1" spans="1:15">
      <c r="A23" s="506">
        <v>20104</v>
      </c>
      <c r="B23" s="507" t="s">
        <v>86</v>
      </c>
      <c r="C23" s="508">
        <f t="shared" ref="C23:I23" si="8">C24+C25+C26+C28</f>
        <v>622.42</v>
      </c>
      <c r="D23" s="508">
        <f t="shared" si="8"/>
        <v>0</v>
      </c>
      <c r="E23" s="508">
        <f t="shared" si="4"/>
        <v>622.42</v>
      </c>
      <c r="F23" s="508">
        <f t="shared" si="8"/>
        <v>154.08</v>
      </c>
      <c r="G23" s="508">
        <f t="shared" si="8"/>
        <v>0</v>
      </c>
      <c r="H23" s="508">
        <f t="shared" si="8"/>
        <v>0</v>
      </c>
      <c r="I23" s="508">
        <f t="shared" si="8"/>
        <v>69.17</v>
      </c>
      <c r="J23" s="508">
        <f t="shared" si="1"/>
        <v>2</v>
      </c>
      <c r="K23" s="508">
        <v>845.67</v>
      </c>
      <c r="L23" s="508">
        <v>2</v>
      </c>
      <c r="M23" s="508">
        <f t="shared" si="2"/>
        <v>847.67</v>
      </c>
      <c r="N23" s="508">
        <f t="shared" si="5"/>
        <v>36.1893898010989</v>
      </c>
      <c r="O23" s="516"/>
    </row>
    <row r="24" s="487" customFormat="1" customHeight="1" spans="1:15">
      <c r="A24" s="506">
        <v>2010401</v>
      </c>
      <c r="B24" s="507" t="s">
        <v>71</v>
      </c>
      <c r="C24" s="508">
        <v>244.01</v>
      </c>
      <c r="D24" s="508"/>
      <c r="E24" s="508">
        <f t="shared" si="4"/>
        <v>244.01</v>
      </c>
      <c r="F24" s="509">
        <v>9.52</v>
      </c>
      <c r="G24" s="509">
        <v>0</v>
      </c>
      <c r="H24" s="509">
        <v>0</v>
      </c>
      <c r="I24" s="509">
        <v>66.89</v>
      </c>
      <c r="J24" s="508">
        <f t="shared" si="1"/>
        <v>0</v>
      </c>
      <c r="K24" s="508">
        <v>320.42</v>
      </c>
      <c r="L24" s="508">
        <v>0</v>
      </c>
      <c r="M24" s="508">
        <f t="shared" si="2"/>
        <v>320.42</v>
      </c>
      <c r="N24" s="508">
        <f t="shared" si="5"/>
        <v>31.3142903979345</v>
      </c>
      <c r="O24" s="516" t="s">
        <v>72</v>
      </c>
    </row>
    <row r="25" s="487" customFormat="1" customHeight="1" spans="1:15">
      <c r="A25" s="506">
        <v>2010402</v>
      </c>
      <c r="B25" s="507" t="s">
        <v>87</v>
      </c>
      <c r="C25" s="508">
        <v>1</v>
      </c>
      <c r="D25" s="508"/>
      <c r="E25" s="508">
        <f t="shared" si="4"/>
        <v>1</v>
      </c>
      <c r="F25" s="509">
        <v>0</v>
      </c>
      <c r="G25" s="509">
        <v>0</v>
      </c>
      <c r="H25" s="509">
        <v>0</v>
      </c>
      <c r="I25" s="509">
        <v>0</v>
      </c>
      <c r="J25" s="508">
        <f t="shared" si="1"/>
        <v>0</v>
      </c>
      <c r="K25" s="508">
        <v>1</v>
      </c>
      <c r="L25" s="508">
        <v>0</v>
      </c>
      <c r="M25" s="508">
        <f t="shared" si="2"/>
        <v>1</v>
      </c>
      <c r="N25" s="508">
        <f t="shared" si="5"/>
        <v>0</v>
      </c>
      <c r="O25" s="516"/>
    </row>
    <row r="26" s="487" customFormat="1" customHeight="1" spans="1:15">
      <c r="A26" s="506">
        <v>2010404</v>
      </c>
      <c r="B26" s="507" t="s">
        <v>88</v>
      </c>
      <c r="C26" s="508">
        <v>3</v>
      </c>
      <c r="D26" s="508"/>
      <c r="E26" s="508">
        <f t="shared" si="4"/>
        <v>3</v>
      </c>
      <c r="F26" s="509">
        <v>0</v>
      </c>
      <c r="G26" s="509">
        <v>0</v>
      </c>
      <c r="H26" s="509">
        <v>0</v>
      </c>
      <c r="I26" s="509">
        <v>0</v>
      </c>
      <c r="J26" s="508">
        <f t="shared" si="1"/>
        <v>0</v>
      </c>
      <c r="K26" s="508">
        <v>3</v>
      </c>
      <c r="L26" s="508">
        <v>0</v>
      </c>
      <c r="M26" s="508">
        <f t="shared" si="2"/>
        <v>3</v>
      </c>
      <c r="N26" s="508">
        <f t="shared" si="5"/>
        <v>0</v>
      </c>
      <c r="O26" s="516"/>
    </row>
    <row r="27" s="487" customFormat="1" customHeight="1" spans="1:15">
      <c r="A27" s="506">
        <v>2010408</v>
      </c>
      <c r="B27" s="507" t="s">
        <v>89</v>
      </c>
      <c r="C27" s="509"/>
      <c r="D27" s="509"/>
      <c r="E27" s="508">
        <f t="shared" si="4"/>
        <v>0</v>
      </c>
      <c r="F27" s="509"/>
      <c r="G27" s="509"/>
      <c r="H27" s="508"/>
      <c r="I27" s="508"/>
      <c r="J27" s="508">
        <f t="shared" si="1"/>
        <v>2</v>
      </c>
      <c r="K27" s="509"/>
      <c r="L27" s="509">
        <v>2</v>
      </c>
      <c r="M27" s="508">
        <f t="shared" si="2"/>
        <v>2</v>
      </c>
      <c r="N27" s="508">
        <v>100</v>
      </c>
      <c r="O27" s="516"/>
    </row>
    <row r="28" s="487" customFormat="1" ht="43" customHeight="1" spans="1:15">
      <c r="A28" s="506">
        <v>2010499</v>
      </c>
      <c r="B28" s="507" t="s">
        <v>90</v>
      </c>
      <c r="C28" s="508">
        <v>374.41</v>
      </c>
      <c r="D28" s="508"/>
      <c r="E28" s="508">
        <f t="shared" si="4"/>
        <v>374.41</v>
      </c>
      <c r="F28" s="509">
        <v>144.56</v>
      </c>
      <c r="G28" s="509">
        <v>0</v>
      </c>
      <c r="H28" s="509">
        <v>0</v>
      </c>
      <c r="I28" s="509">
        <v>2.28</v>
      </c>
      <c r="J28" s="508">
        <f t="shared" si="1"/>
        <v>0</v>
      </c>
      <c r="K28" s="508">
        <v>521.25</v>
      </c>
      <c r="L28" s="508">
        <v>0</v>
      </c>
      <c r="M28" s="508">
        <f t="shared" si="2"/>
        <v>521.25</v>
      </c>
      <c r="N28" s="508">
        <f t="shared" si="5"/>
        <v>39.2190379530461</v>
      </c>
      <c r="O28" s="516" t="s">
        <v>91</v>
      </c>
    </row>
    <row r="29" s="487" customFormat="1" customHeight="1" spans="1:15">
      <c r="A29" s="506">
        <v>20105</v>
      </c>
      <c r="B29" s="507" t="s">
        <v>92</v>
      </c>
      <c r="C29" s="508">
        <f t="shared" ref="C29:I29" si="9">C30+C31+C32+C33</f>
        <v>304</v>
      </c>
      <c r="D29" s="508">
        <f t="shared" si="9"/>
        <v>0</v>
      </c>
      <c r="E29" s="508">
        <f t="shared" si="4"/>
        <v>304</v>
      </c>
      <c r="F29" s="509">
        <f t="shared" si="9"/>
        <v>6.66</v>
      </c>
      <c r="G29" s="509">
        <f t="shared" si="9"/>
        <v>0</v>
      </c>
      <c r="H29" s="509">
        <f t="shared" si="9"/>
        <v>0</v>
      </c>
      <c r="I29" s="509">
        <f t="shared" si="9"/>
        <v>51.62</v>
      </c>
      <c r="J29" s="508">
        <f t="shared" si="1"/>
        <v>55</v>
      </c>
      <c r="K29" s="508">
        <v>362.28</v>
      </c>
      <c r="L29" s="508">
        <v>55</v>
      </c>
      <c r="M29" s="508">
        <f t="shared" si="2"/>
        <v>417.28</v>
      </c>
      <c r="N29" s="508">
        <f t="shared" si="5"/>
        <v>37.2631578947368</v>
      </c>
      <c r="O29" s="516"/>
    </row>
    <row r="30" s="487" customFormat="1" customHeight="1" spans="1:15">
      <c r="A30" s="506">
        <v>2010501</v>
      </c>
      <c r="B30" s="507" t="s">
        <v>71</v>
      </c>
      <c r="C30" s="508">
        <v>179</v>
      </c>
      <c r="D30" s="508"/>
      <c r="E30" s="508">
        <f t="shared" si="4"/>
        <v>179</v>
      </c>
      <c r="F30" s="509">
        <v>6.66</v>
      </c>
      <c r="G30" s="509">
        <v>0</v>
      </c>
      <c r="H30" s="509">
        <v>0</v>
      </c>
      <c r="I30" s="509">
        <v>51.62</v>
      </c>
      <c r="J30" s="508">
        <f t="shared" si="1"/>
        <v>0</v>
      </c>
      <c r="K30" s="508">
        <v>237.28</v>
      </c>
      <c r="L30" s="508">
        <v>0</v>
      </c>
      <c r="M30" s="508">
        <f t="shared" si="2"/>
        <v>237.28</v>
      </c>
      <c r="N30" s="508">
        <f t="shared" si="5"/>
        <v>32.5586592178771</v>
      </c>
      <c r="O30" s="516" t="s">
        <v>72</v>
      </c>
    </row>
    <row r="31" s="487" customFormat="1" customHeight="1" spans="1:15">
      <c r="A31" s="506">
        <v>2010502</v>
      </c>
      <c r="B31" s="507" t="s">
        <v>87</v>
      </c>
      <c r="C31" s="508">
        <v>10</v>
      </c>
      <c r="D31" s="508"/>
      <c r="E31" s="508">
        <f t="shared" si="4"/>
        <v>10</v>
      </c>
      <c r="F31" s="509">
        <v>0</v>
      </c>
      <c r="G31" s="509">
        <v>0</v>
      </c>
      <c r="H31" s="509">
        <v>0</v>
      </c>
      <c r="I31" s="509">
        <v>0</v>
      </c>
      <c r="J31" s="508">
        <f t="shared" si="1"/>
        <v>0</v>
      </c>
      <c r="K31" s="508">
        <v>10</v>
      </c>
      <c r="L31" s="508">
        <v>0</v>
      </c>
      <c r="M31" s="508">
        <f t="shared" si="2"/>
        <v>10</v>
      </c>
      <c r="N31" s="508">
        <f t="shared" si="5"/>
        <v>0</v>
      </c>
      <c r="O31" s="516"/>
    </row>
    <row r="32" s="487" customFormat="1" customHeight="1" spans="1:15">
      <c r="A32" s="506">
        <v>2010507</v>
      </c>
      <c r="B32" s="507" t="s">
        <v>93</v>
      </c>
      <c r="C32" s="508">
        <v>100</v>
      </c>
      <c r="D32" s="508"/>
      <c r="E32" s="508">
        <f t="shared" si="4"/>
        <v>100</v>
      </c>
      <c r="F32" s="509">
        <v>0</v>
      </c>
      <c r="G32" s="509">
        <v>0</v>
      </c>
      <c r="H32" s="509">
        <v>0</v>
      </c>
      <c r="I32" s="509">
        <v>0</v>
      </c>
      <c r="J32" s="508">
        <f t="shared" si="1"/>
        <v>0</v>
      </c>
      <c r="K32" s="508">
        <v>100</v>
      </c>
      <c r="L32" s="508">
        <v>0</v>
      </c>
      <c r="M32" s="508">
        <f t="shared" si="2"/>
        <v>100</v>
      </c>
      <c r="N32" s="508">
        <f t="shared" si="5"/>
        <v>0</v>
      </c>
      <c r="O32" s="516"/>
    </row>
    <row r="33" s="487" customFormat="1" customHeight="1" spans="1:15">
      <c r="A33" s="506">
        <v>2010508</v>
      </c>
      <c r="B33" s="507" t="s">
        <v>94</v>
      </c>
      <c r="C33" s="508">
        <v>15</v>
      </c>
      <c r="D33" s="508"/>
      <c r="E33" s="508">
        <f t="shared" si="4"/>
        <v>15</v>
      </c>
      <c r="F33" s="509">
        <v>0</v>
      </c>
      <c r="G33" s="509">
        <v>0</v>
      </c>
      <c r="H33" s="509">
        <v>0</v>
      </c>
      <c r="I33" s="509">
        <v>0</v>
      </c>
      <c r="J33" s="508">
        <f t="shared" si="1"/>
        <v>0</v>
      </c>
      <c r="K33" s="508">
        <v>15</v>
      </c>
      <c r="L33" s="508">
        <v>0</v>
      </c>
      <c r="M33" s="508">
        <f t="shared" si="2"/>
        <v>15</v>
      </c>
      <c r="N33" s="508">
        <f t="shared" si="5"/>
        <v>0</v>
      </c>
      <c r="O33" s="516"/>
    </row>
    <row r="34" s="487" customFormat="1" customHeight="1" spans="1:15">
      <c r="A34" s="506">
        <v>2010599</v>
      </c>
      <c r="B34" s="507" t="s">
        <v>95</v>
      </c>
      <c r="C34" s="508"/>
      <c r="D34" s="508"/>
      <c r="E34" s="508">
        <f t="shared" si="4"/>
        <v>0</v>
      </c>
      <c r="F34" s="509"/>
      <c r="G34" s="509"/>
      <c r="H34" s="509"/>
      <c r="I34" s="509"/>
      <c r="J34" s="508">
        <f t="shared" si="1"/>
        <v>55</v>
      </c>
      <c r="K34" s="508"/>
      <c r="L34" s="508">
        <v>55</v>
      </c>
      <c r="M34" s="508">
        <f t="shared" si="2"/>
        <v>55</v>
      </c>
      <c r="N34" s="508">
        <v>100</v>
      </c>
      <c r="O34" s="516"/>
    </row>
    <row r="35" s="487" customFormat="1" customHeight="1" spans="1:15">
      <c r="A35" s="506">
        <v>20106</v>
      </c>
      <c r="B35" s="507" t="s">
        <v>96</v>
      </c>
      <c r="C35" s="508">
        <f t="shared" ref="C35:I35" si="10">C36+C37+C38+C39</f>
        <v>838.43</v>
      </c>
      <c r="D35" s="508">
        <f t="shared" si="10"/>
        <v>0</v>
      </c>
      <c r="E35" s="508">
        <f t="shared" si="4"/>
        <v>838.43</v>
      </c>
      <c r="F35" s="509">
        <f t="shared" si="10"/>
        <v>62.72</v>
      </c>
      <c r="G35" s="509">
        <f t="shared" si="10"/>
        <v>0</v>
      </c>
      <c r="H35" s="509">
        <f t="shared" si="10"/>
        <v>0</v>
      </c>
      <c r="I35" s="509">
        <f t="shared" si="10"/>
        <v>132.93</v>
      </c>
      <c r="J35" s="508">
        <f t="shared" si="1"/>
        <v>0</v>
      </c>
      <c r="K35" s="508">
        <v>1034.08</v>
      </c>
      <c r="L35" s="508">
        <v>0</v>
      </c>
      <c r="M35" s="508">
        <f t="shared" si="2"/>
        <v>1034.08</v>
      </c>
      <c r="N35" s="508">
        <f t="shared" si="5"/>
        <v>23.3352814188424</v>
      </c>
      <c r="O35" s="516"/>
    </row>
    <row r="36" s="487" customFormat="1" customHeight="1" spans="1:15">
      <c r="A36" s="506">
        <v>2010601</v>
      </c>
      <c r="B36" s="507" t="s">
        <v>71</v>
      </c>
      <c r="C36" s="508">
        <v>489.53</v>
      </c>
      <c r="D36" s="508"/>
      <c r="E36" s="508">
        <f t="shared" si="4"/>
        <v>489.53</v>
      </c>
      <c r="F36" s="509">
        <v>10.72</v>
      </c>
      <c r="G36" s="509">
        <v>0</v>
      </c>
      <c r="H36" s="509">
        <v>0</v>
      </c>
      <c r="I36" s="509">
        <v>132.93</v>
      </c>
      <c r="J36" s="508">
        <f t="shared" si="1"/>
        <v>0</v>
      </c>
      <c r="K36" s="508">
        <v>633.18</v>
      </c>
      <c r="L36" s="508">
        <v>0</v>
      </c>
      <c r="M36" s="508">
        <f t="shared" si="2"/>
        <v>633.18</v>
      </c>
      <c r="N36" s="508">
        <f t="shared" si="5"/>
        <v>29.3444732702797</v>
      </c>
      <c r="O36" s="516" t="s">
        <v>72</v>
      </c>
    </row>
    <row r="37" s="487" customFormat="1" customHeight="1" spans="1:15">
      <c r="A37" s="506">
        <v>2010605</v>
      </c>
      <c r="B37" s="507" t="s">
        <v>97</v>
      </c>
      <c r="C37" s="508">
        <v>21</v>
      </c>
      <c r="D37" s="508"/>
      <c r="E37" s="508">
        <f t="shared" si="4"/>
        <v>21</v>
      </c>
      <c r="F37" s="509">
        <v>0</v>
      </c>
      <c r="G37" s="509">
        <v>0</v>
      </c>
      <c r="H37" s="509">
        <v>0</v>
      </c>
      <c r="I37" s="509">
        <v>0</v>
      </c>
      <c r="J37" s="508">
        <f t="shared" si="1"/>
        <v>0</v>
      </c>
      <c r="K37" s="508">
        <v>21</v>
      </c>
      <c r="L37" s="508">
        <v>0</v>
      </c>
      <c r="M37" s="508">
        <f t="shared" si="2"/>
        <v>21</v>
      </c>
      <c r="N37" s="508">
        <f t="shared" si="5"/>
        <v>0</v>
      </c>
      <c r="O37" s="516"/>
    </row>
    <row r="38" s="487" customFormat="1" customHeight="1" spans="1:15">
      <c r="A38" s="506">
        <v>2010607</v>
      </c>
      <c r="B38" s="507" t="s">
        <v>98</v>
      </c>
      <c r="C38" s="508">
        <v>122.4</v>
      </c>
      <c r="D38" s="508"/>
      <c r="E38" s="508">
        <f t="shared" si="4"/>
        <v>122.4</v>
      </c>
      <c r="F38" s="509">
        <v>0</v>
      </c>
      <c r="G38" s="509">
        <v>0</v>
      </c>
      <c r="H38" s="509">
        <v>0</v>
      </c>
      <c r="I38" s="509">
        <v>0</v>
      </c>
      <c r="J38" s="508">
        <f t="shared" si="1"/>
        <v>0</v>
      </c>
      <c r="K38" s="508">
        <v>122.4</v>
      </c>
      <c r="L38" s="508">
        <v>0</v>
      </c>
      <c r="M38" s="508">
        <f t="shared" si="2"/>
        <v>122.4</v>
      </c>
      <c r="N38" s="508">
        <f t="shared" si="5"/>
        <v>0</v>
      </c>
      <c r="O38" s="516"/>
    </row>
    <row r="39" s="487" customFormat="1" ht="71" customHeight="1" spans="1:15">
      <c r="A39" s="506">
        <v>2010699</v>
      </c>
      <c r="B39" s="507" t="s">
        <v>99</v>
      </c>
      <c r="C39" s="508">
        <v>205.5</v>
      </c>
      <c r="D39" s="508"/>
      <c r="E39" s="508">
        <f t="shared" si="4"/>
        <v>205.5</v>
      </c>
      <c r="F39" s="509">
        <v>52</v>
      </c>
      <c r="G39" s="509">
        <v>0</v>
      </c>
      <c r="H39" s="509">
        <v>0</v>
      </c>
      <c r="I39" s="509">
        <v>0</v>
      </c>
      <c r="J39" s="508">
        <f t="shared" si="1"/>
        <v>0</v>
      </c>
      <c r="K39" s="508">
        <v>257.5</v>
      </c>
      <c r="L39" s="508">
        <v>0</v>
      </c>
      <c r="M39" s="508">
        <f t="shared" si="2"/>
        <v>257.5</v>
      </c>
      <c r="N39" s="508">
        <f t="shared" si="5"/>
        <v>25.3041362530414</v>
      </c>
      <c r="O39" s="516" t="s">
        <v>100</v>
      </c>
    </row>
    <row r="40" s="487" customFormat="1" customHeight="1" spans="1:15">
      <c r="A40" s="506">
        <v>20107</v>
      </c>
      <c r="B40" s="507" t="s">
        <v>101</v>
      </c>
      <c r="C40" s="508">
        <f t="shared" ref="C40:I40" si="11">C41</f>
        <v>2020.91</v>
      </c>
      <c r="D40" s="508">
        <f t="shared" si="11"/>
        <v>21</v>
      </c>
      <c r="E40" s="508">
        <f t="shared" si="4"/>
        <v>2041.91</v>
      </c>
      <c r="F40" s="509">
        <f t="shared" si="11"/>
        <v>1059</v>
      </c>
      <c r="G40" s="509">
        <f t="shared" si="11"/>
        <v>0</v>
      </c>
      <c r="H40" s="509">
        <f t="shared" si="11"/>
        <v>0</v>
      </c>
      <c r="I40" s="509">
        <f t="shared" si="11"/>
        <v>0</v>
      </c>
      <c r="J40" s="508">
        <f t="shared" si="1"/>
        <v>0</v>
      </c>
      <c r="K40" s="508">
        <v>3079.91</v>
      </c>
      <c r="L40" s="508">
        <v>21</v>
      </c>
      <c r="M40" s="508">
        <f t="shared" si="2"/>
        <v>3100.91</v>
      </c>
      <c r="N40" s="508">
        <f t="shared" si="5"/>
        <v>51.8632065076325</v>
      </c>
      <c r="O40" s="516"/>
    </row>
    <row r="41" s="487" customFormat="1" customHeight="1" spans="1:15">
      <c r="A41" s="506">
        <v>2010799</v>
      </c>
      <c r="B41" s="507" t="s">
        <v>101</v>
      </c>
      <c r="C41" s="508">
        <v>2020.91</v>
      </c>
      <c r="D41" s="508">
        <v>21</v>
      </c>
      <c r="E41" s="508">
        <f t="shared" si="4"/>
        <v>2041.91</v>
      </c>
      <c r="F41" s="508">
        <v>1059</v>
      </c>
      <c r="G41" s="508">
        <v>0</v>
      </c>
      <c r="H41" s="508">
        <v>0</v>
      </c>
      <c r="I41" s="508">
        <v>0</v>
      </c>
      <c r="J41" s="508">
        <f t="shared" si="1"/>
        <v>0</v>
      </c>
      <c r="K41" s="508">
        <v>3079.91</v>
      </c>
      <c r="L41" s="508">
        <v>21</v>
      </c>
      <c r="M41" s="508">
        <f t="shared" si="2"/>
        <v>3100.91</v>
      </c>
      <c r="N41" s="508">
        <f t="shared" si="5"/>
        <v>51.8632065076325</v>
      </c>
      <c r="O41" s="516" t="s">
        <v>102</v>
      </c>
    </row>
    <row r="42" s="487" customFormat="1" customHeight="1" spans="1:15">
      <c r="A42" s="506">
        <v>20108</v>
      </c>
      <c r="B42" s="507" t="s">
        <v>103</v>
      </c>
      <c r="C42" s="508">
        <f t="shared" ref="C42:I42" si="12">C43+C44+C45+C46</f>
        <v>253.01</v>
      </c>
      <c r="D42" s="508">
        <f t="shared" si="12"/>
        <v>0</v>
      </c>
      <c r="E42" s="508">
        <f t="shared" si="4"/>
        <v>253.01</v>
      </c>
      <c r="F42" s="509">
        <f t="shared" si="12"/>
        <v>-11.39</v>
      </c>
      <c r="G42" s="509">
        <f t="shared" si="12"/>
        <v>0</v>
      </c>
      <c r="H42" s="509">
        <f t="shared" si="12"/>
        <v>0</v>
      </c>
      <c r="I42" s="509">
        <f t="shared" si="12"/>
        <v>51.56</v>
      </c>
      <c r="J42" s="508">
        <f t="shared" si="1"/>
        <v>0</v>
      </c>
      <c r="K42" s="508">
        <v>293.18</v>
      </c>
      <c r="L42" s="508">
        <v>0</v>
      </c>
      <c r="M42" s="508">
        <f t="shared" si="2"/>
        <v>293.18</v>
      </c>
      <c r="N42" s="508">
        <f t="shared" si="5"/>
        <v>15.8768428125371</v>
      </c>
      <c r="O42" s="516"/>
    </row>
    <row r="43" s="487" customFormat="1" customHeight="1" spans="1:15">
      <c r="A43" s="506">
        <v>2010801</v>
      </c>
      <c r="B43" s="507" t="s">
        <v>71</v>
      </c>
      <c r="C43" s="508">
        <v>175.76</v>
      </c>
      <c r="D43" s="508"/>
      <c r="E43" s="508">
        <f t="shared" si="4"/>
        <v>175.76</v>
      </c>
      <c r="F43" s="508">
        <v>-5.34</v>
      </c>
      <c r="G43" s="508">
        <v>0</v>
      </c>
      <c r="H43" s="508">
        <v>0</v>
      </c>
      <c r="I43" s="508">
        <v>48.97</v>
      </c>
      <c r="J43" s="508">
        <f t="shared" si="1"/>
        <v>0</v>
      </c>
      <c r="K43" s="508">
        <v>219.39</v>
      </c>
      <c r="L43" s="508">
        <v>0</v>
      </c>
      <c r="M43" s="508">
        <f t="shared" si="2"/>
        <v>219.39</v>
      </c>
      <c r="N43" s="508">
        <f t="shared" si="5"/>
        <v>24.8236231224397</v>
      </c>
      <c r="O43" s="516" t="s">
        <v>72</v>
      </c>
    </row>
    <row r="44" s="487" customFormat="1" customHeight="1" spans="1:15">
      <c r="A44" s="506">
        <v>2010804</v>
      </c>
      <c r="B44" s="507" t="s">
        <v>104</v>
      </c>
      <c r="C44" s="508">
        <v>47</v>
      </c>
      <c r="D44" s="508"/>
      <c r="E44" s="508">
        <f t="shared" si="4"/>
        <v>47</v>
      </c>
      <c r="F44" s="508">
        <v>0</v>
      </c>
      <c r="G44" s="508">
        <v>0</v>
      </c>
      <c r="H44" s="508">
        <v>0</v>
      </c>
      <c r="I44" s="508">
        <v>0</v>
      </c>
      <c r="J44" s="508">
        <f t="shared" si="1"/>
        <v>0</v>
      </c>
      <c r="K44" s="508">
        <v>47</v>
      </c>
      <c r="L44" s="508">
        <v>0</v>
      </c>
      <c r="M44" s="508">
        <f t="shared" si="2"/>
        <v>47</v>
      </c>
      <c r="N44" s="508">
        <f t="shared" si="5"/>
        <v>0</v>
      </c>
      <c r="O44" s="516"/>
    </row>
    <row r="45" s="487" customFormat="1" customHeight="1" spans="1:15">
      <c r="A45" s="506">
        <v>2010806</v>
      </c>
      <c r="B45" s="507" t="s">
        <v>98</v>
      </c>
      <c r="C45" s="508">
        <v>2</v>
      </c>
      <c r="D45" s="508"/>
      <c r="E45" s="508">
        <f t="shared" si="4"/>
        <v>2</v>
      </c>
      <c r="F45" s="508">
        <v>0</v>
      </c>
      <c r="G45" s="508">
        <v>0</v>
      </c>
      <c r="H45" s="508">
        <v>0</v>
      </c>
      <c r="I45" s="508">
        <v>0</v>
      </c>
      <c r="J45" s="508">
        <f t="shared" si="1"/>
        <v>0</v>
      </c>
      <c r="K45" s="508">
        <v>2</v>
      </c>
      <c r="L45" s="508">
        <v>0</v>
      </c>
      <c r="M45" s="508">
        <f t="shared" si="2"/>
        <v>2</v>
      </c>
      <c r="N45" s="508">
        <f t="shared" si="5"/>
        <v>0</v>
      </c>
      <c r="O45" s="516"/>
    </row>
    <row r="46" s="487" customFormat="1" customHeight="1" spans="1:15">
      <c r="A46" s="506">
        <v>2010850</v>
      </c>
      <c r="B46" s="507" t="s">
        <v>105</v>
      </c>
      <c r="C46" s="508">
        <v>28.25</v>
      </c>
      <c r="D46" s="508"/>
      <c r="E46" s="508">
        <f t="shared" si="4"/>
        <v>28.25</v>
      </c>
      <c r="F46" s="508">
        <v>-6.05</v>
      </c>
      <c r="G46" s="508">
        <v>0</v>
      </c>
      <c r="H46" s="508">
        <v>0</v>
      </c>
      <c r="I46" s="508">
        <v>2.59</v>
      </c>
      <c r="J46" s="508">
        <f t="shared" si="1"/>
        <v>0</v>
      </c>
      <c r="K46" s="508">
        <v>24.79</v>
      </c>
      <c r="L46" s="508">
        <v>0</v>
      </c>
      <c r="M46" s="508">
        <f t="shared" si="2"/>
        <v>24.79</v>
      </c>
      <c r="N46" s="508">
        <f t="shared" si="5"/>
        <v>-12.2477876106195</v>
      </c>
      <c r="O46" s="516" t="s">
        <v>72</v>
      </c>
    </row>
    <row r="47" s="487" customFormat="1" customHeight="1" spans="1:15">
      <c r="A47" s="506">
        <v>20110</v>
      </c>
      <c r="B47" s="507" t="s">
        <v>106</v>
      </c>
      <c r="C47" s="508">
        <f t="shared" ref="C47:I47" si="13">C48+C49+C50</f>
        <v>156.88</v>
      </c>
      <c r="D47" s="508">
        <f t="shared" si="13"/>
        <v>0</v>
      </c>
      <c r="E47" s="508">
        <f t="shared" si="4"/>
        <v>156.88</v>
      </c>
      <c r="F47" s="509">
        <f t="shared" si="13"/>
        <v>5.79</v>
      </c>
      <c r="G47" s="509">
        <f t="shared" si="13"/>
        <v>0</v>
      </c>
      <c r="H47" s="509">
        <f t="shared" si="13"/>
        <v>0</v>
      </c>
      <c r="I47" s="509">
        <f t="shared" si="13"/>
        <v>31.07</v>
      </c>
      <c r="J47" s="508">
        <f t="shared" si="1"/>
        <v>0</v>
      </c>
      <c r="K47" s="508">
        <v>193.74</v>
      </c>
      <c r="L47" s="508">
        <v>0</v>
      </c>
      <c r="M47" s="508">
        <f t="shared" si="2"/>
        <v>193.74</v>
      </c>
      <c r="N47" s="508">
        <f t="shared" si="5"/>
        <v>23.4956654767976</v>
      </c>
      <c r="O47" s="516"/>
    </row>
    <row r="48" s="487" customFormat="1" customHeight="1" spans="1:15">
      <c r="A48" s="506">
        <v>2011001</v>
      </c>
      <c r="B48" s="507" t="s">
        <v>71</v>
      </c>
      <c r="C48" s="508">
        <v>111.83</v>
      </c>
      <c r="D48" s="508"/>
      <c r="E48" s="508">
        <f t="shared" si="4"/>
        <v>111.83</v>
      </c>
      <c r="F48" s="508">
        <v>5.31</v>
      </c>
      <c r="G48" s="508">
        <v>0</v>
      </c>
      <c r="H48" s="508">
        <v>0</v>
      </c>
      <c r="I48" s="508">
        <v>30.08</v>
      </c>
      <c r="J48" s="508">
        <f t="shared" si="1"/>
        <v>0</v>
      </c>
      <c r="K48" s="508">
        <v>147.22</v>
      </c>
      <c r="L48" s="508">
        <v>0</v>
      </c>
      <c r="M48" s="508">
        <f t="shared" si="2"/>
        <v>147.22</v>
      </c>
      <c r="N48" s="508">
        <f t="shared" si="5"/>
        <v>31.6462487704552</v>
      </c>
      <c r="O48" s="516" t="s">
        <v>72</v>
      </c>
    </row>
    <row r="49" s="487" customFormat="1" customHeight="1" spans="1:15">
      <c r="A49" s="506">
        <v>2011050</v>
      </c>
      <c r="B49" s="507" t="s">
        <v>105</v>
      </c>
      <c r="C49" s="508">
        <v>8.55</v>
      </c>
      <c r="D49" s="508"/>
      <c r="E49" s="508">
        <f t="shared" si="4"/>
        <v>8.55</v>
      </c>
      <c r="F49" s="508">
        <v>0.48</v>
      </c>
      <c r="G49" s="508">
        <v>0</v>
      </c>
      <c r="H49" s="508">
        <v>0</v>
      </c>
      <c r="I49" s="508">
        <v>0.99</v>
      </c>
      <c r="J49" s="508">
        <f t="shared" si="1"/>
        <v>0</v>
      </c>
      <c r="K49" s="508">
        <v>10.02</v>
      </c>
      <c r="L49" s="508">
        <v>0</v>
      </c>
      <c r="M49" s="508">
        <f t="shared" si="2"/>
        <v>10.02</v>
      </c>
      <c r="N49" s="508">
        <f t="shared" si="5"/>
        <v>17.1929824561403</v>
      </c>
      <c r="O49" s="516"/>
    </row>
    <row r="50" s="487" customFormat="1" customHeight="1" spans="1:15">
      <c r="A50" s="506">
        <v>2011099</v>
      </c>
      <c r="B50" s="507" t="s">
        <v>107</v>
      </c>
      <c r="C50" s="508">
        <v>36.5</v>
      </c>
      <c r="D50" s="508"/>
      <c r="E50" s="508">
        <f t="shared" si="4"/>
        <v>36.5</v>
      </c>
      <c r="F50" s="508">
        <v>0</v>
      </c>
      <c r="G50" s="508">
        <v>0</v>
      </c>
      <c r="H50" s="508">
        <v>0</v>
      </c>
      <c r="I50" s="508">
        <v>0</v>
      </c>
      <c r="J50" s="508">
        <f t="shared" si="1"/>
        <v>0</v>
      </c>
      <c r="K50" s="508">
        <v>36.5</v>
      </c>
      <c r="L50" s="508">
        <v>0</v>
      </c>
      <c r="M50" s="508">
        <f t="shared" si="2"/>
        <v>36.5</v>
      </c>
      <c r="N50" s="508">
        <f t="shared" si="5"/>
        <v>0</v>
      </c>
      <c r="O50" s="516"/>
    </row>
    <row r="51" s="487" customFormat="1" customHeight="1" spans="1:15">
      <c r="A51" s="506">
        <v>20111</v>
      </c>
      <c r="B51" s="507" t="s">
        <v>108</v>
      </c>
      <c r="C51" s="508">
        <f t="shared" ref="C51:I51" si="14">C52+C53+C54+C55</f>
        <v>775.66</v>
      </c>
      <c r="D51" s="508">
        <f t="shared" si="14"/>
        <v>0</v>
      </c>
      <c r="E51" s="508">
        <f t="shared" si="4"/>
        <v>775.66</v>
      </c>
      <c r="F51" s="509">
        <f t="shared" si="14"/>
        <v>97.65</v>
      </c>
      <c r="G51" s="509">
        <f t="shared" si="14"/>
        <v>0</v>
      </c>
      <c r="H51" s="509">
        <f t="shared" si="14"/>
        <v>0</v>
      </c>
      <c r="I51" s="509">
        <f t="shared" si="14"/>
        <v>173.55</v>
      </c>
      <c r="J51" s="508">
        <f t="shared" si="1"/>
        <v>0</v>
      </c>
      <c r="K51" s="508">
        <v>1046.86</v>
      </c>
      <c r="L51" s="508">
        <v>0</v>
      </c>
      <c r="M51" s="508">
        <f t="shared" si="2"/>
        <v>1046.86</v>
      </c>
      <c r="N51" s="508">
        <f t="shared" si="5"/>
        <v>34.9637727870458</v>
      </c>
      <c r="O51" s="516"/>
    </row>
    <row r="52" s="487" customFormat="1" customHeight="1" spans="1:15">
      <c r="A52" s="506">
        <v>2011101</v>
      </c>
      <c r="B52" s="507" t="s">
        <v>71</v>
      </c>
      <c r="C52" s="508">
        <v>642.11</v>
      </c>
      <c r="D52" s="508"/>
      <c r="E52" s="508">
        <f t="shared" si="4"/>
        <v>642.11</v>
      </c>
      <c r="F52" s="508">
        <v>71.77</v>
      </c>
      <c r="G52" s="508">
        <v>0</v>
      </c>
      <c r="H52" s="508">
        <v>0</v>
      </c>
      <c r="I52" s="508">
        <v>173.55</v>
      </c>
      <c r="J52" s="508">
        <f t="shared" si="1"/>
        <v>0</v>
      </c>
      <c r="K52" s="508">
        <v>887.43</v>
      </c>
      <c r="L52" s="508">
        <v>0</v>
      </c>
      <c r="M52" s="508">
        <f t="shared" si="2"/>
        <v>887.43</v>
      </c>
      <c r="N52" s="508">
        <f t="shared" si="5"/>
        <v>38.2052919281743</v>
      </c>
      <c r="O52" s="516" t="s">
        <v>72</v>
      </c>
    </row>
    <row r="53" s="487" customFormat="1" customHeight="1" spans="1:15">
      <c r="A53" s="506">
        <v>2011104</v>
      </c>
      <c r="B53" s="507" t="s">
        <v>109</v>
      </c>
      <c r="C53" s="508">
        <v>26.35</v>
      </c>
      <c r="D53" s="508"/>
      <c r="E53" s="508">
        <f t="shared" si="4"/>
        <v>26.35</v>
      </c>
      <c r="F53" s="508">
        <v>0</v>
      </c>
      <c r="G53" s="508">
        <v>0</v>
      </c>
      <c r="H53" s="508">
        <v>0</v>
      </c>
      <c r="I53" s="508">
        <v>0</v>
      </c>
      <c r="J53" s="508">
        <f t="shared" si="1"/>
        <v>0</v>
      </c>
      <c r="K53" s="508">
        <v>26.35</v>
      </c>
      <c r="L53" s="508">
        <v>0</v>
      </c>
      <c r="M53" s="508">
        <f t="shared" si="2"/>
        <v>26.35</v>
      </c>
      <c r="N53" s="508">
        <f t="shared" si="5"/>
        <v>0</v>
      </c>
      <c r="O53" s="516"/>
    </row>
    <row r="54" s="487" customFormat="1" customHeight="1" spans="1:15">
      <c r="A54" s="506">
        <v>2011105</v>
      </c>
      <c r="B54" s="507" t="s">
        <v>110</v>
      </c>
      <c r="C54" s="508">
        <v>34.2</v>
      </c>
      <c r="D54" s="508"/>
      <c r="E54" s="508">
        <f t="shared" si="4"/>
        <v>34.2</v>
      </c>
      <c r="F54" s="508">
        <v>0</v>
      </c>
      <c r="G54" s="508">
        <v>0</v>
      </c>
      <c r="H54" s="508">
        <v>0</v>
      </c>
      <c r="I54" s="508">
        <v>0</v>
      </c>
      <c r="J54" s="508">
        <f t="shared" si="1"/>
        <v>0</v>
      </c>
      <c r="K54" s="508">
        <v>34.2</v>
      </c>
      <c r="L54" s="508">
        <v>0</v>
      </c>
      <c r="M54" s="508">
        <f t="shared" si="2"/>
        <v>34.2</v>
      </c>
      <c r="N54" s="508">
        <f t="shared" si="5"/>
        <v>0</v>
      </c>
      <c r="O54" s="517"/>
    </row>
    <row r="55" s="487" customFormat="1" ht="56" customHeight="1" spans="1:15">
      <c r="A55" s="506">
        <v>2011199</v>
      </c>
      <c r="B55" s="507" t="s">
        <v>111</v>
      </c>
      <c r="C55" s="508">
        <v>73</v>
      </c>
      <c r="D55" s="508"/>
      <c r="E55" s="508">
        <f t="shared" si="4"/>
        <v>73</v>
      </c>
      <c r="F55" s="508">
        <v>25.88</v>
      </c>
      <c r="G55" s="508">
        <v>0</v>
      </c>
      <c r="H55" s="508">
        <v>0</v>
      </c>
      <c r="I55" s="508">
        <v>0</v>
      </c>
      <c r="J55" s="508">
        <f t="shared" si="1"/>
        <v>0</v>
      </c>
      <c r="K55" s="508">
        <v>98.88</v>
      </c>
      <c r="L55" s="508">
        <v>0</v>
      </c>
      <c r="M55" s="508">
        <f t="shared" si="2"/>
        <v>98.88</v>
      </c>
      <c r="N55" s="508">
        <f t="shared" si="5"/>
        <v>35.4520547945205</v>
      </c>
      <c r="O55" s="516" t="s">
        <v>112</v>
      </c>
    </row>
    <row r="56" s="487" customFormat="1" customHeight="1" spans="1:15">
      <c r="A56" s="506">
        <v>20113</v>
      </c>
      <c r="B56" s="507" t="s">
        <v>113</v>
      </c>
      <c r="C56" s="508">
        <f t="shared" ref="C56:I56" si="15">C57+C58+C59</f>
        <v>672.9</v>
      </c>
      <c r="D56" s="508">
        <f t="shared" si="15"/>
        <v>0</v>
      </c>
      <c r="E56" s="508">
        <f t="shared" si="4"/>
        <v>672.9</v>
      </c>
      <c r="F56" s="509">
        <f t="shared" si="15"/>
        <v>29.52</v>
      </c>
      <c r="G56" s="509">
        <f t="shared" si="15"/>
        <v>0</v>
      </c>
      <c r="H56" s="509">
        <f t="shared" si="15"/>
        <v>0</v>
      </c>
      <c r="I56" s="509">
        <f t="shared" si="15"/>
        <v>110.49</v>
      </c>
      <c r="J56" s="508">
        <f t="shared" si="1"/>
        <v>207</v>
      </c>
      <c r="K56" s="508">
        <v>812.91</v>
      </c>
      <c r="L56" s="508">
        <v>207</v>
      </c>
      <c r="M56" s="508">
        <f t="shared" si="2"/>
        <v>1019.91</v>
      </c>
      <c r="N56" s="508">
        <f t="shared" si="5"/>
        <v>51.5693267944717</v>
      </c>
      <c r="O56" s="516"/>
    </row>
    <row r="57" s="487" customFormat="1" customHeight="1" spans="1:15">
      <c r="A57" s="506">
        <v>2011301</v>
      </c>
      <c r="B57" s="507" t="s">
        <v>71</v>
      </c>
      <c r="C57" s="508">
        <v>333.41</v>
      </c>
      <c r="D57" s="508"/>
      <c r="E57" s="508">
        <f t="shared" si="4"/>
        <v>333.41</v>
      </c>
      <c r="F57" s="508">
        <v>15.52</v>
      </c>
      <c r="G57" s="508">
        <v>0</v>
      </c>
      <c r="H57" s="508">
        <v>0</v>
      </c>
      <c r="I57" s="508">
        <v>89.42</v>
      </c>
      <c r="J57" s="508">
        <f t="shared" si="1"/>
        <v>0</v>
      </c>
      <c r="K57" s="508">
        <v>438.35</v>
      </c>
      <c r="L57" s="508">
        <v>0</v>
      </c>
      <c r="M57" s="508">
        <f t="shared" si="2"/>
        <v>438.35</v>
      </c>
      <c r="N57" s="508">
        <f t="shared" si="5"/>
        <v>31.4747608050148</v>
      </c>
      <c r="O57" s="516" t="s">
        <v>72</v>
      </c>
    </row>
    <row r="58" s="487" customFormat="1" customHeight="1" spans="1:15">
      <c r="A58" s="506">
        <v>2011308</v>
      </c>
      <c r="B58" s="507" t="s">
        <v>114</v>
      </c>
      <c r="C58" s="508">
        <v>50</v>
      </c>
      <c r="D58" s="508"/>
      <c r="E58" s="508">
        <f t="shared" si="4"/>
        <v>50</v>
      </c>
      <c r="F58" s="508">
        <v>0</v>
      </c>
      <c r="G58" s="508">
        <v>0</v>
      </c>
      <c r="H58" s="508">
        <v>0</v>
      </c>
      <c r="I58" s="508">
        <v>0</v>
      </c>
      <c r="J58" s="508">
        <f t="shared" si="1"/>
        <v>0</v>
      </c>
      <c r="K58" s="508">
        <v>50</v>
      </c>
      <c r="L58" s="508">
        <v>0</v>
      </c>
      <c r="M58" s="508">
        <f t="shared" si="2"/>
        <v>50</v>
      </c>
      <c r="N58" s="508">
        <f t="shared" si="5"/>
        <v>0</v>
      </c>
      <c r="O58" s="516"/>
    </row>
    <row r="59" s="487" customFormat="1" ht="43" customHeight="1" spans="1:15">
      <c r="A59" s="506">
        <v>2011399</v>
      </c>
      <c r="B59" s="507" t="s">
        <v>115</v>
      </c>
      <c r="C59" s="508">
        <v>289.49</v>
      </c>
      <c r="D59" s="508"/>
      <c r="E59" s="508">
        <f t="shared" si="4"/>
        <v>289.49</v>
      </c>
      <c r="F59" s="508">
        <v>14</v>
      </c>
      <c r="G59" s="508">
        <v>0</v>
      </c>
      <c r="H59" s="508">
        <v>0</v>
      </c>
      <c r="I59" s="508">
        <v>21.07</v>
      </c>
      <c r="J59" s="508">
        <f t="shared" si="1"/>
        <v>207</v>
      </c>
      <c r="K59" s="508">
        <v>324.56</v>
      </c>
      <c r="L59" s="508">
        <v>207</v>
      </c>
      <c r="M59" s="508">
        <f t="shared" si="2"/>
        <v>531.56</v>
      </c>
      <c r="N59" s="508">
        <f t="shared" si="5"/>
        <v>83.6194687208539</v>
      </c>
      <c r="O59" s="516" t="s">
        <v>116</v>
      </c>
    </row>
    <row r="60" s="487" customFormat="1" customHeight="1" spans="1:15">
      <c r="A60" s="506">
        <v>20114</v>
      </c>
      <c r="B60" s="507" t="s">
        <v>117</v>
      </c>
      <c r="C60" s="508"/>
      <c r="D60" s="508">
        <f>SUBTOTAL(9,D62:D63)</f>
        <v>93</v>
      </c>
      <c r="E60" s="508">
        <f t="shared" si="4"/>
        <v>93</v>
      </c>
      <c r="F60" s="509"/>
      <c r="G60" s="509"/>
      <c r="H60" s="509"/>
      <c r="I60" s="509"/>
      <c r="J60" s="508">
        <f t="shared" si="1"/>
        <v>56</v>
      </c>
      <c r="K60" s="508"/>
      <c r="L60" s="508">
        <v>149</v>
      </c>
      <c r="M60" s="508">
        <f t="shared" si="2"/>
        <v>149</v>
      </c>
      <c r="N60" s="508">
        <f t="shared" si="5"/>
        <v>60.2150537634409</v>
      </c>
      <c r="O60" s="516"/>
    </row>
    <row r="61" s="487" customFormat="1" customHeight="1" spans="1:15">
      <c r="A61" s="506">
        <v>2011406</v>
      </c>
      <c r="B61" s="507" t="s">
        <v>118</v>
      </c>
      <c r="C61" s="508"/>
      <c r="D61" s="508"/>
      <c r="E61" s="508">
        <f t="shared" si="4"/>
        <v>0</v>
      </c>
      <c r="F61" s="509"/>
      <c r="G61" s="509"/>
      <c r="H61" s="509"/>
      <c r="I61" s="509"/>
      <c r="J61" s="508">
        <f t="shared" si="1"/>
        <v>19</v>
      </c>
      <c r="K61" s="508"/>
      <c r="L61" s="508">
        <v>19</v>
      </c>
      <c r="M61" s="508">
        <f t="shared" si="2"/>
        <v>19</v>
      </c>
      <c r="N61" s="508">
        <v>100</v>
      </c>
      <c r="O61" s="516"/>
    </row>
    <row r="62" s="487" customFormat="1" customHeight="1" spans="1:15">
      <c r="A62" s="506">
        <v>2011409</v>
      </c>
      <c r="B62" s="507" t="s">
        <v>119</v>
      </c>
      <c r="C62" s="508"/>
      <c r="D62" s="508">
        <v>63</v>
      </c>
      <c r="E62" s="508">
        <f t="shared" si="4"/>
        <v>63</v>
      </c>
      <c r="F62" s="508"/>
      <c r="G62" s="508"/>
      <c r="H62" s="508"/>
      <c r="I62" s="508"/>
      <c r="J62" s="508">
        <f t="shared" si="1"/>
        <v>0</v>
      </c>
      <c r="K62" s="508"/>
      <c r="L62" s="508">
        <v>63</v>
      </c>
      <c r="M62" s="508">
        <f t="shared" si="2"/>
        <v>63</v>
      </c>
      <c r="N62" s="508">
        <f t="shared" si="5"/>
        <v>0</v>
      </c>
      <c r="O62" s="516"/>
    </row>
    <row r="63" s="487" customFormat="1" customHeight="1" spans="1:15">
      <c r="A63" s="506">
        <v>2011499</v>
      </c>
      <c r="B63" s="507" t="s">
        <v>120</v>
      </c>
      <c r="C63" s="508"/>
      <c r="D63" s="508">
        <v>30</v>
      </c>
      <c r="E63" s="508">
        <f t="shared" si="4"/>
        <v>30</v>
      </c>
      <c r="F63" s="509"/>
      <c r="G63" s="509"/>
      <c r="H63" s="509"/>
      <c r="I63" s="509"/>
      <c r="J63" s="508">
        <f t="shared" si="1"/>
        <v>38</v>
      </c>
      <c r="K63" s="508"/>
      <c r="L63" s="508">
        <v>68</v>
      </c>
      <c r="M63" s="508">
        <f t="shared" si="2"/>
        <v>68</v>
      </c>
      <c r="N63" s="508">
        <f t="shared" si="5"/>
        <v>126.666666666667</v>
      </c>
      <c r="O63" s="516"/>
    </row>
    <row r="64" s="487" customFormat="1" customHeight="1" spans="1:15">
      <c r="A64" s="506">
        <v>20125</v>
      </c>
      <c r="B64" s="507" t="s">
        <v>121</v>
      </c>
      <c r="C64" s="508">
        <f t="shared" ref="C64:I64" si="16">C65+C66+C67</f>
        <v>52</v>
      </c>
      <c r="D64" s="508">
        <f t="shared" si="16"/>
        <v>0</v>
      </c>
      <c r="E64" s="508">
        <f t="shared" si="4"/>
        <v>52</v>
      </c>
      <c r="F64" s="509">
        <f t="shared" si="16"/>
        <v>0</v>
      </c>
      <c r="G64" s="509">
        <f t="shared" si="16"/>
        <v>0</v>
      </c>
      <c r="H64" s="509">
        <f t="shared" si="16"/>
        <v>0</v>
      </c>
      <c r="I64" s="509">
        <f t="shared" si="16"/>
        <v>0</v>
      </c>
      <c r="J64" s="508">
        <f t="shared" si="1"/>
        <v>0</v>
      </c>
      <c r="K64" s="508">
        <v>52</v>
      </c>
      <c r="L64" s="508">
        <v>0</v>
      </c>
      <c r="M64" s="508">
        <f t="shared" si="2"/>
        <v>52</v>
      </c>
      <c r="N64" s="508">
        <f t="shared" si="5"/>
        <v>0</v>
      </c>
      <c r="O64" s="516"/>
    </row>
    <row r="65" s="487" customFormat="1" customHeight="1" spans="1:15">
      <c r="A65" s="506">
        <v>2012502</v>
      </c>
      <c r="B65" s="507" t="s">
        <v>87</v>
      </c>
      <c r="C65" s="508">
        <v>8</v>
      </c>
      <c r="D65" s="508"/>
      <c r="E65" s="508">
        <f t="shared" si="4"/>
        <v>8</v>
      </c>
      <c r="F65" s="509">
        <v>0</v>
      </c>
      <c r="G65" s="509">
        <v>0</v>
      </c>
      <c r="H65" s="509">
        <v>0</v>
      </c>
      <c r="I65" s="509">
        <v>0</v>
      </c>
      <c r="J65" s="508">
        <f t="shared" si="1"/>
        <v>0</v>
      </c>
      <c r="K65" s="508">
        <v>8</v>
      </c>
      <c r="L65" s="508">
        <v>0</v>
      </c>
      <c r="M65" s="508">
        <f t="shared" si="2"/>
        <v>8</v>
      </c>
      <c r="N65" s="508">
        <f t="shared" si="5"/>
        <v>0</v>
      </c>
      <c r="O65" s="516"/>
    </row>
    <row r="66" s="487" customFormat="1" customHeight="1" spans="1:15">
      <c r="A66" s="506">
        <v>2012504</v>
      </c>
      <c r="B66" s="507" t="s">
        <v>122</v>
      </c>
      <c r="C66" s="508">
        <v>40</v>
      </c>
      <c r="D66" s="508"/>
      <c r="E66" s="508">
        <f t="shared" si="4"/>
        <v>40</v>
      </c>
      <c r="F66" s="509">
        <v>0</v>
      </c>
      <c r="G66" s="509">
        <v>0</v>
      </c>
      <c r="H66" s="509">
        <v>0</v>
      </c>
      <c r="I66" s="509">
        <v>0</v>
      </c>
      <c r="J66" s="508">
        <f t="shared" si="1"/>
        <v>0</v>
      </c>
      <c r="K66" s="508">
        <v>40</v>
      </c>
      <c r="L66" s="508">
        <v>0</v>
      </c>
      <c r="M66" s="508">
        <f t="shared" si="2"/>
        <v>40</v>
      </c>
      <c r="N66" s="508">
        <f t="shared" si="5"/>
        <v>0</v>
      </c>
      <c r="O66" s="516"/>
    </row>
    <row r="67" s="487" customFormat="1" customHeight="1" spans="1:15">
      <c r="A67" s="506">
        <v>2012505</v>
      </c>
      <c r="B67" s="507" t="s">
        <v>123</v>
      </c>
      <c r="C67" s="508">
        <v>4</v>
      </c>
      <c r="D67" s="508"/>
      <c r="E67" s="508">
        <f t="shared" si="4"/>
        <v>4</v>
      </c>
      <c r="F67" s="509">
        <v>0</v>
      </c>
      <c r="G67" s="509">
        <v>0</v>
      </c>
      <c r="H67" s="509">
        <v>0</v>
      </c>
      <c r="I67" s="509">
        <v>0</v>
      </c>
      <c r="J67" s="508">
        <f t="shared" si="1"/>
        <v>0</v>
      </c>
      <c r="K67" s="508">
        <v>4</v>
      </c>
      <c r="L67" s="508">
        <v>0</v>
      </c>
      <c r="M67" s="508">
        <f t="shared" si="2"/>
        <v>4</v>
      </c>
      <c r="N67" s="508">
        <f t="shared" si="5"/>
        <v>0</v>
      </c>
      <c r="O67" s="516"/>
    </row>
    <row r="68" s="487" customFormat="1" customHeight="1" spans="1:15">
      <c r="A68" s="506">
        <v>20126</v>
      </c>
      <c r="B68" s="507" t="s">
        <v>124</v>
      </c>
      <c r="C68" s="508">
        <v>442.32</v>
      </c>
      <c r="D68" s="508">
        <v>0</v>
      </c>
      <c r="E68" s="508">
        <f t="shared" si="4"/>
        <v>442.32</v>
      </c>
      <c r="F68" s="509">
        <v>0</v>
      </c>
      <c r="G68" s="509">
        <v>0</v>
      </c>
      <c r="H68" s="509">
        <v>0</v>
      </c>
      <c r="I68" s="509">
        <v>0</v>
      </c>
      <c r="J68" s="508">
        <f t="shared" si="1"/>
        <v>0</v>
      </c>
      <c r="K68" s="508">
        <v>442.32</v>
      </c>
      <c r="L68" s="508">
        <v>0</v>
      </c>
      <c r="M68" s="508">
        <f t="shared" si="2"/>
        <v>442.32</v>
      </c>
      <c r="N68" s="508">
        <f t="shared" si="5"/>
        <v>0</v>
      </c>
      <c r="O68" s="516"/>
    </row>
    <row r="69" s="487" customFormat="1" customHeight="1" spans="1:15">
      <c r="A69" s="506">
        <v>2012604</v>
      </c>
      <c r="B69" s="507" t="s">
        <v>125</v>
      </c>
      <c r="C69" s="508">
        <v>442.32</v>
      </c>
      <c r="D69" s="508"/>
      <c r="E69" s="508">
        <f t="shared" si="4"/>
        <v>442.32</v>
      </c>
      <c r="F69" s="509">
        <v>0</v>
      </c>
      <c r="G69" s="509">
        <v>0</v>
      </c>
      <c r="H69" s="509">
        <v>0</v>
      </c>
      <c r="I69" s="509">
        <v>0</v>
      </c>
      <c r="J69" s="508">
        <f t="shared" si="1"/>
        <v>0</v>
      </c>
      <c r="K69" s="508">
        <v>442.32</v>
      </c>
      <c r="L69" s="508">
        <v>0</v>
      </c>
      <c r="M69" s="508">
        <f t="shared" si="2"/>
        <v>442.32</v>
      </c>
      <c r="N69" s="508">
        <f t="shared" si="5"/>
        <v>0</v>
      </c>
      <c r="O69" s="516"/>
    </row>
    <row r="70" s="487" customFormat="1" customHeight="1" spans="1:15">
      <c r="A70" s="506">
        <v>20128</v>
      </c>
      <c r="B70" s="507" t="s">
        <v>126</v>
      </c>
      <c r="C70" s="508">
        <f t="shared" ref="C70:I70" si="17">C71+C72+C73</f>
        <v>58.38</v>
      </c>
      <c r="D70" s="508">
        <f t="shared" si="17"/>
        <v>0</v>
      </c>
      <c r="E70" s="508">
        <f t="shared" ref="E70:E133" si="18">C70+D70</f>
        <v>58.38</v>
      </c>
      <c r="F70" s="509">
        <f t="shared" si="17"/>
        <v>1.93</v>
      </c>
      <c r="G70" s="509">
        <f t="shared" si="17"/>
        <v>0</v>
      </c>
      <c r="H70" s="509">
        <f t="shared" si="17"/>
        <v>0</v>
      </c>
      <c r="I70" s="509">
        <f t="shared" si="17"/>
        <v>13.74</v>
      </c>
      <c r="J70" s="508">
        <f t="shared" ref="J70:J133" si="19">L70-D70</f>
        <v>0</v>
      </c>
      <c r="K70" s="508">
        <v>74.05</v>
      </c>
      <c r="L70" s="508">
        <v>0</v>
      </c>
      <c r="M70" s="508">
        <f t="shared" ref="M70:M133" si="20">K70+L70</f>
        <v>74.05</v>
      </c>
      <c r="N70" s="508">
        <f t="shared" si="5"/>
        <v>26.8413840356286</v>
      </c>
      <c r="O70" s="516"/>
    </row>
    <row r="71" s="487" customFormat="1" customHeight="1" spans="1:15">
      <c r="A71" s="506">
        <v>2012801</v>
      </c>
      <c r="B71" s="507" t="s">
        <v>71</v>
      </c>
      <c r="C71" s="508">
        <v>55.38</v>
      </c>
      <c r="D71" s="508"/>
      <c r="E71" s="508">
        <f t="shared" si="18"/>
        <v>55.38</v>
      </c>
      <c r="F71" s="508">
        <v>1.93</v>
      </c>
      <c r="G71" s="508">
        <v>0</v>
      </c>
      <c r="H71" s="508">
        <v>0</v>
      </c>
      <c r="I71" s="508">
        <v>13.74</v>
      </c>
      <c r="J71" s="508">
        <f t="shared" si="19"/>
        <v>0</v>
      </c>
      <c r="K71" s="508">
        <v>71.05</v>
      </c>
      <c r="L71" s="508">
        <v>0</v>
      </c>
      <c r="M71" s="508">
        <f t="shared" si="20"/>
        <v>71.05</v>
      </c>
      <c r="N71" s="508">
        <f t="shared" ref="N71:N134" si="21">(M71-E71)/E71*100</f>
        <v>28.2954135066811</v>
      </c>
      <c r="O71" s="516" t="s">
        <v>72</v>
      </c>
    </row>
    <row r="72" s="487" customFormat="1" customHeight="1" spans="1:15">
      <c r="A72" s="506">
        <v>2012802</v>
      </c>
      <c r="B72" s="507" t="s">
        <v>87</v>
      </c>
      <c r="C72" s="508">
        <v>2</v>
      </c>
      <c r="D72" s="508"/>
      <c r="E72" s="508">
        <f t="shared" si="18"/>
        <v>2</v>
      </c>
      <c r="F72" s="508">
        <v>0</v>
      </c>
      <c r="G72" s="508">
        <v>0</v>
      </c>
      <c r="H72" s="508">
        <v>0</v>
      </c>
      <c r="I72" s="508">
        <v>0</v>
      </c>
      <c r="J72" s="508">
        <f t="shared" si="19"/>
        <v>0</v>
      </c>
      <c r="K72" s="508">
        <v>2</v>
      </c>
      <c r="L72" s="508">
        <v>0</v>
      </c>
      <c r="M72" s="508">
        <f t="shared" si="20"/>
        <v>2</v>
      </c>
      <c r="N72" s="508">
        <f t="shared" si="21"/>
        <v>0</v>
      </c>
      <c r="O72" s="516"/>
    </row>
    <row r="73" s="487" customFormat="1" ht="29" customHeight="1" spans="1:15">
      <c r="A73" s="506">
        <v>2012899</v>
      </c>
      <c r="B73" s="507" t="s">
        <v>127</v>
      </c>
      <c r="C73" s="508">
        <v>1</v>
      </c>
      <c r="D73" s="508"/>
      <c r="E73" s="508">
        <f t="shared" si="18"/>
        <v>1</v>
      </c>
      <c r="F73" s="508">
        <v>0</v>
      </c>
      <c r="G73" s="508">
        <v>0</v>
      </c>
      <c r="H73" s="508">
        <v>0</v>
      </c>
      <c r="I73" s="508">
        <v>0</v>
      </c>
      <c r="J73" s="508">
        <f t="shared" si="19"/>
        <v>0</v>
      </c>
      <c r="K73" s="508">
        <v>1</v>
      </c>
      <c r="L73" s="508">
        <v>0</v>
      </c>
      <c r="M73" s="508">
        <f t="shared" si="20"/>
        <v>1</v>
      </c>
      <c r="N73" s="508">
        <f t="shared" si="21"/>
        <v>0</v>
      </c>
      <c r="O73" s="516"/>
    </row>
    <row r="74" s="487" customFormat="1" customHeight="1" spans="1:15">
      <c r="A74" s="506">
        <v>20129</v>
      </c>
      <c r="B74" s="507" t="s">
        <v>128</v>
      </c>
      <c r="C74" s="508">
        <f t="shared" ref="C74:I74" si="22">C75+C76+C77+C78</f>
        <v>598.92</v>
      </c>
      <c r="D74" s="508">
        <f t="shared" si="22"/>
        <v>0</v>
      </c>
      <c r="E74" s="508">
        <f t="shared" si="18"/>
        <v>598.92</v>
      </c>
      <c r="F74" s="509">
        <f t="shared" si="22"/>
        <v>3.76</v>
      </c>
      <c r="G74" s="509">
        <f t="shared" si="22"/>
        <v>0</v>
      </c>
      <c r="H74" s="509">
        <f t="shared" si="22"/>
        <v>0</v>
      </c>
      <c r="I74" s="509">
        <f t="shared" si="22"/>
        <v>47.07</v>
      </c>
      <c r="J74" s="508">
        <f t="shared" si="19"/>
        <v>0</v>
      </c>
      <c r="K74" s="508">
        <v>649.75</v>
      </c>
      <c r="L74" s="508">
        <v>0</v>
      </c>
      <c r="M74" s="508">
        <f t="shared" si="20"/>
        <v>649.75</v>
      </c>
      <c r="N74" s="508">
        <f t="shared" si="21"/>
        <v>8.48694316436253</v>
      </c>
      <c r="O74" s="516"/>
    </row>
    <row r="75" s="487" customFormat="1" customHeight="1" spans="1:15">
      <c r="A75" s="506">
        <v>2012901</v>
      </c>
      <c r="B75" s="507" t="s">
        <v>71</v>
      </c>
      <c r="C75" s="508">
        <v>190.22</v>
      </c>
      <c r="D75" s="508"/>
      <c r="E75" s="508">
        <f t="shared" si="18"/>
        <v>190.22</v>
      </c>
      <c r="F75" s="508">
        <v>3.76</v>
      </c>
      <c r="G75" s="508">
        <v>0</v>
      </c>
      <c r="H75" s="508">
        <v>0</v>
      </c>
      <c r="I75" s="508">
        <v>47.07</v>
      </c>
      <c r="J75" s="508">
        <f t="shared" si="19"/>
        <v>0</v>
      </c>
      <c r="K75" s="508">
        <v>241.05</v>
      </c>
      <c r="L75" s="508">
        <v>0</v>
      </c>
      <c r="M75" s="508">
        <f t="shared" si="20"/>
        <v>241.05</v>
      </c>
      <c r="N75" s="508">
        <f t="shared" si="21"/>
        <v>26.7216906739565</v>
      </c>
      <c r="O75" s="516" t="s">
        <v>72</v>
      </c>
    </row>
    <row r="76" s="487" customFormat="1" customHeight="1" spans="1:15">
      <c r="A76" s="506">
        <v>2012902</v>
      </c>
      <c r="B76" s="507" t="s">
        <v>87</v>
      </c>
      <c r="C76" s="508">
        <v>85.8</v>
      </c>
      <c r="D76" s="508"/>
      <c r="E76" s="508">
        <f t="shared" si="18"/>
        <v>85.8</v>
      </c>
      <c r="F76" s="508">
        <v>0</v>
      </c>
      <c r="G76" s="508">
        <v>0</v>
      </c>
      <c r="H76" s="508">
        <v>0</v>
      </c>
      <c r="I76" s="508">
        <v>0</v>
      </c>
      <c r="J76" s="508">
        <f t="shared" si="19"/>
        <v>0</v>
      </c>
      <c r="K76" s="508">
        <v>85.8</v>
      </c>
      <c r="L76" s="508">
        <v>0</v>
      </c>
      <c r="M76" s="508">
        <f t="shared" si="20"/>
        <v>85.8</v>
      </c>
      <c r="N76" s="508">
        <f t="shared" si="21"/>
        <v>0</v>
      </c>
      <c r="O76" s="516"/>
    </row>
    <row r="77" s="487" customFormat="1" customHeight="1" spans="1:15">
      <c r="A77" s="506">
        <v>2012906</v>
      </c>
      <c r="B77" s="507" t="s">
        <v>129</v>
      </c>
      <c r="C77" s="508">
        <v>322</v>
      </c>
      <c r="D77" s="508"/>
      <c r="E77" s="508">
        <f t="shared" si="18"/>
        <v>322</v>
      </c>
      <c r="F77" s="508">
        <v>0</v>
      </c>
      <c r="G77" s="508">
        <v>0</v>
      </c>
      <c r="H77" s="508">
        <v>0</v>
      </c>
      <c r="I77" s="508">
        <v>0</v>
      </c>
      <c r="J77" s="508">
        <f t="shared" si="19"/>
        <v>0</v>
      </c>
      <c r="K77" s="508">
        <v>322</v>
      </c>
      <c r="L77" s="508">
        <v>0</v>
      </c>
      <c r="M77" s="508">
        <f t="shared" si="20"/>
        <v>322</v>
      </c>
      <c r="N77" s="508">
        <f t="shared" si="21"/>
        <v>0</v>
      </c>
      <c r="O77" s="517"/>
    </row>
    <row r="78" s="487" customFormat="1" ht="29" customHeight="1" spans="1:15">
      <c r="A78" s="506">
        <v>2012999</v>
      </c>
      <c r="B78" s="507" t="s">
        <v>130</v>
      </c>
      <c r="C78" s="508">
        <v>0.9</v>
      </c>
      <c r="D78" s="508"/>
      <c r="E78" s="508">
        <f t="shared" si="18"/>
        <v>0.9</v>
      </c>
      <c r="F78" s="508">
        <v>0</v>
      </c>
      <c r="G78" s="508">
        <v>0</v>
      </c>
      <c r="H78" s="508">
        <v>0</v>
      </c>
      <c r="I78" s="508">
        <v>0</v>
      </c>
      <c r="J78" s="508">
        <f t="shared" si="19"/>
        <v>0</v>
      </c>
      <c r="K78" s="508">
        <v>0.9</v>
      </c>
      <c r="L78" s="508">
        <v>0</v>
      </c>
      <c r="M78" s="508">
        <f t="shared" si="20"/>
        <v>0.9</v>
      </c>
      <c r="N78" s="508">
        <f t="shared" si="21"/>
        <v>0</v>
      </c>
      <c r="O78" s="517"/>
    </row>
    <row r="79" s="487" customFormat="1" customHeight="1" spans="1:15">
      <c r="A79" s="506">
        <v>20132</v>
      </c>
      <c r="B79" s="507" t="s">
        <v>131</v>
      </c>
      <c r="C79" s="508">
        <f t="shared" ref="C79:I79" si="23">C80+C81</f>
        <v>3818.86</v>
      </c>
      <c r="D79" s="508">
        <f t="shared" si="23"/>
        <v>780</v>
      </c>
      <c r="E79" s="508">
        <f t="shared" si="18"/>
        <v>4598.86</v>
      </c>
      <c r="F79" s="509">
        <f t="shared" si="23"/>
        <v>12.37</v>
      </c>
      <c r="G79" s="509">
        <f t="shared" si="23"/>
        <v>0</v>
      </c>
      <c r="H79" s="509">
        <f t="shared" si="23"/>
        <v>0</v>
      </c>
      <c r="I79" s="509">
        <f t="shared" si="23"/>
        <v>91.57</v>
      </c>
      <c r="J79" s="508">
        <f t="shared" si="19"/>
        <v>992</v>
      </c>
      <c r="K79" s="508">
        <v>3922.8</v>
      </c>
      <c r="L79" s="508">
        <v>1772</v>
      </c>
      <c r="M79" s="508">
        <f t="shared" si="20"/>
        <v>5694.8</v>
      </c>
      <c r="N79" s="508">
        <f t="shared" si="21"/>
        <v>23.8306884749699</v>
      </c>
      <c r="O79" s="516"/>
    </row>
    <row r="80" s="487" customFormat="1" customHeight="1" spans="1:15">
      <c r="A80" s="506">
        <v>2013201</v>
      </c>
      <c r="B80" s="507" t="s">
        <v>71</v>
      </c>
      <c r="C80" s="508">
        <v>352.62</v>
      </c>
      <c r="D80" s="508"/>
      <c r="E80" s="508">
        <f t="shared" si="18"/>
        <v>352.62</v>
      </c>
      <c r="F80" s="508">
        <v>-6.37</v>
      </c>
      <c r="G80" s="508">
        <v>0</v>
      </c>
      <c r="H80" s="508">
        <v>0</v>
      </c>
      <c r="I80" s="508">
        <v>91.57</v>
      </c>
      <c r="J80" s="508">
        <f t="shared" si="19"/>
        <v>0</v>
      </c>
      <c r="K80" s="508">
        <v>437.82</v>
      </c>
      <c r="L80" s="508">
        <v>0</v>
      </c>
      <c r="M80" s="508">
        <f t="shared" si="20"/>
        <v>437.82</v>
      </c>
      <c r="N80" s="508">
        <f t="shared" si="21"/>
        <v>24.1619874085418</v>
      </c>
      <c r="O80" s="516" t="s">
        <v>72</v>
      </c>
    </row>
    <row r="81" s="487" customFormat="1" ht="29" customHeight="1" spans="1:15">
      <c r="A81" s="506">
        <v>2013299</v>
      </c>
      <c r="B81" s="507" t="s">
        <v>132</v>
      </c>
      <c r="C81" s="508">
        <v>3466.24</v>
      </c>
      <c r="D81" s="508">
        <v>780</v>
      </c>
      <c r="E81" s="508">
        <f t="shared" si="18"/>
        <v>4246.24</v>
      </c>
      <c r="F81" s="508">
        <v>18.74</v>
      </c>
      <c r="G81" s="508">
        <v>0</v>
      </c>
      <c r="H81" s="508">
        <v>0</v>
      </c>
      <c r="I81" s="508">
        <v>0</v>
      </c>
      <c r="J81" s="508">
        <f t="shared" si="19"/>
        <v>992</v>
      </c>
      <c r="K81" s="508">
        <v>3484.98</v>
      </c>
      <c r="L81" s="508">
        <v>1772</v>
      </c>
      <c r="M81" s="508">
        <f t="shared" si="20"/>
        <v>5256.98</v>
      </c>
      <c r="N81" s="508">
        <f t="shared" si="21"/>
        <v>23.8031764572893</v>
      </c>
      <c r="O81" s="516" t="s">
        <v>133</v>
      </c>
    </row>
    <row r="82" s="487" customFormat="1" customHeight="1" spans="1:15">
      <c r="A82" s="506">
        <v>20133</v>
      </c>
      <c r="B82" s="507" t="s">
        <v>134</v>
      </c>
      <c r="C82" s="508">
        <f t="shared" ref="C82:I82" si="24">C83+C84</f>
        <v>144.32</v>
      </c>
      <c r="D82" s="508">
        <f t="shared" si="24"/>
        <v>0</v>
      </c>
      <c r="E82" s="508">
        <f t="shared" si="18"/>
        <v>144.32</v>
      </c>
      <c r="F82" s="509">
        <f t="shared" si="24"/>
        <v>16.13</v>
      </c>
      <c r="G82" s="509">
        <f t="shared" si="24"/>
        <v>0</v>
      </c>
      <c r="H82" s="509">
        <f t="shared" si="24"/>
        <v>0</v>
      </c>
      <c r="I82" s="509">
        <f t="shared" si="24"/>
        <v>37.2</v>
      </c>
      <c r="J82" s="508">
        <f t="shared" si="19"/>
        <v>0</v>
      </c>
      <c r="K82" s="508">
        <v>197.65</v>
      </c>
      <c r="L82" s="508">
        <v>0</v>
      </c>
      <c r="M82" s="508">
        <f t="shared" si="20"/>
        <v>197.65</v>
      </c>
      <c r="N82" s="508">
        <f t="shared" si="21"/>
        <v>36.9526053215078</v>
      </c>
      <c r="O82" s="516"/>
    </row>
    <row r="83" s="487" customFormat="1" customHeight="1" spans="1:15">
      <c r="A83" s="506">
        <v>2013301</v>
      </c>
      <c r="B83" s="507" t="s">
        <v>71</v>
      </c>
      <c r="C83" s="508">
        <v>132.32</v>
      </c>
      <c r="D83" s="508"/>
      <c r="E83" s="508">
        <f t="shared" si="18"/>
        <v>132.32</v>
      </c>
      <c r="F83" s="508">
        <v>16.13</v>
      </c>
      <c r="G83" s="508">
        <v>0</v>
      </c>
      <c r="H83" s="508">
        <v>0</v>
      </c>
      <c r="I83" s="508">
        <v>37.2</v>
      </c>
      <c r="J83" s="508">
        <f t="shared" si="19"/>
        <v>0</v>
      </c>
      <c r="K83" s="508">
        <v>185.65</v>
      </c>
      <c r="L83" s="508">
        <v>0</v>
      </c>
      <c r="M83" s="508">
        <f t="shared" si="20"/>
        <v>185.65</v>
      </c>
      <c r="N83" s="508">
        <f t="shared" si="21"/>
        <v>40.3038089480048</v>
      </c>
      <c r="O83" s="516" t="s">
        <v>72</v>
      </c>
    </row>
    <row r="84" s="487" customFormat="1" customHeight="1" spans="1:15">
      <c r="A84" s="506">
        <v>2013399</v>
      </c>
      <c r="B84" s="507" t="s">
        <v>135</v>
      </c>
      <c r="C84" s="508">
        <v>12</v>
      </c>
      <c r="D84" s="508"/>
      <c r="E84" s="508">
        <f t="shared" si="18"/>
        <v>12</v>
      </c>
      <c r="F84" s="508">
        <v>0</v>
      </c>
      <c r="G84" s="508">
        <v>0</v>
      </c>
      <c r="H84" s="508">
        <v>0</v>
      </c>
      <c r="I84" s="508">
        <v>0</v>
      </c>
      <c r="J84" s="508">
        <f t="shared" si="19"/>
        <v>0</v>
      </c>
      <c r="K84" s="508">
        <v>12</v>
      </c>
      <c r="L84" s="508">
        <v>0</v>
      </c>
      <c r="M84" s="508">
        <f t="shared" si="20"/>
        <v>12</v>
      </c>
      <c r="N84" s="508">
        <f t="shared" si="21"/>
        <v>0</v>
      </c>
      <c r="O84" s="516"/>
    </row>
    <row r="85" s="487" customFormat="1" customHeight="1" spans="1:15">
      <c r="A85" s="506">
        <v>20134</v>
      </c>
      <c r="B85" s="507" t="s">
        <v>136</v>
      </c>
      <c r="C85" s="508">
        <f t="shared" ref="C85:I85" si="25">C86+C87+C88+C89</f>
        <v>255.04</v>
      </c>
      <c r="D85" s="508">
        <f t="shared" si="25"/>
        <v>0</v>
      </c>
      <c r="E85" s="508">
        <f t="shared" si="18"/>
        <v>255.04</v>
      </c>
      <c r="F85" s="509">
        <f t="shared" si="25"/>
        <v>-6.59</v>
      </c>
      <c r="G85" s="509">
        <f t="shared" si="25"/>
        <v>0</v>
      </c>
      <c r="H85" s="509">
        <f t="shared" si="25"/>
        <v>0</v>
      </c>
      <c r="I85" s="509">
        <f t="shared" si="25"/>
        <v>55.93</v>
      </c>
      <c r="J85" s="508">
        <f t="shared" si="19"/>
        <v>0</v>
      </c>
      <c r="K85" s="508">
        <v>304.39</v>
      </c>
      <c r="L85" s="508">
        <v>0</v>
      </c>
      <c r="M85" s="508">
        <f t="shared" si="20"/>
        <v>304.39</v>
      </c>
      <c r="N85" s="508">
        <f t="shared" si="21"/>
        <v>19.3499058971142</v>
      </c>
      <c r="O85" s="516"/>
    </row>
    <row r="86" s="487" customFormat="1" customHeight="1" spans="1:15">
      <c r="A86" s="506">
        <v>2013401</v>
      </c>
      <c r="B86" s="507" t="s">
        <v>71</v>
      </c>
      <c r="C86" s="508">
        <v>200.04</v>
      </c>
      <c r="D86" s="508"/>
      <c r="E86" s="508">
        <f t="shared" si="18"/>
        <v>200.04</v>
      </c>
      <c r="F86" s="508">
        <v>-6.59</v>
      </c>
      <c r="G86" s="508">
        <v>0</v>
      </c>
      <c r="H86" s="508">
        <v>0</v>
      </c>
      <c r="I86" s="508">
        <v>55.93</v>
      </c>
      <c r="J86" s="508">
        <f t="shared" si="19"/>
        <v>0</v>
      </c>
      <c r="K86" s="508">
        <v>249.39</v>
      </c>
      <c r="L86" s="508">
        <v>0</v>
      </c>
      <c r="M86" s="508">
        <f t="shared" si="20"/>
        <v>249.39</v>
      </c>
      <c r="N86" s="508">
        <f t="shared" si="21"/>
        <v>24.6700659868026</v>
      </c>
      <c r="O86" s="516" t="s">
        <v>72</v>
      </c>
    </row>
    <row r="87" s="487" customFormat="1" customHeight="1" spans="1:15">
      <c r="A87" s="506">
        <v>2013404</v>
      </c>
      <c r="B87" s="507" t="s">
        <v>137</v>
      </c>
      <c r="C87" s="508">
        <v>11</v>
      </c>
      <c r="D87" s="508"/>
      <c r="E87" s="508">
        <f t="shared" si="18"/>
        <v>11</v>
      </c>
      <c r="F87" s="508">
        <v>0</v>
      </c>
      <c r="G87" s="508">
        <v>0</v>
      </c>
      <c r="H87" s="508">
        <v>0</v>
      </c>
      <c r="I87" s="508">
        <v>0</v>
      </c>
      <c r="J87" s="508">
        <f t="shared" si="19"/>
        <v>0</v>
      </c>
      <c r="K87" s="508">
        <v>11</v>
      </c>
      <c r="L87" s="508">
        <v>0</v>
      </c>
      <c r="M87" s="508">
        <f t="shared" si="20"/>
        <v>11</v>
      </c>
      <c r="N87" s="508">
        <f t="shared" si="21"/>
        <v>0</v>
      </c>
      <c r="O87" s="517"/>
    </row>
    <row r="88" s="487" customFormat="1" customHeight="1" spans="1:15">
      <c r="A88" s="506">
        <v>2013405</v>
      </c>
      <c r="B88" s="507" t="s">
        <v>138</v>
      </c>
      <c r="C88" s="508">
        <v>15</v>
      </c>
      <c r="D88" s="508"/>
      <c r="E88" s="508">
        <f t="shared" si="18"/>
        <v>15</v>
      </c>
      <c r="F88" s="508">
        <v>0</v>
      </c>
      <c r="G88" s="508">
        <v>0</v>
      </c>
      <c r="H88" s="508">
        <v>0</v>
      </c>
      <c r="I88" s="508">
        <v>-3.33066907387547e-16</v>
      </c>
      <c r="J88" s="508">
        <f t="shared" si="19"/>
        <v>0</v>
      </c>
      <c r="K88" s="508">
        <v>15</v>
      </c>
      <c r="L88" s="508">
        <v>0</v>
      </c>
      <c r="M88" s="508">
        <f t="shared" si="20"/>
        <v>15</v>
      </c>
      <c r="N88" s="508">
        <f t="shared" si="21"/>
        <v>0</v>
      </c>
      <c r="O88" s="516"/>
    </row>
    <row r="89" s="487" customFormat="1" customHeight="1" spans="1:15">
      <c r="A89" s="506">
        <v>2013499</v>
      </c>
      <c r="B89" s="507" t="s">
        <v>139</v>
      </c>
      <c r="C89" s="508">
        <v>29</v>
      </c>
      <c r="D89" s="508"/>
      <c r="E89" s="508">
        <f t="shared" si="18"/>
        <v>29</v>
      </c>
      <c r="F89" s="508">
        <v>0</v>
      </c>
      <c r="G89" s="508">
        <v>0</v>
      </c>
      <c r="H89" s="508">
        <v>0</v>
      </c>
      <c r="I89" s="508">
        <v>0</v>
      </c>
      <c r="J89" s="508">
        <f t="shared" si="19"/>
        <v>0</v>
      </c>
      <c r="K89" s="508">
        <v>29</v>
      </c>
      <c r="L89" s="508">
        <v>0</v>
      </c>
      <c r="M89" s="508">
        <f t="shared" si="20"/>
        <v>29</v>
      </c>
      <c r="N89" s="508">
        <f t="shared" si="21"/>
        <v>0</v>
      </c>
      <c r="O89" s="517"/>
    </row>
    <row r="90" s="487" customFormat="1" customHeight="1" spans="1:15">
      <c r="A90" s="506">
        <v>20136</v>
      </c>
      <c r="B90" s="507" t="s">
        <v>140</v>
      </c>
      <c r="C90" s="508">
        <f t="shared" ref="C90:I90" si="26">C91+C92</f>
        <v>527.33</v>
      </c>
      <c r="D90" s="508">
        <f t="shared" si="26"/>
        <v>0</v>
      </c>
      <c r="E90" s="508">
        <f t="shared" si="18"/>
        <v>527.33</v>
      </c>
      <c r="F90" s="508">
        <f t="shared" si="26"/>
        <v>37.3</v>
      </c>
      <c r="G90" s="508">
        <f t="shared" si="26"/>
        <v>0</v>
      </c>
      <c r="H90" s="508">
        <f t="shared" si="26"/>
        <v>0</v>
      </c>
      <c r="I90" s="508">
        <f t="shared" si="26"/>
        <v>70.45</v>
      </c>
      <c r="J90" s="508">
        <f t="shared" si="19"/>
        <v>0</v>
      </c>
      <c r="K90" s="508">
        <v>635.09</v>
      </c>
      <c r="L90" s="508">
        <v>0</v>
      </c>
      <c r="M90" s="508">
        <f t="shared" si="20"/>
        <v>635.09</v>
      </c>
      <c r="N90" s="508">
        <f t="shared" si="21"/>
        <v>20.4350217131588</v>
      </c>
      <c r="O90" s="516"/>
    </row>
    <row r="91" s="487" customFormat="1" customHeight="1" spans="1:15">
      <c r="A91" s="506">
        <v>2013601</v>
      </c>
      <c r="B91" s="507" t="s">
        <v>71</v>
      </c>
      <c r="C91" s="508">
        <v>242.01</v>
      </c>
      <c r="D91" s="508"/>
      <c r="E91" s="508">
        <f t="shared" si="18"/>
        <v>242.01</v>
      </c>
      <c r="F91" s="508">
        <v>27.33</v>
      </c>
      <c r="G91" s="508">
        <v>0</v>
      </c>
      <c r="H91" s="508">
        <v>0</v>
      </c>
      <c r="I91" s="508">
        <v>70.45</v>
      </c>
      <c r="J91" s="508">
        <f t="shared" si="19"/>
        <v>0</v>
      </c>
      <c r="K91" s="508">
        <v>339.79</v>
      </c>
      <c r="L91" s="508">
        <v>0</v>
      </c>
      <c r="M91" s="508">
        <f t="shared" si="20"/>
        <v>339.79</v>
      </c>
      <c r="N91" s="508">
        <f t="shared" si="21"/>
        <v>40.4032891202843</v>
      </c>
      <c r="O91" s="516" t="s">
        <v>72</v>
      </c>
    </row>
    <row r="92" s="487" customFormat="1" customHeight="1" spans="1:15">
      <c r="A92" s="506">
        <v>2013699</v>
      </c>
      <c r="B92" s="507" t="s">
        <v>140</v>
      </c>
      <c r="C92" s="508">
        <v>285.32</v>
      </c>
      <c r="D92" s="508"/>
      <c r="E92" s="508">
        <f t="shared" si="18"/>
        <v>285.32</v>
      </c>
      <c r="F92" s="508">
        <v>9.97</v>
      </c>
      <c r="G92" s="508">
        <v>0</v>
      </c>
      <c r="H92" s="508">
        <v>0</v>
      </c>
      <c r="I92" s="508">
        <v>0</v>
      </c>
      <c r="J92" s="508">
        <f t="shared" si="19"/>
        <v>0</v>
      </c>
      <c r="K92" s="508">
        <v>295.3</v>
      </c>
      <c r="L92" s="508">
        <v>0</v>
      </c>
      <c r="M92" s="508">
        <f t="shared" si="20"/>
        <v>295.3</v>
      </c>
      <c r="N92" s="508">
        <f t="shared" si="21"/>
        <v>3.49782700126175</v>
      </c>
      <c r="O92" s="516" t="s">
        <v>141</v>
      </c>
    </row>
    <row r="93" s="487" customFormat="1" customHeight="1" spans="1:15">
      <c r="A93" s="506">
        <v>20138</v>
      </c>
      <c r="B93" s="507" t="s">
        <v>142</v>
      </c>
      <c r="C93" s="508">
        <f t="shared" ref="C93:I93" si="27">C94+C95+C97+C98</f>
        <v>1464.24</v>
      </c>
      <c r="D93" s="508">
        <f t="shared" si="27"/>
        <v>38</v>
      </c>
      <c r="E93" s="508">
        <f t="shared" si="18"/>
        <v>1502.24</v>
      </c>
      <c r="F93" s="508">
        <f t="shared" si="27"/>
        <v>33.31</v>
      </c>
      <c r="G93" s="508">
        <f t="shared" si="27"/>
        <v>-6.6</v>
      </c>
      <c r="H93" s="508">
        <f t="shared" si="27"/>
        <v>0</v>
      </c>
      <c r="I93" s="508">
        <f t="shared" si="27"/>
        <v>314.47</v>
      </c>
      <c r="J93" s="508">
        <f t="shared" si="19"/>
        <v>31</v>
      </c>
      <c r="K93" s="508">
        <v>1805.42</v>
      </c>
      <c r="L93" s="508">
        <v>69</v>
      </c>
      <c r="M93" s="508">
        <f t="shared" si="20"/>
        <v>1874.42</v>
      </c>
      <c r="N93" s="508">
        <f t="shared" si="21"/>
        <v>24.7750026626904</v>
      </c>
      <c r="O93" s="516"/>
    </row>
    <row r="94" s="487" customFormat="1" customHeight="1" spans="1:15">
      <c r="A94" s="506">
        <v>2013801</v>
      </c>
      <c r="B94" s="507" t="s">
        <v>71</v>
      </c>
      <c r="C94" s="508">
        <v>1106.24</v>
      </c>
      <c r="D94" s="508"/>
      <c r="E94" s="508">
        <f t="shared" si="18"/>
        <v>1106.24</v>
      </c>
      <c r="F94" s="508">
        <v>49.01</v>
      </c>
      <c r="G94" s="508">
        <v>0</v>
      </c>
      <c r="H94" s="508">
        <v>0</v>
      </c>
      <c r="I94" s="508">
        <v>314.47</v>
      </c>
      <c r="J94" s="508">
        <f t="shared" si="19"/>
        <v>0</v>
      </c>
      <c r="K94" s="508">
        <v>1469.72</v>
      </c>
      <c r="L94" s="508">
        <v>0</v>
      </c>
      <c r="M94" s="508">
        <f t="shared" si="20"/>
        <v>1469.72</v>
      </c>
      <c r="N94" s="508">
        <f t="shared" si="21"/>
        <v>32.857246167197</v>
      </c>
      <c r="O94" s="516" t="s">
        <v>72</v>
      </c>
    </row>
    <row r="95" s="487" customFormat="1" customHeight="1" spans="1:15">
      <c r="A95" s="506">
        <v>2013805</v>
      </c>
      <c r="B95" s="507" t="s">
        <v>143</v>
      </c>
      <c r="C95" s="508">
        <v>7</v>
      </c>
      <c r="D95" s="508"/>
      <c r="E95" s="508">
        <f t="shared" si="18"/>
        <v>7</v>
      </c>
      <c r="F95" s="508">
        <v>0</v>
      </c>
      <c r="G95" s="508">
        <v>0</v>
      </c>
      <c r="H95" s="508">
        <v>0</v>
      </c>
      <c r="I95" s="508">
        <v>0</v>
      </c>
      <c r="J95" s="508">
        <f t="shared" si="19"/>
        <v>0</v>
      </c>
      <c r="K95" s="508">
        <v>7</v>
      </c>
      <c r="L95" s="508">
        <v>0</v>
      </c>
      <c r="M95" s="508">
        <f t="shared" si="20"/>
        <v>7</v>
      </c>
      <c r="N95" s="508">
        <f t="shared" si="21"/>
        <v>0</v>
      </c>
      <c r="O95" s="516"/>
    </row>
    <row r="96" s="487" customFormat="1" customHeight="1" spans="1:15">
      <c r="A96" s="506">
        <v>2013810</v>
      </c>
      <c r="B96" s="507" t="s">
        <v>144</v>
      </c>
      <c r="C96" s="508"/>
      <c r="D96" s="508"/>
      <c r="E96" s="508">
        <f t="shared" si="18"/>
        <v>0</v>
      </c>
      <c r="F96" s="508"/>
      <c r="G96" s="508"/>
      <c r="H96" s="508"/>
      <c r="I96" s="508"/>
      <c r="J96" s="508">
        <f t="shared" si="19"/>
        <v>15</v>
      </c>
      <c r="K96" s="508"/>
      <c r="L96" s="508">
        <v>15</v>
      </c>
      <c r="M96" s="508">
        <f t="shared" si="20"/>
        <v>15</v>
      </c>
      <c r="N96" s="508">
        <v>100</v>
      </c>
      <c r="O96" s="516"/>
    </row>
    <row r="97" s="487" customFormat="1" customHeight="1" spans="1:15">
      <c r="A97" s="506">
        <v>2013816</v>
      </c>
      <c r="B97" s="507" t="s">
        <v>145</v>
      </c>
      <c r="C97" s="508">
        <v>80</v>
      </c>
      <c r="D97" s="508">
        <v>23</v>
      </c>
      <c r="E97" s="508">
        <f t="shared" si="18"/>
        <v>103</v>
      </c>
      <c r="F97" s="508">
        <v>0</v>
      </c>
      <c r="G97" s="508">
        <v>0</v>
      </c>
      <c r="H97" s="508">
        <v>0</v>
      </c>
      <c r="I97" s="508">
        <v>0</v>
      </c>
      <c r="J97" s="508">
        <f t="shared" si="19"/>
        <v>16</v>
      </c>
      <c r="K97" s="508">
        <v>80</v>
      </c>
      <c r="L97" s="508">
        <v>39</v>
      </c>
      <c r="M97" s="508">
        <f t="shared" si="20"/>
        <v>119</v>
      </c>
      <c r="N97" s="508">
        <f t="shared" si="21"/>
        <v>15.5339805825243</v>
      </c>
      <c r="O97" s="516"/>
    </row>
    <row r="98" s="487" customFormat="1" ht="33" customHeight="1" spans="1:15">
      <c r="A98" s="506">
        <v>2013899</v>
      </c>
      <c r="B98" s="507" t="s">
        <v>146</v>
      </c>
      <c r="C98" s="508">
        <v>271</v>
      </c>
      <c r="D98" s="508">
        <v>15</v>
      </c>
      <c r="E98" s="508">
        <f t="shared" si="18"/>
        <v>286</v>
      </c>
      <c r="F98" s="508">
        <v>-15.7</v>
      </c>
      <c r="G98" s="508">
        <v>-6.6</v>
      </c>
      <c r="H98" s="508">
        <v>0</v>
      </c>
      <c r="I98" s="508">
        <v>0</v>
      </c>
      <c r="J98" s="508">
        <f t="shared" si="19"/>
        <v>0</v>
      </c>
      <c r="K98" s="508">
        <v>248.7</v>
      </c>
      <c r="L98" s="508">
        <v>15</v>
      </c>
      <c r="M98" s="508">
        <f t="shared" si="20"/>
        <v>263.7</v>
      </c>
      <c r="N98" s="508">
        <f t="shared" si="21"/>
        <v>-7.7972027972028</v>
      </c>
      <c r="O98" s="516" t="s">
        <v>147</v>
      </c>
    </row>
    <row r="99" s="487" customFormat="1" customHeight="1" spans="1:15">
      <c r="A99" s="506">
        <v>20199</v>
      </c>
      <c r="B99" s="507" t="s">
        <v>148</v>
      </c>
      <c r="C99" s="508">
        <f t="shared" ref="C99:I99" si="28">C100</f>
        <v>2240.5</v>
      </c>
      <c r="D99" s="508">
        <f t="shared" si="28"/>
        <v>113</v>
      </c>
      <c r="E99" s="508">
        <f t="shared" si="18"/>
        <v>2353.5</v>
      </c>
      <c r="F99" s="508">
        <f t="shared" si="28"/>
        <v>-16.4</v>
      </c>
      <c r="G99" s="508">
        <f t="shared" si="28"/>
        <v>0</v>
      </c>
      <c r="H99" s="508">
        <f t="shared" si="28"/>
        <v>0</v>
      </c>
      <c r="I99" s="508">
        <f t="shared" si="28"/>
        <v>128.37</v>
      </c>
      <c r="J99" s="508">
        <f t="shared" si="19"/>
        <v>122</v>
      </c>
      <c r="K99" s="508">
        <v>2352.47</v>
      </c>
      <c r="L99" s="508">
        <v>235</v>
      </c>
      <c r="M99" s="508">
        <f t="shared" si="20"/>
        <v>2587.47</v>
      </c>
      <c r="N99" s="508">
        <f t="shared" si="21"/>
        <v>9.94136392606755</v>
      </c>
      <c r="O99" s="516"/>
    </row>
    <row r="100" s="487" customFormat="1" ht="55" customHeight="1" spans="1:15">
      <c r="A100" s="506">
        <v>2019999</v>
      </c>
      <c r="B100" s="507" t="s">
        <v>148</v>
      </c>
      <c r="C100" s="508">
        <v>2240.5</v>
      </c>
      <c r="D100" s="508">
        <v>113</v>
      </c>
      <c r="E100" s="508">
        <f t="shared" si="18"/>
        <v>2353.5</v>
      </c>
      <c r="F100" s="508">
        <v>-16.4</v>
      </c>
      <c r="G100" s="508">
        <v>0</v>
      </c>
      <c r="H100" s="508">
        <v>0</v>
      </c>
      <c r="I100" s="508">
        <v>128.37</v>
      </c>
      <c r="J100" s="508">
        <f t="shared" si="19"/>
        <v>122</v>
      </c>
      <c r="K100" s="508">
        <v>2352.47</v>
      </c>
      <c r="L100" s="508">
        <v>235</v>
      </c>
      <c r="M100" s="508">
        <f t="shared" si="20"/>
        <v>2587.47</v>
      </c>
      <c r="N100" s="508">
        <f t="shared" si="21"/>
        <v>9.94136392606755</v>
      </c>
      <c r="O100" s="516" t="s">
        <v>149</v>
      </c>
    </row>
    <row r="101" s="487" customFormat="1" customHeight="1" spans="1:15">
      <c r="A101" s="506">
        <v>203</v>
      </c>
      <c r="B101" s="507" t="s">
        <v>150</v>
      </c>
      <c r="C101" s="508">
        <f t="shared" ref="C101:I101" si="29">C102+C107</f>
        <v>272.85</v>
      </c>
      <c r="D101" s="508">
        <f t="shared" si="29"/>
        <v>4</v>
      </c>
      <c r="E101" s="508">
        <f t="shared" si="18"/>
        <v>276.85</v>
      </c>
      <c r="F101" s="508">
        <f t="shared" si="29"/>
        <v>-9.83</v>
      </c>
      <c r="G101" s="508">
        <f t="shared" si="29"/>
        <v>-11.13</v>
      </c>
      <c r="H101" s="508">
        <f t="shared" si="29"/>
        <v>0</v>
      </c>
      <c r="I101" s="508">
        <f t="shared" si="29"/>
        <v>25.37</v>
      </c>
      <c r="J101" s="508">
        <f t="shared" si="19"/>
        <v>0</v>
      </c>
      <c r="K101" s="508">
        <v>277.26</v>
      </c>
      <c r="L101" s="508">
        <v>4</v>
      </c>
      <c r="M101" s="508">
        <f t="shared" si="20"/>
        <v>281.26</v>
      </c>
      <c r="N101" s="508">
        <f t="shared" si="21"/>
        <v>1.59292035398229</v>
      </c>
      <c r="O101" s="517"/>
    </row>
    <row r="102" s="487" customFormat="1" customHeight="1" spans="1:15">
      <c r="A102" s="506">
        <v>20306</v>
      </c>
      <c r="B102" s="507" t="s">
        <v>151</v>
      </c>
      <c r="C102" s="508">
        <f t="shared" ref="C102:I102" si="30">C103+C104+C105</f>
        <v>126</v>
      </c>
      <c r="D102" s="508">
        <f>D103+D104+D105+D106</f>
        <v>4</v>
      </c>
      <c r="E102" s="508">
        <f t="shared" si="18"/>
        <v>130</v>
      </c>
      <c r="F102" s="509">
        <f t="shared" si="30"/>
        <v>0</v>
      </c>
      <c r="G102" s="509">
        <f t="shared" si="30"/>
        <v>-11.13</v>
      </c>
      <c r="H102" s="509">
        <f t="shared" si="30"/>
        <v>0</v>
      </c>
      <c r="I102" s="509">
        <f t="shared" si="30"/>
        <v>0</v>
      </c>
      <c r="J102" s="508">
        <f t="shared" si="19"/>
        <v>0</v>
      </c>
      <c r="K102" s="508">
        <v>114.87</v>
      </c>
      <c r="L102" s="508">
        <v>4</v>
      </c>
      <c r="M102" s="508">
        <f t="shared" si="20"/>
        <v>118.87</v>
      </c>
      <c r="N102" s="508">
        <f t="shared" si="21"/>
        <v>-8.56153846153846</v>
      </c>
      <c r="O102" s="516"/>
    </row>
    <row r="103" s="487" customFormat="1" customHeight="1" spans="1:15">
      <c r="A103" s="506">
        <v>2030601</v>
      </c>
      <c r="B103" s="507" t="s">
        <v>152</v>
      </c>
      <c r="C103" s="508">
        <v>25</v>
      </c>
      <c r="D103" s="508"/>
      <c r="E103" s="508">
        <f t="shared" si="18"/>
        <v>25</v>
      </c>
      <c r="F103" s="508">
        <v>0</v>
      </c>
      <c r="G103" s="508">
        <v>0</v>
      </c>
      <c r="H103" s="508">
        <v>0</v>
      </c>
      <c r="I103" s="508">
        <v>0</v>
      </c>
      <c r="J103" s="508">
        <f t="shared" si="19"/>
        <v>0</v>
      </c>
      <c r="K103" s="508">
        <v>25</v>
      </c>
      <c r="L103" s="508">
        <v>0</v>
      </c>
      <c r="M103" s="508">
        <f t="shared" si="20"/>
        <v>25</v>
      </c>
      <c r="N103" s="508">
        <f t="shared" si="21"/>
        <v>0</v>
      </c>
      <c r="O103" s="516"/>
    </row>
    <row r="104" s="487" customFormat="1" customHeight="1" spans="1:15">
      <c r="A104" s="506">
        <v>2030603</v>
      </c>
      <c r="B104" s="507" t="s">
        <v>153</v>
      </c>
      <c r="C104" s="508">
        <v>69</v>
      </c>
      <c r="D104" s="508"/>
      <c r="E104" s="508">
        <f t="shared" si="18"/>
        <v>69</v>
      </c>
      <c r="F104" s="508">
        <v>0</v>
      </c>
      <c r="G104" s="508">
        <v>-11.13</v>
      </c>
      <c r="H104" s="508">
        <v>0</v>
      </c>
      <c r="I104" s="508">
        <v>0</v>
      </c>
      <c r="J104" s="508">
        <f t="shared" si="19"/>
        <v>0</v>
      </c>
      <c r="K104" s="508">
        <v>57.87</v>
      </c>
      <c r="L104" s="508">
        <v>0</v>
      </c>
      <c r="M104" s="508">
        <f t="shared" si="20"/>
        <v>57.87</v>
      </c>
      <c r="N104" s="508">
        <f t="shared" si="21"/>
        <v>-16.1304347826087</v>
      </c>
      <c r="O104" s="516" t="s">
        <v>154</v>
      </c>
    </row>
    <row r="105" s="487" customFormat="1" customHeight="1" spans="1:15">
      <c r="A105" s="506">
        <v>2030607</v>
      </c>
      <c r="B105" s="507" t="s">
        <v>155</v>
      </c>
      <c r="C105" s="508">
        <v>32</v>
      </c>
      <c r="D105" s="508"/>
      <c r="E105" s="508">
        <f t="shared" si="18"/>
        <v>32</v>
      </c>
      <c r="F105" s="508">
        <v>0</v>
      </c>
      <c r="G105" s="508">
        <v>0</v>
      </c>
      <c r="H105" s="508">
        <v>0</v>
      </c>
      <c r="I105" s="508">
        <v>0</v>
      </c>
      <c r="J105" s="508">
        <f t="shared" si="19"/>
        <v>0</v>
      </c>
      <c r="K105" s="508">
        <v>32</v>
      </c>
      <c r="L105" s="508">
        <v>0</v>
      </c>
      <c r="M105" s="508">
        <f t="shared" si="20"/>
        <v>32</v>
      </c>
      <c r="N105" s="508">
        <f t="shared" si="21"/>
        <v>0</v>
      </c>
      <c r="O105" s="516"/>
    </row>
    <row r="106" s="487" customFormat="1" customHeight="1" spans="1:15">
      <c r="A106" s="506">
        <v>2030699</v>
      </c>
      <c r="B106" s="507" t="s">
        <v>156</v>
      </c>
      <c r="C106" s="508"/>
      <c r="D106" s="508">
        <v>4</v>
      </c>
      <c r="E106" s="508">
        <f t="shared" si="18"/>
        <v>4</v>
      </c>
      <c r="F106" s="508"/>
      <c r="G106" s="508"/>
      <c r="H106" s="508"/>
      <c r="I106" s="508"/>
      <c r="J106" s="508">
        <f t="shared" si="19"/>
        <v>0</v>
      </c>
      <c r="K106" s="509"/>
      <c r="L106" s="509">
        <v>4</v>
      </c>
      <c r="M106" s="508">
        <f t="shared" si="20"/>
        <v>4</v>
      </c>
      <c r="N106" s="508">
        <f t="shared" si="21"/>
        <v>0</v>
      </c>
      <c r="O106" s="516"/>
    </row>
    <row r="107" s="487" customFormat="1" customHeight="1" spans="1:15">
      <c r="A107" s="506">
        <v>20399</v>
      </c>
      <c r="B107" s="507" t="s">
        <v>157</v>
      </c>
      <c r="C107" s="508">
        <f t="shared" ref="C107:I107" si="31">C108</f>
        <v>146.85</v>
      </c>
      <c r="D107" s="508">
        <f t="shared" si="31"/>
        <v>0</v>
      </c>
      <c r="E107" s="508">
        <f t="shared" si="18"/>
        <v>146.85</v>
      </c>
      <c r="F107" s="509">
        <f t="shared" si="31"/>
        <v>-9.83</v>
      </c>
      <c r="G107" s="509">
        <f t="shared" si="31"/>
        <v>0</v>
      </c>
      <c r="H107" s="509">
        <f t="shared" si="31"/>
        <v>0</v>
      </c>
      <c r="I107" s="509">
        <f t="shared" si="31"/>
        <v>25.37</v>
      </c>
      <c r="J107" s="508">
        <f t="shared" si="19"/>
        <v>0</v>
      </c>
      <c r="K107" s="508">
        <v>162.39</v>
      </c>
      <c r="L107" s="508">
        <v>0</v>
      </c>
      <c r="M107" s="508">
        <f t="shared" si="20"/>
        <v>162.39</v>
      </c>
      <c r="N107" s="508">
        <f t="shared" si="21"/>
        <v>10.582226762002</v>
      </c>
      <c r="O107" s="516"/>
    </row>
    <row r="108" s="487" customFormat="1" customHeight="1" spans="1:15">
      <c r="A108" s="506">
        <v>2039901</v>
      </c>
      <c r="B108" s="507" t="s">
        <v>157</v>
      </c>
      <c r="C108" s="508">
        <v>146.85</v>
      </c>
      <c r="D108" s="508"/>
      <c r="E108" s="508">
        <f t="shared" si="18"/>
        <v>146.85</v>
      </c>
      <c r="F108" s="508">
        <v>-9.83</v>
      </c>
      <c r="G108" s="508">
        <v>0</v>
      </c>
      <c r="H108" s="508">
        <v>0</v>
      </c>
      <c r="I108" s="508">
        <v>25.37</v>
      </c>
      <c r="J108" s="508">
        <f t="shared" si="19"/>
        <v>0</v>
      </c>
      <c r="K108" s="508">
        <v>162.39</v>
      </c>
      <c r="L108" s="508">
        <v>0</v>
      </c>
      <c r="M108" s="508">
        <f t="shared" si="20"/>
        <v>162.39</v>
      </c>
      <c r="N108" s="508">
        <f t="shared" si="21"/>
        <v>10.582226762002</v>
      </c>
      <c r="O108" s="516" t="s">
        <v>72</v>
      </c>
    </row>
    <row r="109" s="487" customFormat="1" customHeight="1" spans="1:15">
      <c r="A109" s="506">
        <v>204</v>
      </c>
      <c r="B109" s="507" t="s">
        <v>158</v>
      </c>
      <c r="C109" s="508">
        <f t="shared" ref="C109:I109" si="32">C110+C114+C117+C120+C129</f>
        <v>3024.51</v>
      </c>
      <c r="D109" s="508">
        <f t="shared" si="32"/>
        <v>185</v>
      </c>
      <c r="E109" s="508">
        <f t="shared" si="18"/>
        <v>3209.51</v>
      </c>
      <c r="F109" s="508">
        <f t="shared" si="32"/>
        <v>435.26</v>
      </c>
      <c r="G109" s="508">
        <f t="shared" si="32"/>
        <v>-2</v>
      </c>
      <c r="H109" s="508">
        <f t="shared" si="32"/>
        <v>0</v>
      </c>
      <c r="I109" s="508">
        <f t="shared" si="32"/>
        <v>412.89</v>
      </c>
      <c r="J109" s="508">
        <f t="shared" si="19"/>
        <v>889</v>
      </c>
      <c r="K109" s="508">
        <v>3870.67</v>
      </c>
      <c r="L109" s="508">
        <v>1074</v>
      </c>
      <c r="M109" s="508">
        <f t="shared" si="20"/>
        <v>4944.67</v>
      </c>
      <c r="N109" s="508">
        <f t="shared" si="21"/>
        <v>54.0630812803201</v>
      </c>
      <c r="O109" s="516"/>
    </row>
    <row r="110" s="487" customFormat="1" customHeight="1" spans="1:15">
      <c r="A110" s="506">
        <v>20402</v>
      </c>
      <c r="B110" s="507" t="s">
        <v>159</v>
      </c>
      <c r="C110" s="508">
        <f t="shared" ref="C110:I110" si="33">C113</f>
        <v>1954.78</v>
      </c>
      <c r="D110" s="508">
        <f t="shared" si="33"/>
        <v>12</v>
      </c>
      <c r="E110" s="508">
        <f t="shared" si="18"/>
        <v>1966.78</v>
      </c>
      <c r="F110" s="509">
        <f t="shared" si="33"/>
        <v>387.35</v>
      </c>
      <c r="G110" s="509">
        <f t="shared" si="33"/>
        <v>0</v>
      </c>
      <c r="H110" s="509">
        <f t="shared" si="33"/>
        <v>0</v>
      </c>
      <c r="I110" s="509">
        <f t="shared" si="33"/>
        <v>0</v>
      </c>
      <c r="J110" s="508">
        <f t="shared" si="19"/>
        <v>875</v>
      </c>
      <c r="K110" s="508">
        <v>2342.13</v>
      </c>
      <c r="L110" s="508">
        <v>887</v>
      </c>
      <c r="M110" s="508">
        <f t="shared" si="20"/>
        <v>3229.13</v>
      </c>
      <c r="N110" s="508">
        <f t="shared" si="21"/>
        <v>64.1835894202707</v>
      </c>
      <c r="O110" s="516"/>
    </row>
    <row r="111" s="487" customFormat="1" customHeight="1" spans="1:15">
      <c r="A111" s="506">
        <v>2040201</v>
      </c>
      <c r="B111" s="507" t="s">
        <v>71</v>
      </c>
      <c r="C111" s="508"/>
      <c r="D111" s="508"/>
      <c r="E111" s="508">
        <f t="shared" si="18"/>
        <v>0</v>
      </c>
      <c r="F111" s="508"/>
      <c r="G111" s="508"/>
      <c r="H111" s="508"/>
      <c r="I111" s="508"/>
      <c r="J111" s="508">
        <f t="shared" si="19"/>
        <v>404</v>
      </c>
      <c r="K111" s="509"/>
      <c r="L111" s="509">
        <v>404</v>
      </c>
      <c r="M111" s="508">
        <f t="shared" si="20"/>
        <v>404</v>
      </c>
      <c r="N111" s="508">
        <v>100</v>
      </c>
      <c r="O111" s="516"/>
    </row>
    <row r="112" s="487" customFormat="1" customHeight="1" spans="1:15">
      <c r="A112" s="506">
        <v>2040202</v>
      </c>
      <c r="B112" s="507" t="s">
        <v>87</v>
      </c>
      <c r="C112" s="508"/>
      <c r="D112" s="508"/>
      <c r="E112" s="508">
        <f t="shared" si="18"/>
        <v>0</v>
      </c>
      <c r="F112" s="508"/>
      <c r="G112" s="508"/>
      <c r="H112" s="508"/>
      <c r="I112" s="508"/>
      <c r="J112" s="508">
        <f t="shared" si="19"/>
        <v>7</v>
      </c>
      <c r="K112" s="509"/>
      <c r="L112" s="509">
        <v>7</v>
      </c>
      <c r="M112" s="508">
        <f t="shared" si="20"/>
        <v>7</v>
      </c>
      <c r="N112" s="508">
        <v>100</v>
      </c>
      <c r="O112" s="516"/>
    </row>
    <row r="113" s="487" customFormat="1" ht="44" customHeight="1" spans="1:15">
      <c r="A113" s="506">
        <v>2040299</v>
      </c>
      <c r="B113" s="507" t="s">
        <v>160</v>
      </c>
      <c r="C113" s="508">
        <v>1954.78</v>
      </c>
      <c r="D113" s="508">
        <v>12</v>
      </c>
      <c r="E113" s="508">
        <f t="shared" si="18"/>
        <v>1966.78</v>
      </c>
      <c r="F113" s="508">
        <v>387.35</v>
      </c>
      <c r="G113" s="508">
        <v>0</v>
      </c>
      <c r="H113" s="508">
        <v>0</v>
      </c>
      <c r="I113" s="508">
        <v>0</v>
      </c>
      <c r="J113" s="508">
        <f t="shared" si="19"/>
        <v>464</v>
      </c>
      <c r="K113" s="508">
        <v>2342.13</v>
      </c>
      <c r="L113" s="508">
        <v>476</v>
      </c>
      <c r="M113" s="508">
        <f t="shared" si="20"/>
        <v>2818.13</v>
      </c>
      <c r="N113" s="508">
        <f t="shared" si="21"/>
        <v>43.2864885752347</v>
      </c>
      <c r="O113" s="516" t="s">
        <v>161</v>
      </c>
    </row>
    <row r="114" s="487" customFormat="1" customHeight="1" spans="1:15">
      <c r="A114" s="506">
        <v>20404</v>
      </c>
      <c r="B114" s="507" t="s">
        <v>162</v>
      </c>
      <c r="C114" s="508">
        <f t="shared" ref="C114:I114" si="34">C115+C116</f>
        <v>69.5</v>
      </c>
      <c r="D114" s="508">
        <f t="shared" si="34"/>
        <v>0</v>
      </c>
      <c r="E114" s="508">
        <f t="shared" si="18"/>
        <v>69.5</v>
      </c>
      <c r="F114" s="509">
        <f t="shared" si="34"/>
        <v>0</v>
      </c>
      <c r="G114" s="509">
        <f t="shared" si="34"/>
        <v>0</v>
      </c>
      <c r="H114" s="509">
        <f t="shared" si="34"/>
        <v>0</v>
      </c>
      <c r="I114" s="509">
        <f t="shared" si="34"/>
        <v>97.5</v>
      </c>
      <c r="J114" s="508">
        <f t="shared" si="19"/>
        <v>0</v>
      </c>
      <c r="K114" s="508">
        <v>167</v>
      </c>
      <c r="L114" s="508">
        <v>0</v>
      </c>
      <c r="M114" s="508">
        <f t="shared" si="20"/>
        <v>167</v>
      </c>
      <c r="N114" s="508">
        <f t="shared" si="21"/>
        <v>140.287769784173</v>
      </c>
      <c r="O114" s="516">
        <f>O115+O116</f>
        <v>0</v>
      </c>
    </row>
    <row r="115" s="487" customFormat="1" customHeight="1" spans="1:15">
      <c r="A115" s="506">
        <v>2040401</v>
      </c>
      <c r="B115" s="507" t="s">
        <v>71</v>
      </c>
      <c r="C115" s="508">
        <v>0</v>
      </c>
      <c r="D115" s="508"/>
      <c r="E115" s="508">
        <f t="shared" si="18"/>
        <v>0</v>
      </c>
      <c r="F115" s="508">
        <v>0</v>
      </c>
      <c r="G115" s="508">
        <v>0</v>
      </c>
      <c r="H115" s="508">
        <v>0</v>
      </c>
      <c r="I115" s="508">
        <v>97.5</v>
      </c>
      <c r="J115" s="508">
        <f t="shared" si="19"/>
        <v>0</v>
      </c>
      <c r="K115" s="508">
        <v>97.5</v>
      </c>
      <c r="L115" s="508">
        <v>0</v>
      </c>
      <c r="M115" s="508">
        <f t="shared" si="20"/>
        <v>97.5</v>
      </c>
      <c r="N115" s="508">
        <v>100</v>
      </c>
      <c r="O115" s="516"/>
    </row>
    <row r="116" s="487" customFormat="1" customHeight="1" spans="1:15">
      <c r="A116" s="506">
        <v>2040499</v>
      </c>
      <c r="B116" s="507" t="s">
        <v>163</v>
      </c>
      <c r="C116" s="508">
        <v>69.5</v>
      </c>
      <c r="D116" s="508"/>
      <c r="E116" s="508">
        <f t="shared" si="18"/>
        <v>69.5</v>
      </c>
      <c r="F116" s="508">
        <v>0</v>
      </c>
      <c r="G116" s="508">
        <v>0</v>
      </c>
      <c r="H116" s="508">
        <v>0</v>
      </c>
      <c r="I116" s="508">
        <v>0</v>
      </c>
      <c r="J116" s="508">
        <f t="shared" si="19"/>
        <v>0</v>
      </c>
      <c r="K116" s="508">
        <v>69.5</v>
      </c>
      <c r="L116" s="508">
        <v>0</v>
      </c>
      <c r="M116" s="508">
        <f t="shared" si="20"/>
        <v>69.5</v>
      </c>
      <c r="N116" s="508">
        <f t="shared" si="21"/>
        <v>0</v>
      </c>
      <c r="O116" s="517">
        <v>0</v>
      </c>
    </row>
    <row r="117" s="487" customFormat="1" customHeight="1" spans="1:15">
      <c r="A117" s="506">
        <v>20405</v>
      </c>
      <c r="B117" s="507" t="s">
        <v>164</v>
      </c>
      <c r="C117" s="508">
        <v>119.5</v>
      </c>
      <c r="D117" s="508">
        <v>0</v>
      </c>
      <c r="E117" s="508">
        <f t="shared" si="18"/>
        <v>119.5</v>
      </c>
      <c r="F117" s="509">
        <v>0</v>
      </c>
      <c r="G117" s="509">
        <v>0</v>
      </c>
      <c r="H117" s="509">
        <v>0</v>
      </c>
      <c r="I117" s="509">
        <v>150</v>
      </c>
      <c r="J117" s="508">
        <f t="shared" si="19"/>
        <v>0</v>
      </c>
      <c r="K117" s="508">
        <v>269.51</v>
      </c>
      <c r="L117" s="508">
        <v>0</v>
      </c>
      <c r="M117" s="508">
        <f t="shared" si="20"/>
        <v>269.51</v>
      </c>
      <c r="N117" s="508">
        <f t="shared" si="21"/>
        <v>125.531380753138</v>
      </c>
      <c r="O117" s="516"/>
    </row>
    <row r="118" s="487" customFormat="1" customHeight="1" spans="1:15">
      <c r="A118" s="506">
        <v>2040501</v>
      </c>
      <c r="B118" s="507" t="s">
        <v>71</v>
      </c>
      <c r="C118" s="508">
        <v>0</v>
      </c>
      <c r="D118" s="508"/>
      <c r="E118" s="508">
        <f t="shared" si="18"/>
        <v>0</v>
      </c>
      <c r="F118" s="508">
        <v>0</v>
      </c>
      <c r="G118" s="508">
        <v>0</v>
      </c>
      <c r="H118" s="508">
        <v>0</v>
      </c>
      <c r="I118" s="508">
        <v>150</v>
      </c>
      <c r="J118" s="508">
        <f t="shared" si="19"/>
        <v>0</v>
      </c>
      <c r="K118" s="508">
        <v>150</v>
      </c>
      <c r="L118" s="508">
        <v>0</v>
      </c>
      <c r="M118" s="508">
        <f t="shared" si="20"/>
        <v>150</v>
      </c>
      <c r="N118" s="508">
        <v>100</v>
      </c>
      <c r="O118" s="516"/>
    </row>
    <row r="119" s="487" customFormat="1" customHeight="1" spans="1:15">
      <c r="A119" s="506">
        <v>2040599</v>
      </c>
      <c r="B119" s="507" t="s">
        <v>165</v>
      </c>
      <c r="C119" s="508">
        <v>119.5</v>
      </c>
      <c r="D119" s="508"/>
      <c r="E119" s="508">
        <f t="shared" si="18"/>
        <v>119.5</v>
      </c>
      <c r="F119" s="508">
        <v>0</v>
      </c>
      <c r="G119" s="508">
        <v>0</v>
      </c>
      <c r="H119" s="508">
        <v>0</v>
      </c>
      <c r="I119" s="508">
        <v>0</v>
      </c>
      <c r="J119" s="508">
        <f t="shared" si="19"/>
        <v>0</v>
      </c>
      <c r="K119" s="508">
        <v>119.51</v>
      </c>
      <c r="L119" s="508">
        <v>0</v>
      </c>
      <c r="M119" s="508">
        <f t="shared" si="20"/>
        <v>119.51</v>
      </c>
      <c r="N119" s="508">
        <f t="shared" si="21"/>
        <v>0.00836820083682436</v>
      </c>
      <c r="O119" s="516"/>
    </row>
    <row r="120" s="487" customFormat="1" customHeight="1" spans="1:15">
      <c r="A120" s="506">
        <v>20406</v>
      </c>
      <c r="B120" s="507" t="s">
        <v>166</v>
      </c>
      <c r="C120" s="508">
        <f t="shared" ref="C120:I120" si="35">C121+C122+C123+C124+C125+C126+C127</f>
        <v>830.73</v>
      </c>
      <c r="D120" s="508">
        <f t="shared" si="35"/>
        <v>123</v>
      </c>
      <c r="E120" s="508">
        <f t="shared" si="18"/>
        <v>953.73</v>
      </c>
      <c r="F120" s="509">
        <f t="shared" si="35"/>
        <v>47.91</v>
      </c>
      <c r="G120" s="509">
        <f t="shared" si="35"/>
        <v>-2</v>
      </c>
      <c r="H120" s="509">
        <f t="shared" si="35"/>
        <v>0</v>
      </c>
      <c r="I120" s="509">
        <f t="shared" si="35"/>
        <v>165.39</v>
      </c>
      <c r="J120" s="508">
        <f t="shared" si="19"/>
        <v>14</v>
      </c>
      <c r="K120" s="508">
        <v>1042.03</v>
      </c>
      <c r="L120" s="508">
        <v>137</v>
      </c>
      <c r="M120" s="508">
        <f t="shared" si="20"/>
        <v>1179.03</v>
      </c>
      <c r="N120" s="508">
        <f t="shared" si="21"/>
        <v>23.6230379667201</v>
      </c>
      <c r="O120" s="516"/>
    </row>
    <row r="121" s="487" customFormat="1" customHeight="1" spans="1:15">
      <c r="A121" s="506">
        <v>2040601</v>
      </c>
      <c r="B121" s="507" t="s">
        <v>71</v>
      </c>
      <c r="C121" s="508">
        <v>515.47</v>
      </c>
      <c r="D121" s="508"/>
      <c r="E121" s="508">
        <f t="shared" si="18"/>
        <v>515.47</v>
      </c>
      <c r="F121" s="508">
        <v>28.21</v>
      </c>
      <c r="G121" s="508">
        <v>0</v>
      </c>
      <c r="H121" s="508">
        <v>0</v>
      </c>
      <c r="I121" s="508">
        <v>142.94</v>
      </c>
      <c r="J121" s="508">
        <f t="shared" si="19"/>
        <v>0</v>
      </c>
      <c r="K121" s="508">
        <v>686.62</v>
      </c>
      <c r="L121" s="508">
        <v>0</v>
      </c>
      <c r="M121" s="508">
        <f t="shared" si="20"/>
        <v>686.62</v>
      </c>
      <c r="N121" s="508">
        <f t="shared" si="21"/>
        <v>33.2027082080431</v>
      </c>
      <c r="O121" s="516" t="s">
        <v>72</v>
      </c>
    </row>
    <row r="122" s="487" customFormat="1" customHeight="1" spans="1:15">
      <c r="A122" s="506">
        <v>2040602</v>
      </c>
      <c r="B122" s="507" t="s">
        <v>87</v>
      </c>
      <c r="C122" s="508">
        <v>75.9</v>
      </c>
      <c r="D122" s="508"/>
      <c r="E122" s="508">
        <f t="shared" si="18"/>
        <v>75.9</v>
      </c>
      <c r="F122" s="508">
        <v>15</v>
      </c>
      <c r="G122" s="508">
        <v>0</v>
      </c>
      <c r="H122" s="508">
        <v>0</v>
      </c>
      <c r="I122" s="508">
        <v>0</v>
      </c>
      <c r="J122" s="508">
        <f t="shared" si="19"/>
        <v>0</v>
      </c>
      <c r="K122" s="508">
        <v>90.9</v>
      </c>
      <c r="L122" s="508">
        <v>0</v>
      </c>
      <c r="M122" s="508">
        <f t="shared" si="20"/>
        <v>90.9</v>
      </c>
      <c r="N122" s="508">
        <f t="shared" si="21"/>
        <v>19.7628458498024</v>
      </c>
      <c r="O122" s="516" t="s">
        <v>167</v>
      </c>
    </row>
    <row r="123" s="487" customFormat="1" customHeight="1" spans="1:15">
      <c r="A123" s="506">
        <v>2040604</v>
      </c>
      <c r="B123" s="507" t="s">
        <v>168</v>
      </c>
      <c r="C123" s="508">
        <v>10</v>
      </c>
      <c r="D123" s="508">
        <v>27</v>
      </c>
      <c r="E123" s="508">
        <f t="shared" si="18"/>
        <v>37</v>
      </c>
      <c r="F123" s="508">
        <v>0</v>
      </c>
      <c r="G123" s="508">
        <v>0</v>
      </c>
      <c r="H123" s="508">
        <v>0</v>
      </c>
      <c r="I123" s="508">
        <v>0</v>
      </c>
      <c r="J123" s="508">
        <f t="shared" si="19"/>
        <v>0</v>
      </c>
      <c r="K123" s="508">
        <v>10</v>
      </c>
      <c r="L123" s="508">
        <v>27</v>
      </c>
      <c r="M123" s="508">
        <f t="shared" si="20"/>
        <v>37</v>
      </c>
      <c r="N123" s="508">
        <f t="shared" si="21"/>
        <v>0</v>
      </c>
      <c r="O123" s="516"/>
    </row>
    <row r="124" s="487" customFormat="1" customHeight="1" spans="1:15">
      <c r="A124" s="506">
        <v>2040605</v>
      </c>
      <c r="B124" s="507" t="s">
        <v>169</v>
      </c>
      <c r="C124" s="508">
        <v>14</v>
      </c>
      <c r="D124" s="508">
        <v>17</v>
      </c>
      <c r="E124" s="508">
        <f t="shared" si="18"/>
        <v>31</v>
      </c>
      <c r="F124" s="508">
        <v>0</v>
      </c>
      <c r="G124" s="508">
        <v>0</v>
      </c>
      <c r="H124" s="508">
        <v>0</v>
      </c>
      <c r="I124" s="508">
        <v>0</v>
      </c>
      <c r="J124" s="508">
        <f t="shared" si="19"/>
        <v>0</v>
      </c>
      <c r="K124" s="508">
        <v>14</v>
      </c>
      <c r="L124" s="508">
        <v>17</v>
      </c>
      <c r="M124" s="508">
        <f t="shared" si="20"/>
        <v>31</v>
      </c>
      <c r="N124" s="508">
        <f t="shared" si="21"/>
        <v>0</v>
      </c>
      <c r="O124" s="516"/>
    </row>
    <row r="125" s="487" customFormat="1" customHeight="1" spans="1:15">
      <c r="A125" s="506">
        <v>2040606</v>
      </c>
      <c r="B125" s="507" t="s">
        <v>170</v>
      </c>
      <c r="C125" s="508">
        <v>20</v>
      </c>
      <c r="D125" s="508"/>
      <c r="E125" s="508">
        <f t="shared" si="18"/>
        <v>20</v>
      </c>
      <c r="F125" s="508">
        <v>0</v>
      </c>
      <c r="G125" s="508">
        <v>-2</v>
      </c>
      <c r="H125" s="508">
        <v>0</v>
      </c>
      <c r="I125" s="508">
        <v>0</v>
      </c>
      <c r="J125" s="508">
        <f t="shared" si="19"/>
        <v>0</v>
      </c>
      <c r="K125" s="508">
        <v>18</v>
      </c>
      <c r="L125" s="508">
        <v>0</v>
      </c>
      <c r="M125" s="508">
        <f t="shared" si="20"/>
        <v>18</v>
      </c>
      <c r="N125" s="508">
        <f t="shared" si="21"/>
        <v>-10</v>
      </c>
      <c r="O125" s="516" t="s">
        <v>154</v>
      </c>
    </row>
    <row r="126" s="487" customFormat="1" customHeight="1" spans="1:15">
      <c r="A126" s="506">
        <v>2040607</v>
      </c>
      <c r="B126" s="507" t="s">
        <v>171</v>
      </c>
      <c r="C126" s="508">
        <v>145.36</v>
      </c>
      <c r="D126" s="508">
        <v>64</v>
      </c>
      <c r="E126" s="508">
        <f t="shared" si="18"/>
        <v>209.36</v>
      </c>
      <c r="F126" s="508">
        <v>4.7</v>
      </c>
      <c r="G126" s="508">
        <v>0</v>
      </c>
      <c r="H126" s="508">
        <v>0</v>
      </c>
      <c r="I126" s="508">
        <v>22.45</v>
      </c>
      <c r="J126" s="508">
        <f t="shared" si="19"/>
        <v>12</v>
      </c>
      <c r="K126" s="508">
        <v>172.51</v>
      </c>
      <c r="L126" s="508">
        <v>76</v>
      </c>
      <c r="M126" s="508">
        <f t="shared" si="20"/>
        <v>248.51</v>
      </c>
      <c r="N126" s="508">
        <f t="shared" si="21"/>
        <v>18.6998471532289</v>
      </c>
      <c r="O126" s="516" t="s">
        <v>72</v>
      </c>
    </row>
    <row r="127" s="487" customFormat="1" customHeight="1" spans="1:15">
      <c r="A127" s="506">
        <v>2040610</v>
      </c>
      <c r="B127" s="507" t="s">
        <v>172</v>
      </c>
      <c r="C127" s="508">
        <v>50</v>
      </c>
      <c r="D127" s="508">
        <v>15</v>
      </c>
      <c r="E127" s="508">
        <f t="shared" si="18"/>
        <v>65</v>
      </c>
      <c r="F127" s="508">
        <v>0</v>
      </c>
      <c r="G127" s="508">
        <v>0</v>
      </c>
      <c r="H127" s="508">
        <v>0</v>
      </c>
      <c r="I127" s="508">
        <v>0</v>
      </c>
      <c r="J127" s="508">
        <f t="shared" si="19"/>
        <v>0</v>
      </c>
      <c r="K127" s="508">
        <v>50</v>
      </c>
      <c r="L127" s="508">
        <v>15</v>
      </c>
      <c r="M127" s="508">
        <f t="shared" si="20"/>
        <v>65</v>
      </c>
      <c r="N127" s="508">
        <f t="shared" si="21"/>
        <v>0</v>
      </c>
      <c r="O127" s="516"/>
    </row>
    <row r="128" s="487" customFormat="1" customHeight="1" spans="1:15">
      <c r="A128" s="506">
        <v>2040699</v>
      </c>
      <c r="B128" s="507" t="s">
        <v>173</v>
      </c>
      <c r="C128" s="508"/>
      <c r="D128" s="508"/>
      <c r="E128" s="508">
        <f t="shared" si="18"/>
        <v>0</v>
      </c>
      <c r="F128" s="508"/>
      <c r="G128" s="508"/>
      <c r="H128" s="508"/>
      <c r="I128" s="508"/>
      <c r="J128" s="508">
        <f t="shared" si="19"/>
        <v>2</v>
      </c>
      <c r="K128" s="509"/>
      <c r="L128" s="509">
        <v>2</v>
      </c>
      <c r="M128" s="508">
        <f t="shared" si="20"/>
        <v>2</v>
      </c>
      <c r="N128" s="508">
        <v>100</v>
      </c>
      <c r="O128" s="516"/>
    </row>
    <row r="129" s="487" customFormat="1" customHeight="1" spans="1:15">
      <c r="A129" s="506">
        <v>20499</v>
      </c>
      <c r="B129" s="507" t="s">
        <v>174</v>
      </c>
      <c r="C129" s="508">
        <f t="shared" ref="C129:I129" si="36">C130</f>
        <v>50</v>
      </c>
      <c r="D129" s="508">
        <f t="shared" si="36"/>
        <v>50</v>
      </c>
      <c r="E129" s="508">
        <f t="shared" si="18"/>
        <v>100</v>
      </c>
      <c r="F129" s="509">
        <f t="shared" si="36"/>
        <v>0</v>
      </c>
      <c r="G129" s="509">
        <f t="shared" si="36"/>
        <v>0</v>
      </c>
      <c r="H129" s="509">
        <f t="shared" si="36"/>
        <v>0</v>
      </c>
      <c r="I129" s="509">
        <f t="shared" si="36"/>
        <v>0</v>
      </c>
      <c r="J129" s="508">
        <f t="shared" si="19"/>
        <v>0</v>
      </c>
      <c r="K129" s="508">
        <v>50</v>
      </c>
      <c r="L129" s="508">
        <v>50</v>
      </c>
      <c r="M129" s="508">
        <f t="shared" si="20"/>
        <v>100</v>
      </c>
      <c r="N129" s="508">
        <f t="shared" si="21"/>
        <v>0</v>
      </c>
      <c r="O129" s="516"/>
    </row>
    <row r="130" s="487" customFormat="1" customHeight="1" spans="1:15">
      <c r="A130" s="506">
        <v>2049901</v>
      </c>
      <c r="B130" s="507" t="s">
        <v>174</v>
      </c>
      <c r="C130" s="508">
        <v>50</v>
      </c>
      <c r="D130" s="508">
        <v>50</v>
      </c>
      <c r="E130" s="508">
        <f t="shared" si="18"/>
        <v>100</v>
      </c>
      <c r="F130" s="508">
        <v>0</v>
      </c>
      <c r="G130" s="508">
        <v>0</v>
      </c>
      <c r="H130" s="508">
        <v>0</v>
      </c>
      <c r="I130" s="508">
        <v>0</v>
      </c>
      <c r="J130" s="508">
        <f t="shared" si="19"/>
        <v>0</v>
      </c>
      <c r="K130" s="508">
        <v>50</v>
      </c>
      <c r="L130" s="508">
        <v>50</v>
      </c>
      <c r="M130" s="508">
        <f t="shared" si="20"/>
        <v>100</v>
      </c>
      <c r="N130" s="508">
        <f t="shared" si="21"/>
        <v>0</v>
      </c>
      <c r="O130" s="516"/>
    </row>
    <row r="131" s="487" customFormat="1" customHeight="1" spans="1:15">
      <c r="A131" s="506">
        <v>205</v>
      </c>
      <c r="B131" s="507" t="s">
        <v>175</v>
      </c>
      <c r="C131" s="508">
        <f t="shared" ref="C131:I131" si="37">C132+C134+C141+C146+C149+C152+C154</f>
        <v>50897.78</v>
      </c>
      <c r="D131" s="508">
        <f t="shared" si="37"/>
        <v>4161</v>
      </c>
      <c r="E131" s="508">
        <f t="shared" si="18"/>
        <v>55058.78</v>
      </c>
      <c r="F131" s="508">
        <f t="shared" si="37"/>
        <v>4974.12</v>
      </c>
      <c r="G131" s="508">
        <f t="shared" si="37"/>
        <v>-20</v>
      </c>
      <c r="H131" s="508">
        <f t="shared" si="37"/>
        <v>0</v>
      </c>
      <c r="I131" s="508">
        <f t="shared" si="37"/>
        <v>2667.31</v>
      </c>
      <c r="J131" s="508">
        <f t="shared" si="19"/>
        <v>1961</v>
      </c>
      <c r="K131" s="508">
        <v>58519.27</v>
      </c>
      <c r="L131" s="508">
        <v>6122</v>
      </c>
      <c r="M131" s="508">
        <f t="shared" si="20"/>
        <v>64641.27</v>
      </c>
      <c r="N131" s="508">
        <f t="shared" si="21"/>
        <v>17.4041088451288</v>
      </c>
      <c r="O131" s="516"/>
    </row>
    <row r="132" s="487" customFormat="1" customHeight="1" spans="1:15">
      <c r="A132" s="506">
        <v>20501</v>
      </c>
      <c r="B132" s="507" t="s">
        <v>176</v>
      </c>
      <c r="C132" s="508">
        <f t="shared" ref="C132:I132" si="38">C133</f>
        <v>482.01</v>
      </c>
      <c r="D132" s="508">
        <f t="shared" si="38"/>
        <v>0</v>
      </c>
      <c r="E132" s="508">
        <f t="shared" si="18"/>
        <v>482.01</v>
      </c>
      <c r="F132" s="509">
        <f t="shared" si="38"/>
        <v>130.05</v>
      </c>
      <c r="G132" s="509">
        <f t="shared" si="38"/>
        <v>0</v>
      </c>
      <c r="H132" s="509">
        <f t="shared" si="38"/>
        <v>0</v>
      </c>
      <c r="I132" s="509">
        <f t="shared" si="38"/>
        <v>172.6</v>
      </c>
      <c r="J132" s="508">
        <f t="shared" si="19"/>
        <v>0</v>
      </c>
      <c r="K132" s="508">
        <v>784.66</v>
      </c>
      <c r="L132" s="508">
        <v>0</v>
      </c>
      <c r="M132" s="508">
        <f t="shared" si="20"/>
        <v>784.66</v>
      </c>
      <c r="N132" s="508">
        <f t="shared" si="21"/>
        <v>62.7891537519968</v>
      </c>
      <c r="O132" s="516"/>
    </row>
    <row r="133" s="487" customFormat="1" customHeight="1" spans="1:15">
      <c r="A133" s="506">
        <v>2050101</v>
      </c>
      <c r="B133" s="507" t="s">
        <v>71</v>
      </c>
      <c r="C133" s="508">
        <v>482.01</v>
      </c>
      <c r="D133" s="508"/>
      <c r="E133" s="508">
        <f t="shared" si="18"/>
        <v>482.01</v>
      </c>
      <c r="F133" s="508">
        <v>130.05</v>
      </c>
      <c r="G133" s="508">
        <v>0</v>
      </c>
      <c r="H133" s="508">
        <v>0</v>
      </c>
      <c r="I133" s="508">
        <v>172.6</v>
      </c>
      <c r="J133" s="508">
        <f t="shared" si="19"/>
        <v>0</v>
      </c>
      <c r="K133" s="508">
        <v>784.66</v>
      </c>
      <c r="L133" s="508">
        <v>0</v>
      </c>
      <c r="M133" s="508">
        <f t="shared" si="20"/>
        <v>784.66</v>
      </c>
      <c r="N133" s="508">
        <f t="shared" si="21"/>
        <v>62.7891537519968</v>
      </c>
      <c r="O133" s="516" t="s">
        <v>72</v>
      </c>
    </row>
    <row r="134" s="487" customFormat="1" customHeight="1" spans="1:15">
      <c r="A134" s="506">
        <v>20502</v>
      </c>
      <c r="B134" s="507" t="s">
        <v>177</v>
      </c>
      <c r="C134" s="508">
        <f t="shared" ref="C134:I134" si="39">C135+C136+C137+C138+C139+C140</f>
        <v>45537.78</v>
      </c>
      <c r="D134" s="508">
        <f t="shared" si="39"/>
        <v>4159</v>
      </c>
      <c r="E134" s="508">
        <f t="shared" ref="E134:E197" si="40">C134+D134</f>
        <v>49696.78</v>
      </c>
      <c r="F134" s="509">
        <f t="shared" si="39"/>
        <v>4829.05</v>
      </c>
      <c r="G134" s="509">
        <f t="shared" si="39"/>
        <v>-20</v>
      </c>
      <c r="H134" s="509">
        <f t="shared" si="39"/>
        <v>0</v>
      </c>
      <c r="I134" s="509">
        <f t="shared" si="39"/>
        <v>2452.86</v>
      </c>
      <c r="J134" s="508">
        <f t="shared" ref="J134:J197" si="41">L134-D134</f>
        <v>1846</v>
      </c>
      <c r="K134" s="508">
        <v>52799.74</v>
      </c>
      <c r="L134" s="508">
        <v>6005</v>
      </c>
      <c r="M134" s="508">
        <f t="shared" ref="M134:M197" si="42">K134+L134</f>
        <v>58804.74</v>
      </c>
      <c r="N134" s="508">
        <f t="shared" si="21"/>
        <v>18.3270626386659</v>
      </c>
      <c r="O134" s="516"/>
    </row>
    <row r="135" s="487" customFormat="1" customHeight="1" spans="1:15">
      <c r="A135" s="506">
        <v>2050201</v>
      </c>
      <c r="B135" s="507" t="s">
        <v>178</v>
      </c>
      <c r="C135" s="508">
        <v>717.64</v>
      </c>
      <c r="D135" s="508">
        <v>284</v>
      </c>
      <c r="E135" s="508">
        <f t="shared" si="40"/>
        <v>1001.64</v>
      </c>
      <c r="F135" s="508">
        <v>-16.37</v>
      </c>
      <c r="G135" s="508">
        <v>0</v>
      </c>
      <c r="H135" s="508">
        <v>0</v>
      </c>
      <c r="I135" s="508">
        <v>26.7</v>
      </c>
      <c r="J135" s="508">
        <f t="shared" si="41"/>
        <v>498</v>
      </c>
      <c r="K135" s="508">
        <v>727.99</v>
      </c>
      <c r="L135" s="508">
        <v>782</v>
      </c>
      <c r="M135" s="508">
        <f t="shared" si="42"/>
        <v>1509.99</v>
      </c>
      <c r="N135" s="508">
        <f t="shared" ref="N135:N198" si="43">(M135-E135)/E135*100</f>
        <v>50.7517671019528</v>
      </c>
      <c r="O135" s="516" t="s">
        <v>72</v>
      </c>
    </row>
    <row r="136" s="487" customFormat="1" ht="65" customHeight="1" spans="1:15">
      <c r="A136" s="506">
        <v>2050202</v>
      </c>
      <c r="B136" s="507" t="s">
        <v>179</v>
      </c>
      <c r="C136" s="508">
        <v>20595.79</v>
      </c>
      <c r="D136" s="508">
        <v>1983</v>
      </c>
      <c r="E136" s="508">
        <f t="shared" si="40"/>
        <v>22578.79</v>
      </c>
      <c r="F136" s="508">
        <v>2184.69</v>
      </c>
      <c r="G136" s="508">
        <v>0</v>
      </c>
      <c r="H136" s="508">
        <v>0</v>
      </c>
      <c r="I136" s="508">
        <v>1054.33</v>
      </c>
      <c r="J136" s="508">
        <f t="shared" si="41"/>
        <v>682</v>
      </c>
      <c r="K136" s="508">
        <v>23834.81</v>
      </c>
      <c r="L136" s="508">
        <v>2665</v>
      </c>
      <c r="M136" s="508">
        <f t="shared" si="42"/>
        <v>26499.81</v>
      </c>
      <c r="N136" s="508">
        <f t="shared" si="43"/>
        <v>17.3659438791893</v>
      </c>
      <c r="O136" s="517" t="s">
        <v>180</v>
      </c>
    </row>
    <row r="137" s="487" customFormat="1" customHeight="1" spans="1:15">
      <c r="A137" s="506">
        <v>2050203</v>
      </c>
      <c r="B137" s="507" t="s">
        <v>181</v>
      </c>
      <c r="C137" s="508">
        <v>10836.26</v>
      </c>
      <c r="D137" s="508">
        <v>943</v>
      </c>
      <c r="E137" s="508">
        <f t="shared" si="40"/>
        <v>11779.26</v>
      </c>
      <c r="F137" s="508">
        <v>-601.36</v>
      </c>
      <c r="G137" s="508">
        <v>0</v>
      </c>
      <c r="H137" s="508">
        <v>0</v>
      </c>
      <c r="I137" s="508">
        <v>441.95</v>
      </c>
      <c r="J137" s="508">
        <f t="shared" si="41"/>
        <v>493</v>
      </c>
      <c r="K137" s="508">
        <v>10676.85</v>
      </c>
      <c r="L137" s="508">
        <v>1436</v>
      </c>
      <c r="M137" s="508">
        <f t="shared" si="42"/>
        <v>12112.85</v>
      </c>
      <c r="N137" s="508">
        <f t="shared" si="43"/>
        <v>2.8320115185504</v>
      </c>
      <c r="O137" s="516" t="s">
        <v>72</v>
      </c>
    </row>
    <row r="138" s="487" customFormat="1" ht="30" customHeight="1" spans="1:15">
      <c r="A138" s="506">
        <v>2050204</v>
      </c>
      <c r="B138" s="507" t="s">
        <v>182</v>
      </c>
      <c r="C138" s="508">
        <v>9933.51</v>
      </c>
      <c r="D138" s="508">
        <v>466</v>
      </c>
      <c r="E138" s="508">
        <f t="shared" si="40"/>
        <v>10399.51</v>
      </c>
      <c r="F138" s="508">
        <v>168.18</v>
      </c>
      <c r="G138" s="508">
        <v>0</v>
      </c>
      <c r="H138" s="508">
        <v>0</v>
      </c>
      <c r="I138" s="508">
        <v>484.19</v>
      </c>
      <c r="J138" s="508">
        <f t="shared" si="41"/>
        <v>20</v>
      </c>
      <c r="K138" s="508">
        <v>10585.91</v>
      </c>
      <c r="L138" s="508">
        <v>486</v>
      </c>
      <c r="M138" s="508">
        <f t="shared" si="42"/>
        <v>11071.91</v>
      </c>
      <c r="N138" s="508">
        <f t="shared" si="43"/>
        <v>6.46568924882037</v>
      </c>
      <c r="O138" s="516" t="s">
        <v>183</v>
      </c>
    </row>
    <row r="139" s="487" customFormat="1" customHeight="1" spans="1:15">
      <c r="A139" s="506">
        <v>2050205</v>
      </c>
      <c r="B139" s="507" t="s">
        <v>184</v>
      </c>
      <c r="C139" s="508">
        <v>3.56</v>
      </c>
      <c r="D139" s="508">
        <v>2</v>
      </c>
      <c r="E139" s="508">
        <f t="shared" si="40"/>
        <v>5.56</v>
      </c>
      <c r="F139" s="508">
        <v>0</v>
      </c>
      <c r="G139" s="508">
        <v>0</v>
      </c>
      <c r="H139" s="508">
        <v>0</v>
      </c>
      <c r="I139" s="508">
        <v>6.75</v>
      </c>
      <c r="J139" s="508">
        <f t="shared" si="41"/>
        <v>0</v>
      </c>
      <c r="K139" s="508">
        <v>10.31</v>
      </c>
      <c r="L139" s="508">
        <v>2</v>
      </c>
      <c r="M139" s="508">
        <f t="shared" si="42"/>
        <v>12.31</v>
      </c>
      <c r="N139" s="508">
        <f t="shared" si="43"/>
        <v>121.402877697842</v>
      </c>
      <c r="O139" s="516"/>
    </row>
    <row r="140" s="487" customFormat="1" ht="80" customHeight="1" spans="1:15">
      <c r="A140" s="506">
        <v>2050299</v>
      </c>
      <c r="B140" s="507" t="s">
        <v>185</v>
      </c>
      <c r="C140" s="508">
        <v>3451.02</v>
      </c>
      <c r="D140" s="508">
        <v>481</v>
      </c>
      <c r="E140" s="508">
        <f t="shared" si="40"/>
        <v>3932.02</v>
      </c>
      <c r="F140" s="508">
        <v>3093.91</v>
      </c>
      <c r="G140" s="508">
        <v>-20</v>
      </c>
      <c r="H140" s="508">
        <v>0</v>
      </c>
      <c r="I140" s="508">
        <v>438.94</v>
      </c>
      <c r="J140" s="508">
        <f t="shared" si="41"/>
        <v>153</v>
      </c>
      <c r="K140" s="508">
        <v>6963.87</v>
      </c>
      <c r="L140" s="508">
        <v>634</v>
      </c>
      <c r="M140" s="508">
        <f t="shared" si="42"/>
        <v>7597.87</v>
      </c>
      <c r="N140" s="508">
        <f t="shared" si="43"/>
        <v>93.2307058458502</v>
      </c>
      <c r="O140" s="516" t="s">
        <v>186</v>
      </c>
    </row>
    <row r="141" s="487" customFormat="1" customHeight="1" spans="1:15">
      <c r="A141" s="506">
        <v>20503</v>
      </c>
      <c r="B141" s="507" t="s">
        <v>187</v>
      </c>
      <c r="C141" s="508">
        <f t="shared" ref="C141:I141" si="44">C142+C143+C144+C145</f>
        <v>753.13</v>
      </c>
      <c r="D141" s="508">
        <f t="shared" si="44"/>
        <v>2</v>
      </c>
      <c r="E141" s="508">
        <f t="shared" si="40"/>
        <v>755.13</v>
      </c>
      <c r="F141" s="509">
        <f t="shared" si="44"/>
        <v>40.02</v>
      </c>
      <c r="G141" s="509">
        <f t="shared" si="44"/>
        <v>0</v>
      </c>
      <c r="H141" s="509">
        <f t="shared" si="44"/>
        <v>0</v>
      </c>
      <c r="I141" s="509">
        <f t="shared" si="44"/>
        <v>30.8</v>
      </c>
      <c r="J141" s="508">
        <f t="shared" si="41"/>
        <v>0</v>
      </c>
      <c r="K141" s="508">
        <v>823.96</v>
      </c>
      <c r="L141" s="508">
        <v>2</v>
      </c>
      <c r="M141" s="508">
        <f t="shared" si="42"/>
        <v>825.96</v>
      </c>
      <c r="N141" s="508">
        <f t="shared" si="43"/>
        <v>9.37984188153034</v>
      </c>
      <c r="O141" s="516"/>
    </row>
    <row r="142" s="487" customFormat="1" customHeight="1" spans="1:15">
      <c r="A142" s="506">
        <v>2050302</v>
      </c>
      <c r="B142" s="507" t="s">
        <v>188</v>
      </c>
      <c r="C142" s="508">
        <v>613.41</v>
      </c>
      <c r="D142" s="508"/>
      <c r="E142" s="508">
        <f t="shared" si="40"/>
        <v>613.41</v>
      </c>
      <c r="F142" s="508">
        <v>28.08</v>
      </c>
      <c r="G142" s="508">
        <v>0</v>
      </c>
      <c r="H142" s="508">
        <v>0</v>
      </c>
      <c r="I142" s="508">
        <v>30.8</v>
      </c>
      <c r="J142" s="508">
        <f t="shared" si="41"/>
        <v>1</v>
      </c>
      <c r="K142" s="508">
        <v>672.3</v>
      </c>
      <c r="L142" s="508">
        <v>1</v>
      </c>
      <c r="M142" s="508">
        <f t="shared" si="42"/>
        <v>673.3</v>
      </c>
      <c r="N142" s="508">
        <f t="shared" si="43"/>
        <v>9.76345348135831</v>
      </c>
      <c r="O142" s="516" t="s">
        <v>72</v>
      </c>
    </row>
    <row r="143" s="487" customFormat="1" customHeight="1" spans="1:15">
      <c r="A143" s="506">
        <v>2050303</v>
      </c>
      <c r="B143" s="507" t="s">
        <v>189</v>
      </c>
      <c r="C143" s="508">
        <v>0.24</v>
      </c>
      <c r="D143" s="508">
        <v>1</v>
      </c>
      <c r="E143" s="508">
        <f t="shared" si="40"/>
        <v>1.24</v>
      </c>
      <c r="F143" s="508">
        <v>-0.06</v>
      </c>
      <c r="G143" s="508">
        <v>0</v>
      </c>
      <c r="H143" s="508">
        <v>0</v>
      </c>
      <c r="I143" s="508">
        <v>0</v>
      </c>
      <c r="J143" s="508">
        <f t="shared" si="41"/>
        <v>0</v>
      </c>
      <c r="K143" s="508">
        <v>0.18</v>
      </c>
      <c r="L143" s="508">
        <v>1</v>
      </c>
      <c r="M143" s="508">
        <f t="shared" si="42"/>
        <v>1.18</v>
      </c>
      <c r="N143" s="508">
        <f t="shared" si="43"/>
        <v>-4.83870967741936</v>
      </c>
      <c r="O143" s="516"/>
    </row>
    <row r="144" s="487" customFormat="1" customHeight="1" spans="1:15">
      <c r="A144" s="506">
        <v>2050305</v>
      </c>
      <c r="B144" s="507" t="s">
        <v>190</v>
      </c>
      <c r="C144" s="508">
        <v>139.48</v>
      </c>
      <c r="D144" s="508">
        <v>1</v>
      </c>
      <c r="E144" s="508">
        <f t="shared" si="40"/>
        <v>140.48</v>
      </c>
      <c r="F144" s="508">
        <v>0</v>
      </c>
      <c r="G144" s="508">
        <v>0</v>
      </c>
      <c r="H144" s="508">
        <v>0</v>
      </c>
      <c r="I144" s="508">
        <v>0</v>
      </c>
      <c r="J144" s="508">
        <f t="shared" si="41"/>
        <v>-1</v>
      </c>
      <c r="K144" s="508">
        <v>139.48</v>
      </c>
      <c r="L144" s="508">
        <v>0</v>
      </c>
      <c r="M144" s="508">
        <f t="shared" si="42"/>
        <v>139.48</v>
      </c>
      <c r="N144" s="508">
        <f t="shared" si="43"/>
        <v>-0.711845102505695</v>
      </c>
      <c r="O144" s="516"/>
    </row>
    <row r="145" s="487" customFormat="1" ht="43" customHeight="1" spans="1:15">
      <c r="A145" s="506">
        <v>2050399</v>
      </c>
      <c r="B145" s="507" t="s">
        <v>191</v>
      </c>
      <c r="C145" s="508">
        <v>0</v>
      </c>
      <c r="D145" s="508"/>
      <c r="E145" s="508">
        <f t="shared" si="40"/>
        <v>0</v>
      </c>
      <c r="F145" s="508">
        <v>12</v>
      </c>
      <c r="G145" s="508">
        <v>0</v>
      </c>
      <c r="H145" s="508">
        <v>0</v>
      </c>
      <c r="I145" s="508">
        <v>0</v>
      </c>
      <c r="J145" s="508">
        <f t="shared" si="41"/>
        <v>0</v>
      </c>
      <c r="K145" s="508">
        <v>12</v>
      </c>
      <c r="L145" s="508">
        <v>0</v>
      </c>
      <c r="M145" s="508">
        <f t="shared" si="42"/>
        <v>12</v>
      </c>
      <c r="N145" s="508">
        <v>100</v>
      </c>
      <c r="O145" s="516" t="s">
        <v>192</v>
      </c>
    </row>
    <row r="146" s="487" customFormat="1" customHeight="1" spans="1:15">
      <c r="A146" s="506">
        <v>20507</v>
      </c>
      <c r="B146" s="507" t="s">
        <v>193</v>
      </c>
      <c r="C146" s="508">
        <f t="shared" ref="C146:I146" si="45">C147+C148</f>
        <v>36.86</v>
      </c>
      <c r="D146" s="508">
        <f t="shared" si="45"/>
        <v>0</v>
      </c>
      <c r="E146" s="508">
        <f t="shared" si="40"/>
        <v>36.86</v>
      </c>
      <c r="F146" s="509">
        <f t="shared" si="45"/>
        <v>0</v>
      </c>
      <c r="G146" s="509">
        <f t="shared" si="45"/>
        <v>0</v>
      </c>
      <c r="H146" s="509">
        <f t="shared" si="45"/>
        <v>0</v>
      </c>
      <c r="I146" s="509">
        <f t="shared" si="45"/>
        <v>11.05</v>
      </c>
      <c r="J146" s="508">
        <f t="shared" si="41"/>
        <v>115</v>
      </c>
      <c r="K146" s="508">
        <v>47.91</v>
      </c>
      <c r="L146" s="508">
        <v>115</v>
      </c>
      <c r="M146" s="508">
        <f t="shared" si="42"/>
        <v>162.91</v>
      </c>
      <c r="N146" s="508">
        <f t="shared" si="43"/>
        <v>341.969614758546</v>
      </c>
      <c r="O146" s="516"/>
    </row>
    <row r="147" s="487" customFormat="1" customHeight="1" spans="1:15">
      <c r="A147" s="506">
        <v>2050701</v>
      </c>
      <c r="B147" s="507" t="s">
        <v>194</v>
      </c>
      <c r="C147" s="508">
        <v>8.9</v>
      </c>
      <c r="D147" s="508"/>
      <c r="E147" s="508">
        <f t="shared" si="40"/>
        <v>8.9</v>
      </c>
      <c r="F147" s="508">
        <v>0</v>
      </c>
      <c r="G147" s="508">
        <v>0</v>
      </c>
      <c r="H147" s="508">
        <v>0</v>
      </c>
      <c r="I147" s="508">
        <v>11.05</v>
      </c>
      <c r="J147" s="508">
        <f t="shared" si="41"/>
        <v>115</v>
      </c>
      <c r="K147" s="508">
        <v>19.95</v>
      </c>
      <c r="L147" s="508">
        <v>115</v>
      </c>
      <c r="M147" s="508">
        <f t="shared" si="42"/>
        <v>134.95</v>
      </c>
      <c r="N147" s="508">
        <f t="shared" si="43"/>
        <v>1416.29213483146</v>
      </c>
      <c r="O147" s="516"/>
    </row>
    <row r="148" s="487" customFormat="1" customHeight="1" spans="1:15">
      <c r="A148" s="506">
        <v>2050799</v>
      </c>
      <c r="B148" s="507" t="s">
        <v>195</v>
      </c>
      <c r="C148" s="508">
        <v>27.96</v>
      </c>
      <c r="D148" s="508"/>
      <c r="E148" s="508">
        <f t="shared" si="40"/>
        <v>27.96</v>
      </c>
      <c r="F148" s="508">
        <v>0</v>
      </c>
      <c r="G148" s="508">
        <v>0</v>
      </c>
      <c r="H148" s="508">
        <v>0</v>
      </c>
      <c r="I148" s="508">
        <v>0</v>
      </c>
      <c r="J148" s="508">
        <f t="shared" si="41"/>
        <v>0</v>
      </c>
      <c r="K148" s="508">
        <v>27.96</v>
      </c>
      <c r="L148" s="508">
        <v>0</v>
      </c>
      <c r="M148" s="508">
        <f t="shared" si="42"/>
        <v>27.96</v>
      </c>
      <c r="N148" s="508">
        <f t="shared" si="43"/>
        <v>0</v>
      </c>
      <c r="O148" s="516"/>
    </row>
    <row r="149" s="487" customFormat="1" customHeight="1" spans="1:15">
      <c r="A149" s="506">
        <v>20508</v>
      </c>
      <c r="B149" s="507" t="s">
        <v>196</v>
      </c>
      <c r="C149" s="508">
        <f t="shared" ref="C149:I149" si="46">C150+C151</f>
        <v>1051</v>
      </c>
      <c r="D149" s="508">
        <f t="shared" si="46"/>
        <v>0</v>
      </c>
      <c r="E149" s="508">
        <f t="shared" si="40"/>
        <v>1051</v>
      </c>
      <c r="F149" s="508">
        <f t="shared" si="46"/>
        <v>-5</v>
      </c>
      <c r="G149" s="508">
        <f t="shared" si="46"/>
        <v>0</v>
      </c>
      <c r="H149" s="508">
        <f t="shared" si="46"/>
        <v>0</v>
      </c>
      <c r="I149" s="508">
        <f t="shared" si="46"/>
        <v>0</v>
      </c>
      <c r="J149" s="508">
        <f t="shared" si="41"/>
        <v>0</v>
      </c>
      <c r="K149" s="508">
        <v>1046</v>
      </c>
      <c r="L149" s="508">
        <v>0</v>
      </c>
      <c r="M149" s="508">
        <f t="shared" si="42"/>
        <v>1046</v>
      </c>
      <c r="N149" s="508">
        <f t="shared" si="43"/>
        <v>-0.475737392959087</v>
      </c>
      <c r="O149" s="517"/>
    </row>
    <row r="150" s="487" customFormat="1" customHeight="1" spans="1:15">
      <c r="A150" s="506">
        <v>2050801</v>
      </c>
      <c r="B150" s="507" t="s">
        <v>197</v>
      </c>
      <c r="C150" s="508">
        <v>1040</v>
      </c>
      <c r="D150" s="508"/>
      <c r="E150" s="508">
        <f t="shared" si="40"/>
        <v>1040</v>
      </c>
      <c r="F150" s="508">
        <v>0</v>
      </c>
      <c r="G150" s="508">
        <v>0</v>
      </c>
      <c r="H150" s="508">
        <v>0</v>
      </c>
      <c r="I150" s="508">
        <v>0</v>
      </c>
      <c r="J150" s="508">
        <f t="shared" si="41"/>
        <v>0</v>
      </c>
      <c r="K150" s="508">
        <v>1040</v>
      </c>
      <c r="L150" s="508">
        <v>0</v>
      </c>
      <c r="M150" s="508">
        <f t="shared" si="42"/>
        <v>1040</v>
      </c>
      <c r="N150" s="508">
        <f t="shared" si="43"/>
        <v>0</v>
      </c>
      <c r="O150" s="517"/>
    </row>
    <row r="151" s="487" customFormat="1" customHeight="1" spans="1:15">
      <c r="A151" s="506">
        <v>2050803</v>
      </c>
      <c r="B151" s="507" t="s">
        <v>198</v>
      </c>
      <c r="C151" s="508">
        <v>11</v>
      </c>
      <c r="D151" s="508"/>
      <c r="E151" s="508">
        <f t="shared" si="40"/>
        <v>11</v>
      </c>
      <c r="F151" s="508">
        <v>-5</v>
      </c>
      <c r="G151" s="508">
        <v>0</v>
      </c>
      <c r="H151" s="508">
        <v>0</v>
      </c>
      <c r="I151" s="508">
        <v>0</v>
      </c>
      <c r="J151" s="508">
        <f t="shared" si="41"/>
        <v>0</v>
      </c>
      <c r="K151" s="508">
        <v>6</v>
      </c>
      <c r="L151" s="508">
        <v>0</v>
      </c>
      <c r="M151" s="508">
        <f t="shared" si="42"/>
        <v>6</v>
      </c>
      <c r="N151" s="508">
        <f t="shared" si="43"/>
        <v>-45.4545454545455</v>
      </c>
      <c r="O151" s="516" t="s">
        <v>199</v>
      </c>
    </row>
    <row r="152" s="487" customFormat="1" customHeight="1" spans="1:15">
      <c r="A152" s="506">
        <v>20509</v>
      </c>
      <c r="B152" s="507" t="s">
        <v>200</v>
      </c>
      <c r="C152" s="508">
        <f t="shared" ref="C152:I152" si="47">C153</f>
        <v>2719</v>
      </c>
      <c r="D152" s="508">
        <f t="shared" si="47"/>
        <v>0</v>
      </c>
      <c r="E152" s="508">
        <f t="shared" si="40"/>
        <v>2719</v>
      </c>
      <c r="F152" s="508">
        <f t="shared" si="47"/>
        <v>180</v>
      </c>
      <c r="G152" s="508">
        <f t="shared" si="47"/>
        <v>0</v>
      </c>
      <c r="H152" s="508">
        <f t="shared" si="47"/>
        <v>0</v>
      </c>
      <c r="I152" s="508">
        <f t="shared" si="47"/>
        <v>0</v>
      </c>
      <c r="J152" s="508">
        <f t="shared" si="41"/>
        <v>0</v>
      </c>
      <c r="K152" s="508">
        <v>2899</v>
      </c>
      <c r="L152" s="508">
        <v>0</v>
      </c>
      <c r="M152" s="508">
        <f t="shared" si="42"/>
        <v>2899</v>
      </c>
      <c r="N152" s="508">
        <f t="shared" si="43"/>
        <v>6.62008091210004</v>
      </c>
      <c r="O152" s="517"/>
    </row>
    <row r="153" s="487" customFormat="1" ht="106" customHeight="1" spans="1:15">
      <c r="A153" s="506">
        <v>2050999</v>
      </c>
      <c r="B153" s="507" t="s">
        <v>201</v>
      </c>
      <c r="C153" s="508">
        <v>2719</v>
      </c>
      <c r="D153" s="508"/>
      <c r="E153" s="508">
        <f t="shared" si="40"/>
        <v>2719</v>
      </c>
      <c r="F153" s="508">
        <v>180</v>
      </c>
      <c r="G153" s="508">
        <v>0</v>
      </c>
      <c r="H153" s="508">
        <v>0</v>
      </c>
      <c r="I153" s="508">
        <v>0</v>
      </c>
      <c r="J153" s="508">
        <f t="shared" si="41"/>
        <v>0</v>
      </c>
      <c r="K153" s="508">
        <v>2899</v>
      </c>
      <c r="L153" s="508">
        <v>0</v>
      </c>
      <c r="M153" s="508">
        <f t="shared" si="42"/>
        <v>2899</v>
      </c>
      <c r="N153" s="508">
        <f t="shared" si="43"/>
        <v>6.62008091210004</v>
      </c>
      <c r="O153" s="516" t="s">
        <v>202</v>
      </c>
    </row>
    <row r="154" s="487" customFormat="1" customHeight="1" spans="1:15">
      <c r="A154" s="506">
        <v>20599</v>
      </c>
      <c r="B154" s="507" t="s">
        <v>203</v>
      </c>
      <c r="C154" s="508">
        <f t="shared" ref="C154:I154" si="48">C155</f>
        <v>318</v>
      </c>
      <c r="D154" s="508">
        <f t="shared" si="48"/>
        <v>0</v>
      </c>
      <c r="E154" s="508">
        <f t="shared" si="40"/>
        <v>318</v>
      </c>
      <c r="F154" s="508">
        <f t="shared" si="48"/>
        <v>-200</v>
      </c>
      <c r="G154" s="508">
        <f t="shared" si="48"/>
        <v>0</v>
      </c>
      <c r="H154" s="508">
        <f t="shared" si="48"/>
        <v>0</v>
      </c>
      <c r="I154" s="508">
        <f t="shared" si="48"/>
        <v>0</v>
      </c>
      <c r="J154" s="508">
        <f t="shared" si="41"/>
        <v>0</v>
      </c>
      <c r="K154" s="508">
        <v>118</v>
      </c>
      <c r="L154" s="508">
        <v>0</v>
      </c>
      <c r="M154" s="508">
        <f t="shared" si="42"/>
        <v>118</v>
      </c>
      <c r="N154" s="508">
        <f t="shared" si="43"/>
        <v>-62.8930817610063</v>
      </c>
      <c r="O154" s="516"/>
    </row>
    <row r="155" s="487" customFormat="1" ht="33" customHeight="1" spans="1:15">
      <c r="A155" s="506">
        <v>2059999</v>
      </c>
      <c r="B155" s="507" t="s">
        <v>203</v>
      </c>
      <c r="C155" s="508">
        <v>318</v>
      </c>
      <c r="D155" s="508"/>
      <c r="E155" s="508">
        <f t="shared" si="40"/>
        <v>318</v>
      </c>
      <c r="F155" s="508">
        <v>-200</v>
      </c>
      <c r="G155" s="508">
        <v>0</v>
      </c>
      <c r="H155" s="508">
        <v>0</v>
      </c>
      <c r="I155" s="508">
        <v>0</v>
      </c>
      <c r="J155" s="508">
        <f t="shared" si="41"/>
        <v>0</v>
      </c>
      <c r="K155" s="508">
        <v>118</v>
      </c>
      <c r="L155" s="508">
        <v>0</v>
      </c>
      <c r="M155" s="508">
        <f t="shared" si="42"/>
        <v>118</v>
      </c>
      <c r="N155" s="508">
        <f t="shared" si="43"/>
        <v>-62.8930817610063</v>
      </c>
      <c r="O155" s="516" t="s">
        <v>204</v>
      </c>
    </row>
    <row r="156" s="487" customFormat="1" customHeight="1" spans="1:15">
      <c r="A156" s="506">
        <v>206</v>
      </c>
      <c r="B156" s="507" t="s">
        <v>205</v>
      </c>
      <c r="C156" s="508">
        <f t="shared" ref="C156:I156" si="49">C157+C161+C163+C159</f>
        <v>547.71</v>
      </c>
      <c r="D156" s="508">
        <f t="shared" si="49"/>
        <v>532</v>
      </c>
      <c r="E156" s="508">
        <f t="shared" si="40"/>
        <v>1079.71</v>
      </c>
      <c r="F156" s="508">
        <f t="shared" si="49"/>
        <v>304.61</v>
      </c>
      <c r="G156" s="508">
        <f t="shared" si="49"/>
        <v>0</v>
      </c>
      <c r="H156" s="508">
        <f t="shared" si="49"/>
        <v>-204.91</v>
      </c>
      <c r="I156" s="508">
        <f t="shared" si="49"/>
        <v>0</v>
      </c>
      <c r="J156" s="508">
        <f t="shared" si="41"/>
        <v>-58</v>
      </c>
      <c r="K156" s="508">
        <v>647.41</v>
      </c>
      <c r="L156" s="508">
        <v>474</v>
      </c>
      <c r="M156" s="508">
        <f t="shared" si="42"/>
        <v>1121.41</v>
      </c>
      <c r="N156" s="508">
        <f t="shared" si="43"/>
        <v>3.86214816941584</v>
      </c>
      <c r="O156" s="516"/>
    </row>
    <row r="157" s="487" customFormat="1" customHeight="1" spans="1:15">
      <c r="A157" s="506">
        <v>20601</v>
      </c>
      <c r="B157" s="507" t="s">
        <v>206</v>
      </c>
      <c r="C157" s="508">
        <f t="shared" ref="C157:I157" si="50">C158</f>
        <v>5</v>
      </c>
      <c r="D157" s="508">
        <f t="shared" si="50"/>
        <v>0</v>
      </c>
      <c r="E157" s="508">
        <f t="shared" si="40"/>
        <v>5</v>
      </c>
      <c r="F157" s="508">
        <f t="shared" si="50"/>
        <v>0</v>
      </c>
      <c r="G157" s="508">
        <f t="shared" si="50"/>
        <v>0</v>
      </c>
      <c r="H157" s="508">
        <f t="shared" si="50"/>
        <v>0</v>
      </c>
      <c r="I157" s="508">
        <f t="shared" si="50"/>
        <v>0</v>
      </c>
      <c r="J157" s="508">
        <f t="shared" si="41"/>
        <v>0</v>
      </c>
      <c r="K157" s="508">
        <v>5</v>
      </c>
      <c r="L157" s="508">
        <v>0</v>
      </c>
      <c r="M157" s="508">
        <f t="shared" si="42"/>
        <v>5</v>
      </c>
      <c r="N157" s="508">
        <f t="shared" si="43"/>
        <v>0</v>
      </c>
      <c r="O157" s="516"/>
    </row>
    <row r="158" s="487" customFormat="1" customHeight="1" spans="1:15">
      <c r="A158" s="506">
        <v>2060101</v>
      </c>
      <c r="B158" s="507" t="s">
        <v>71</v>
      </c>
      <c r="C158" s="508">
        <v>5</v>
      </c>
      <c r="D158" s="508"/>
      <c r="E158" s="508">
        <f t="shared" si="40"/>
        <v>5</v>
      </c>
      <c r="F158" s="508">
        <v>0</v>
      </c>
      <c r="G158" s="508">
        <v>0</v>
      </c>
      <c r="H158" s="508">
        <v>0</v>
      </c>
      <c r="I158" s="508">
        <v>0</v>
      </c>
      <c r="J158" s="508">
        <f t="shared" si="41"/>
        <v>0</v>
      </c>
      <c r="K158" s="508">
        <v>5</v>
      </c>
      <c r="L158" s="508">
        <v>0</v>
      </c>
      <c r="M158" s="508">
        <f t="shared" si="42"/>
        <v>5</v>
      </c>
      <c r="N158" s="508">
        <f t="shared" si="43"/>
        <v>0</v>
      </c>
      <c r="O158" s="516"/>
    </row>
    <row r="159" s="487" customFormat="1" ht="31" customHeight="1" spans="1:15">
      <c r="A159" s="506">
        <v>20604</v>
      </c>
      <c r="B159" s="507" t="s">
        <v>207</v>
      </c>
      <c r="C159" s="508">
        <f t="shared" ref="C159:I159" si="51">C160</f>
        <v>0</v>
      </c>
      <c r="D159" s="508">
        <f t="shared" si="51"/>
        <v>332</v>
      </c>
      <c r="E159" s="508">
        <f t="shared" si="40"/>
        <v>332</v>
      </c>
      <c r="F159" s="508">
        <f t="shared" si="51"/>
        <v>22.41</v>
      </c>
      <c r="G159" s="508">
        <f t="shared" si="51"/>
        <v>0</v>
      </c>
      <c r="H159" s="508">
        <f t="shared" si="51"/>
        <v>0</v>
      </c>
      <c r="I159" s="508">
        <f t="shared" si="51"/>
        <v>0</v>
      </c>
      <c r="J159" s="508">
        <f t="shared" si="41"/>
        <v>137</v>
      </c>
      <c r="K159" s="508">
        <v>22.41</v>
      </c>
      <c r="L159" s="508">
        <v>469</v>
      </c>
      <c r="M159" s="508">
        <f t="shared" si="42"/>
        <v>491.41</v>
      </c>
      <c r="N159" s="508">
        <f t="shared" si="43"/>
        <v>48.0150602409639</v>
      </c>
      <c r="O159" s="516"/>
    </row>
    <row r="160" s="487" customFormat="1" ht="80" customHeight="1" spans="1:15">
      <c r="A160" s="506" t="s">
        <v>208</v>
      </c>
      <c r="B160" s="507" t="s">
        <v>209</v>
      </c>
      <c r="C160" s="508">
        <v>0</v>
      </c>
      <c r="D160" s="508">
        <v>332</v>
      </c>
      <c r="E160" s="508">
        <f t="shared" si="40"/>
        <v>332</v>
      </c>
      <c r="F160" s="508">
        <v>22.41</v>
      </c>
      <c r="G160" s="508">
        <v>0</v>
      </c>
      <c r="H160" s="508">
        <v>0</v>
      </c>
      <c r="I160" s="508">
        <v>0</v>
      </c>
      <c r="J160" s="508">
        <f t="shared" si="41"/>
        <v>137</v>
      </c>
      <c r="K160" s="508">
        <v>22.41</v>
      </c>
      <c r="L160" s="508">
        <v>469</v>
      </c>
      <c r="M160" s="508">
        <f t="shared" si="42"/>
        <v>491.41</v>
      </c>
      <c r="N160" s="508">
        <f t="shared" si="43"/>
        <v>48.0150602409639</v>
      </c>
      <c r="O160" s="516" t="s">
        <v>210</v>
      </c>
    </row>
    <row r="161" s="487" customFormat="1" customHeight="1" spans="1:15">
      <c r="A161" s="506">
        <v>20607</v>
      </c>
      <c r="B161" s="507" t="s">
        <v>211</v>
      </c>
      <c r="C161" s="508">
        <f t="shared" ref="C161:I161" si="52">C162</f>
        <v>14</v>
      </c>
      <c r="D161" s="508">
        <f t="shared" si="52"/>
        <v>0</v>
      </c>
      <c r="E161" s="508">
        <f t="shared" si="40"/>
        <v>14</v>
      </c>
      <c r="F161" s="508">
        <f t="shared" si="52"/>
        <v>0</v>
      </c>
      <c r="G161" s="508">
        <f t="shared" si="52"/>
        <v>0</v>
      </c>
      <c r="H161" s="508">
        <f t="shared" si="52"/>
        <v>0</v>
      </c>
      <c r="I161" s="508">
        <f t="shared" si="52"/>
        <v>0</v>
      </c>
      <c r="J161" s="508">
        <f t="shared" si="41"/>
        <v>0</v>
      </c>
      <c r="K161" s="508">
        <v>14</v>
      </c>
      <c r="L161" s="508">
        <v>0</v>
      </c>
      <c r="M161" s="508">
        <f t="shared" si="42"/>
        <v>14</v>
      </c>
      <c r="N161" s="508">
        <f t="shared" si="43"/>
        <v>0</v>
      </c>
      <c r="O161" s="516"/>
    </row>
    <row r="162" s="487" customFormat="1" customHeight="1" spans="1:15">
      <c r="A162" s="506">
        <v>2060799</v>
      </c>
      <c r="B162" s="507" t="s">
        <v>212</v>
      </c>
      <c r="C162" s="508">
        <v>14</v>
      </c>
      <c r="D162" s="508"/>
      <c r="E162" s="508">
        <f t="shared" si="40"/>
        <v>14</v>
      </c>
      <c r="F162" s="508">
        <v>0</v>
      </c>
      <c r="G162" s="508">
        <v>0</v>
      </c>
      <c r="H162" s="508">
        <v>0</v>
      </c>
      <c r="I162" s="508">
        <v>0</v>
      </c>
      <c r="J162" s="508">
        <f t="shared" si="41"/>
        <v>0</v>
      </c>
      <c r="K162" s="508">
        <v>14</v>
      </c>
      <c r="L162" s="508">
        <v>0</v>
      </c>
      <c r="M162" s="508">
        <f t="shared" si="42"/>
        <v>14</v>
      </c>
      <c r="N162" s="508">
        <f t="shared" si="43"/>
        <v>0</v>
      </c>
      <c r="O162" s="516"/>
    </row>
    <row r="163" s="487" customFormat="1" customHeight="1" spans="1:15">
      <c r="A163" s="506">
        <v>20699</v>
      </c>
      <c r="B163" s="507" t="s">
        <v>213</v>
      </c>
      <c r="C163" s="508">
        <f t="shared" ref="C163:I163" si="53">C164</f>
        <v>528.71</v>
      </c>
      <c r="D163" s="508">
        <f t="shared" si="53"/>
        <v>200</v>
      </c>
      <c r="E163" s="508">
        <f t="shared" si="40"/>
        <v>728.71</v>
      </c>
      <c r="F163" s="508">
        <f t="shared" si="53"/>
        <v>282.2</v>
      </c>
      <c r="G163" s="508">
        <f t="shared" si="53"/>
        <v>0</v>
      </c>
      <c r="H163" s="508">
        <f t="shared" si="53"/>
        <v>-204.91</v>
      </c>
      <c r="I163" s="508">
        <f t="shared" si="53"/>
        <v>0</v>
      </c>
      <c r="J163" s="508">
        <f t="shared" si="41"/>
        <v>-195</v>
      </c>
      <c r="K163" s="508">
        <v>606</v>
      </c>
      <c r="L163" s="508">
        <v>5</v>
      </c>
      <c r="M163" s="508">
        <f t="shared" si="42"/>
        <v>611</v>
      </c>
      <c r="N163" s="508">
        <f t="shared" si="43"/>
        <v>-16.1532022340849</v>
      </c>
      <c r="O163" s="516"/>
    </row>
    <row r="164" s="487" customFormat="1" ht="78" customHeight="1" spans="1:15">
      <c r="A164" s="506">
        <v>2069999</v>
      </c>
      <c r="B164" s="507" t="s">
        <v>213</v>
      </c>
      <c r="C164" s="508">
        <v>528.71</v>
      </c>
      <c r="D164" s="508">
        <v>200</v>
      </c>
      <c r="E164" s="508">
        <f t="shared" si="40"/>
        <v>728.71</v>
      </c>
      <c r="F164" s="508">
        <v>282.2</v>
      </c>
      <c r="G164" s="508">
        <v>0</v>
      </c>
      <c r="H164" s="508">
        <v>-204.91</v>
      </c>
      <c r="I164" s="508">
        <v>0</v>
      </c>
      <c r="J164" s="508">
        <f t="shared" si="41"/>
        <v>-195</v>
      </c>
      <c r="K164" s="508">
        <v>606</v>
      </c>
      <c r="L164" s="508">
        <v>5</v>
      </c>
      <c r="M164" s="508">
        <f t="shared" si="42"/>
        <v>611</v>
      </c>
      <c r="N164" s="508">
        <f t="shared" si="43"/>
        <v>-16.1532022340849</v>
      </c>
      <c r="O164" s="516" t="s">
        <v>214</v>
      </c>
    </row>
    <row r="165" s="487" customFormat="1" customHeight="1" spans="1:15">
      <c r="A165" s="506">
        <v>207</v>
      </c>
      <c r="B165" s="507" t="s">
        <v>215</v>
      </c>
      <c r="C165" s="508">
        <f t="shared" ref="C165:I165" si="54">C166+C173+C176+C178</f>
        <v>2539.3</v>
      </c>
      <c r="D165" s="508">
        <f t="shared" si="54"/>
        <v>270</v>
      </c>
      <c r="E165" s="508">
        <f t="shared" si="40"/>
        <v>2809.3</v>
      </c>
      <c r="F165" s="508">
        <f t="shared" si="54"/>
        <v>447.95</v>
      </c>
      <c r="G165" s="508">
        <f t="shared" si="54"/>
        <v>0</v>
      </c>
      <c r="H165" s="508">
        <f t="shared" si="54"/>
        <v>0</v>
      </c>
      <c r="I165" s="508">
        <f t="shared" si="54"/>
        <v>-158.14</v>
      </c>
      <c r="J165" s="508">
        <f t="shared" si="41"/>
        <v>1567</v>
      </c>
      <c r="K165" s="508">
        <v>2829.13</v>
      </c>
      <c r="L165" s="508">
        <v>1837</v>
      </c>
      <c r="M165" s="508">
        <f t="shared" si="42"/>
        <v>4666.13</v>
      </c>
      <c r="N165" s="508">
        <f t="shared" si="43"/>
        <v>66.0958245826362</v>
      </c>
      <c r="O165" s="516"/>
    </row>
    <row r="166" s="487" customFormat="1" customHeight="1" spans="1:15">
      <c r="A166" s="506">
        <v>20701</v>
      </c>
      <c r="B166" s="507" t="s">
        <v>216</v>
      </c>
      <c r="C166" s="508">
        <f t="shared" ref="C166:I166" si="55">C167+C168+C169+C170+C171+C172</f>
        <v>476.98</v>
      </c>
      <c r="D166" s="508">
        <f t="shared" si="55"/>
        <v>70</v>
      </c>
      <c r="E166" s="508">
        <f t="shared" si="40"/>
        <v>546.98</v>
      </c>
      <c r="F166" s="508">
        <f t="shared" si="55"/>
        <v>47.95</v>
      </c>
      <c r="G166" s="508">
        <f t="shared" si="55"/>
        <v>0</v>
      </c>
      <c r="H166" s="508">
        <f t="shared" si="55"/>
        <v>0</v>
      </c>
      <c r="I166" s="508">
        <f t="shared" si="55"/>
        <v>68.44</v>
      </c>
      <c r="J166" s="508">
        <f t="shared" si="41"/>
        <v>416</v>
      </c>
      <c r="K166" s="508">
        <v>593.38</v>
      </c>
      <c r="L166" s="508">
        <v>486</v>
      </c>
      <c r="M166" s="508">
        <f t="shared" si="42"/>
        <v>1079.38</v>
      </c>
      <c r="N166" s="508">
        <f t="shared" si="43"/>
        <v>97.3344546418516</v>
      </c>
      <c r="O166" s="516"/>
    </row>
    <row r="167" s="487" customFormat="1" customHeight="1" spans="1:15">
      <c r="A167" s="506">
        <v>2070101</v>
      </c>
      <c r="B167" s="507" t="s">
        <v>71</v>
      </c>
      <c r="C167" s="508">
        <v>163.08</v>
      </c>
      <c r="D167" s="508"/>
      <c r="E167" s="508">
        <f t="shared" si="40"/>
        <v>163.08</v>
      </c>
      <c r="F167" s="508">
        <v>6.66</v>
      </c>
      <c r="G167" s="508">
        <v>0</v>
      </c>
      <c r="H167" s="508">
        <v>0</v>
      </c>
      <c r="I167" s="508">
        <v>44.74</v>
      </c>
      <c r="J167" s="508">
        <f t="shared" si="41"/>
        <v>0</v>
      </c>
      <c r="K167" s="508">
        <v>214.48</v>
      </c>
      <c r="L167" s="508">
        <v>0</v>
      </c>
      <c r="M167" s="508">
        <f t="shared" si="42"/>
        <v>214.48</v>
      </c>
      <c r="N167" s="508">
        <f t="shared" si="43"/>
        <v>31.5182732401275</v>
      </c>
      <c r="O167" s="516" t="s">
        <v>72</v>
      </c>
    </row>
    <row r="168" s="487" customFormat="1" customHeight="1" spans="1:15">
      <c r="A168" s="506">
        <v>2070104</v>
      </c>
      <c r="B168" s="507" t="s">
        <v>217</v>
      </c>
      <c r="C168" s="508">
        <v>22.97</v>
      </c>
      <c r="D168" s="508"/>
      <c r="E168" s="508">
        <f t="shared" si="40"/>
        <v>22.97</v>
      </c>
      <c r="F168" s="508">
        <v>-0.05</v>
      </c>
      <c r="G168" s="508">
        <v>0</v>
      </c>
      <c r="H168" s="508">
        <v>0</v>
      </c>
      <c r="I168" s="508">
        <v>2.04</v>
      </c>
      <c r="J168" s="508">
        <f t="shared" si="41"/>
        <v>0</v>
      </c>
      <c r="K168" s="508">
        <v>24.96</v>
      </c>
      <c r="L168" s="508">
        <v>0</v>
      </c>
      <c r="M168" s="508">
        <f t="shared" si="42"/>
        <v>24.96</v>
      </c>
      <c r="N168" s="508">
        <f t="shared" si="43"/>
        <v>8.66347409664781</v>
      </c>
      <c r="O168" s="516" t="s">
        <v>72</v>
      </c>
    </row>
    <row r="169" s="487" customFormat="1" customHeight="1" spans="1:15">
      <c r="A169" s="506">
        <v>2070109</v>
      </c>
      <c r="B169" s="507" t="s">
        <v>218</v>
      </c>
      <c r="C169" s="508">
        <v>129.17</v>
      </c>
      <c r="D169" s="508"/>
      <c r="E169" s="508">
        <f t="shared" si="40"/>
        <v>129.17</v>
      </c>
      <c r="F169" s="508">
        <v>-8.66</v>
      </c>
      <c r="G169" s="508">
        <v>0</v>
      </c>
      <c r="H169" s="508">
        <v>0</v>
      </c>
      <c r="I169" s="508">
        <v>23.42</v>
      </c>
      <c r="J169" s="508">
        <f t="shared" si="41"/>
        <v>0</v>
      </c>
      <c r="K169" s="508">
        <v>143.93</v>
      </c>
      <c r="L169" s="508">
        <v>0</v>
      </c>
      <c r="M169" s="508">
        <f t="shared" si="42"/>
        <v>143.93</v>
      </c>
      <c r="N169" s="508">
        <f t="shared" si="43"/>
        <v>11.4268018889835</v>
      </c>
      <c r="O169" s="516" t="s">
        <v>72</v>
      </c>
    </row>
    <row r="170" s="487" customFormat="1" customHeight="1" spans="1:15">
      <c r="A170" s="506">
        <v>2070112</v>
      </c>
      <c r="B170" s="507" t="s">
        <v>219</v>
      </c>
      <c r="C170" s="508">
        <v>2</v>
      </c>
      <c r="D170" s="508"/>
      <c r="E170" s="508">
        <f t="shared" si="40"/>
        <v>2</v>
      </c>
      <c r="F170" s="508">
        <v>0</v>
      </c>
      <c r="G170" s="508">
        <v>0</v>
      </c>
      <c r="H170" s="508">
        <v>0</v>
      </c>
      <c r="I170" s="508">
        <v>0</v>
      </c>
      <c r="J170" s="508">
        <f t="shared" si="41"/>
        <v>0</v>
      </c>
      <c r="K170" s="508">
        <v>2</v>
      </c>
      <c r="L170" s="508">
        <v>0</v>
      </c>
      <c r="M170" s="508">
        <f t="shared" si="42"/>
        <v>2</v>
      </c>
      <c r="N170" s="508">
        <f t="shared" si="43"/>
        <v>0</v>
      </c>
      <c r="O170" s="516"/>
    </row>
    <row r="171" s="487" customFormat="1" customHeight="1" spans="1:15">
      <c r="A171" s="506">
        <v>2070113</v>
      </c>
      <c r="B171" s="507" t="s">
        <v>220</v>
      </c>
      <c r="C171" s="508">
        <v>6</v>
      </c>
      <c r="D171" s="508"/>
      <c r="E171" s="508">
        <f t="shared" si="40"/>
        <v>6</v>
      </c>
      <c r="F171" s="508">
        <v>0</v>
      </c>
      <c r="G171" s="508">
        <v>0</v>
      </c>
      <c r="H171" s="508">
        <v>0</v>
      </c>
      <c r="I171" s="508">
        <v>0</v>
      </c>
      <c r="J171" s="508">
        <f t="shared" si="41"/>
        <v>0</v>
      </c>
      <c r="K171" s="508">
        <v>6</v>
      </c>
      <c r="L171" s="508">
        <v>0</v>
      </c>
      <c r="M171" s="508">
        <f t="shared" si="42"/>
        <v>6</v>
      </c>
      <c r="N171" s="508">
        <f t="shared" si="43"/>
        <v>0</v>
      </c>
      <c r="O171" s="516">
        <v>0</v>
      </c>
    </row>
    <row r="172" s="487" customFormat="1" ht="43" customHeight="1" spans="1:15">
      <c r="A172" s="506">
        <v>2070199</v>
      </c>
      <c r="B172" s="507" t="s">
        <v>221</v>
      </c>
      <c r="C172" s="508">
        <v>153.76</v>
      </c>
      <c r="D172" s="508">
        <v>70</v>
      </c>
      <c r="E172" s="508">
        <f t="shared" si="40"/>
        <v>223.76</v>
      </c>
      <c r="F172" s="508">
        <v>50</v>
      </c>
      <c r="G172" s="508">
        <v>0</v>
      </c>
      <c r="H172" s="508">
        <v>0</v>
      </c>
      <c r="I172" s="508">
        <v>-1.76</v>
      </c>
      <c r="J172" s="508">
        <f t="shared" si="41"/>
        <v>416</v>
      </c>
      <c r="K172" s="508">
        <v>202.01</v>
      </c>
      <c r="L172" s="508">
        <v>486</v>
      </c>
      <c r="M172" s="508">
        <f t="shared" si="42"/>
        <v>688.01</v>
      </c>
      <c r="N172" s="508">
        <f t="shared" si="43"/>
        <v>207.476760815159</v>
      </c>
      <c r="O172" s="517" t="s">
        <v>222</v>
      </c>
    </row>
    <row r="173" s="487" customFormat="1" customHeight="1" spans="1:15">
      <c r="A173" s="506">
        <v>20702</v>
      </c>
      <c r="B173" s="507" t="s">
        <v>223</v>
      </c>
      <c r="C173" s="508">
        <f t="shared" ref="C173:I173" si="56">C174</f>
        <v>2</v>
      </c>
      <c r="D173" s="508">
        <f t="shared" si="56"/>
        <v>200</v>
      </c>
      <c r="E173" s="508">
        <f t="shared" si="40"/>
        <v>202</v>
      </c>
      <c r="F173" s="508">
        <f t="shared" si="56"/>
        <v>0</v>
      </c>
      <c r="G173" s="508">
        <f t="shared" si="56"/>
        <v>0</v>
      </c>
      <c r="H173" s="508">
        <f t="shared" si="56"/>
        <v>0</v>
      </c>
      <c r="I173" s="508">
        <f t="shared" si="56"/>
        <v>0</v>
      </c>
      <c r="J173" s="508">
        <f t="shared" si="41"/>
        <v>100</v>
      </c>
      <c r="K173" s="508">
        <v>2</v>
      </c>
      <c r="L173" s="508">
        <v>300</v>
      </c>
      <c r="M173" s="508">
        <f t="shared" si="42"/>
        <v>302</v>
      </c>
      <c r="N173" s="508">
        <f t="shared" si="43"/>
        <v>49.5049504950495</v>
      </c>
      <c r="O173" s="517">
        <f>O174</f>
        <v>0</v>
      </c>
    </row>
    <row r="174" s="487" customFormat="1" customHeight="1" spans="1:15">
      <c r="A174" s="506">
        <v>2070204</v>
      </c>
      <c r="B174" s="507" t="s">
        <v>224</v>
      </c>
      <c r="C174" s="508">
        <v>2</v>
      </c>
      <c r="D174" s="508">
        <v>200</v>
      </c>
      <c r="E174" s="508">
        <f t="shared" si="40"/>
        <v>202</v>
      </c>
      <c r="F174" s="508">
        <v>0</v>
      </c>
      <c r="G174" s="508">
        <v>0</v>
      </c>
      <c r="H174" s="508">
        <v>0</v>
      </c>
      <c r="I174" s="508">
        <v>0</v>
      </c>
      <c r="J174" s="508">
        <f t="shared" si="41"/>
        <v>0</v>
      </c>
      <c r="K174" s="508">
        <v>2</v>
      </c>
      <c r="L174" s="508">
        <v>200</v>
      </c>
      <c r="M174" s="508">
        <f t="shared" si="42"/>
        <v>202</v>
      </c>
      <c r="N174" s="508">
        <f t="shared" si="43"/>
        <v>0</v>
      </c>
      <c r="O174" s="516"/>
    </row>
    <row r="175" s="487" customFormat="1" customHeight="1" spans="1:15">
      <c r="A175" s="506">
        <v>2070299</v>
      </c>
      <c r="B175" s="507" t="s">
        <v>225</v>
      </c>
      <c r="C175" s="508"/>
      <c r="D175" s="508"/>
      <c r="E175" s="508">
        <f t="shared" si="40"/>
        <v>0</v>
      </c>
      <c r="F175" s="508"/>
      <c r="G175" s="508"/>
      <c r="H175" s="508"/>
      <c r="I175" s="508"/>
      <c r="J175" s="508">
        <f t="shared" si="41"/>
        <v>100</v>
      </c>
      <c r="K175" s="509"/>
      <c r="L175" s="509">
        <v>100</v>
      </c>
      <c r="M175" s="508">
        <f t="shared" si="42"/>
        <v>100</v>
      </c>
      <c r="N175" s="508">
        <v>100</v>
      </c>
      <c r="O175" s="516"/>
    </row>
    <row r="176" s="487" customFormat="1" customHeight="1" spans="1:15">
      <c r="A176" s="506">
        <v>20703</v>
      </c>
      <c r="B176" s="507" t="s">
        <v>226</v>
      </c>
      <c r="C176" s="508">
        <f t="shared" ref="C176:I176" si="57">C177</f>
        <v>7</v>
      </c>
      <c r="D176" s="508">
        <f t="shared" si="57"/>
        <v>0</v>
      </c>
      <c r="E176" s="508">
        <f t="shared" si="40"/>
        <v>7</v>
      </c>
      <c r="F176" s="508">
        <f t="shared" si="57"/>
        <v>0</v>
      </c>
      <c r="G176" s="508">
        <f t="shared" si="57"/>
        <v>0</v>
      </c>
      <c r="H176" s="508">
        <f t="shared" si="57"/>
        <v>0</v>
      </c>
      <c r="I176" s="508">
        <f t="shared" si="57"/>
        <v>0</v>
      </c>
      <c r="J176" s="508">
        <f t="shared" si="41"/>
        <v>0</v>
      </c>
      <c r="K176" s="508">
        <v>7</v>
      </c>
      <c r="L176" s="508">
        <v>0</v>
      </c>
      <c r="M176" s="508">
        <f t="shared" si="42"/>
        <v>7</v>
      </c>
      <c r="N176" s="508">
        <f t="shared" si="43"/>
        <v>0</v>
      </c>
      <c r="O176" s="516"/>
    </row>
    <row r="177" s="487" customFormat="1" customHeight="1" spans="1:15">
      <c r="A177" s="506">
        <v>2070308</v>
      </c>
      <c r="B177" s="507" t="s">
        <v>227</v>
      </c>
      <c r="C177" s="508">
        <v>7</v>
      </c>
      <c r="D177" s="508"/>
      <c r="E177" s="508">
        <f t="shared" si="40"/>
        <v>7</v>
      </c>
      <c r="F177" s="508">
        <v>0</v>
      </c>
      <c r="G177" s="508">
        <v>0</v>
      </c>
      <c r="H177" s="508">
        <v>0</v>
      </c>
      <c r="I177" s="508">
        <v>0</v>
      </c>
      <c r="J177" s="508">
        <f t="shared" si="41"/>
        <v>0</v>
      </c>
      <c r="K177" s="508">
        <v>7</v>
      </c>
      <c r="L177" s="508">
        <v>0</v>
      </c>
      <c r="M177" s="508">
        <f t="shared" si="42"/>
        <v>7</v>
      </c>
      <c r="N177" s="508">
        <f t="shared" si="43"/>
        <v>0</v>
      </c>
      <c r="O177" s="516"/>
    </row>
    <row r="178" s="487" customFormat="1" ht="31" customHeight="1" spans="1:15">
      <c r="A178" s="506">
        <v>20799</v>
      </c>
      <c r="B178" s="507" t="s">
        <v>228</v>
      </c>
      <c r="C178" s="508">
        <f t="shared" ref="C178:I178" si="58">C179</f>
        <v>2053.32</v>
      </c>
      <c r="D178" s="508">
        <f t="shared" si="58"/>
        <v>0</v>
      </c>
      <c r="E178" s="508">
        <f t="shared" si="40"/>
        <v>2053.32</v>
      </c>
      <c r="F178" s="508">
        <f t="shared" si="58"/>
        <v>400</v>
      </c>
      <c r="G178" s="508">
        <f t="shared" si="58"/>
        <v>0</v>
      </c>
      <c r="H178" s="508">
        <f t="shared" si="58"/>
        <v>0</v>
      </c>
      <c r="I178" s="508">
        <f t="shared" si="58"/>
        <v>-226.58</v>
      </c>
      <c r="J178" s="508">
        <f t="shared" si="41"/>
        <v>1051</v>
      </c>
      <c r="K178" s="508">
        <v>2226.75</v>
      </c>
      <c r="L178" s="508">
        <v>1051</v>
      </c>
      <c r="M178" s="508">
        <f t="shared" si="42"/>
        <v>3277.75</v>
      </c>
      <c r="N178" s="508">
        <f t="shared" si="43"/>
        <v>59.6317183877817</v>
      </c>
      <c r="O178" s="516"/>
    </row>
    <row r="179" s="487" customFormat="1" ht="31" customHeight="1" spans="1:15">
      <c r="A179" s="506">
        <v>2079999</v>
      </c>
      <c r="B179" s="507" t="s">
        <v>228</v>
      </c>
      <c r="C179" s="508">
        <v>2053.32</v>
      </c>
      <c r="D179" s="508"/>
      <c r="E179" s="508">
        <f t="shared" si="40"/>
        <v>2053.32</v>
      </c>
      <c r="F179" s="508">
        <v>400</v>
      </c>
      <c r="G179" s="508">
        <v>0</v>
      </c>
      <c r="H179" s="508">
        <v>0</v>
      </c>
      <c r="I179" s="508">
        <v>-226.58</v>
      </c>
      <c r="J179" s="508">
        <f t="shared" si="41"/>
        <v>1051</v>
      </c>
      <c r="K179" s="508">
        <v>2226.75</v>
      </c>
      <c r="L179" s="508">
        <v>1051</v>
      </c>
      <c r="M179" s="508">
        <f t="shared" si="42"/>
        <v>3277.75</v>
      </c>
      <c r="N179" s="508">
        <f t="shared" si="43"/>
        <v>59.6317183877817</v>
      </c>
      <c r="O179" s="516" t="s">
        <v>229</v>
      </c>
    </row>
    <row r="180" s="487" customFormat="1" ht="21" customHeight="1" spans="1:15">
      <c r="A180" s="506">
        <v>208</v>
      </c>
      <c r="B180" s="507" t="s">
        <v>230</v>
      </c>
      <c r="C180" s="508">
        <f t="shared" ref="C180:I180" si="59">C181+C186+C192+C199+C202+C208+C215+C220+C226+C229+C232+C235+C238+C241+C244+C250</f>
        <v>14541.12</v>
      </c>
      <c r="D180" s="508">
        <f t="shared" si="59"/>
        <v>10917</v>
      </c>
      <c r="E180" s="508">
        <f t="shared" si="40"/>
        <v>25458.12</v>
      </c>
      <c r="F180" s="508">
        <f t="shared" si="59"/>
        <v>7293.02</v>
      </c>
      <c r="G180" s="508">
        <f t="shared" si="59"/>
        <v>0</v>
      </c>
      <c r="H180" s="508">
        <f t="shared" si="59"/>
        <v>0</v>
      </c>
      <c r="I180" s="508">
        <f t="shared" si="59"/>
        <v>948.64</v>
      </c>
      <c r="J180" s="508">
        <f t="shared" si="41"/>
        <v>4905</v>
      </c>
      <c r="K180" s="508">
        <v>22782.8</v>
      </c>
      <c r="L180" s="508">
        <v>15822</v>
      </c>
      <c r="M180" s="508">
        <f t="shared" si="42"/>
        <v>38604.8</v>
      </c>
      <c r="N180" s="508">
        <f t="shared" si="43"/>
        <v>51.6404196382137</v>
      </c>
      <c r="O180" s="516"/>
    </row>
    <row r="181" s="487" customFormat="1" ht="30" customHeight="1" spans="1:15">
      <c r="A181" s="506">
        <v>20801</v>
      </c>
      <c r="B181" s="507" t="s">
        <v>231</v>
      </c>
      <c r="C181" s="508">
        <f t="shared" ref="C181:I181" si="60">C182+C183+C184+C185</f>
        <v>543.47</v>
      </c>
      <c r="D181" s="508">
        <f t="shared" si="60"/>
        <v>0</v>
      </c>
      <c r="E181" s="508">
        <f t="shared" si="40"/>
        <v>543.47</v>
      </c>
      <c r="F181" s="508">
        <f t="shared" si="60"/>
        <v>116.09</v>
      </c>
      <c r="G181" s="508">
        <f t="shared" si="60"/>
        <v>0</v>
      </c>
      <c r="H181" s="508">
        <f t="shared" si="60"/>
        <v>0</v>
      </c>
      <c r="I181" s="508">
        <f t="shared" si="60"/>
        <v>96.63</v>
      </c>
      <c r="J181" s="508">
        <f t="shared" si="41"/>
        <v>-68</v>
      </c>
      <c r="K181" s="508">
        <v>756.19</v>
      </c>
      <c r="L181" s="508">
        <v>-68</v>
      </c>
      <c r="M181" s="508">
        <f t="shared" si="42"/>
        <v>688.19</v>
      </c>
      <c r="N181" s="508">
        <f t="shared" si="43"/>
        <v>26.6288847590483</v>
      </c>
      <c r="O181" s="516"/>
    </row>
    <row r="182" s="487" customFormat="1" ht="21" customHeight="1" spans="1:15">
      <c r="A182" s="506">
        <v>2080101</v>
      </c>
      <c r="B182" s="507" t="s">
        <v>71</v>
      </c>
      <c r="C182" s="508">
        <v>304.65</v>
      </c>
      <c r="D182" s="508"/>
      <c r="E182" s="508">
        <f t="shared" si="40"/>
        <v>304.65</v>
      </c>
      <c r="F182" s="508">
        <v>11.41</v>
      </c>
      <c r="G182" s="508">
        <v>0</v>
      </c>
      <c r="H182" s="508">
        <v>0</v>
      </c>
      <c r="I182" s="508">
        <v>81.83</v>
      </c>
      <c r="J182" s="508">
        <f t="shared" si="41"/>
        <v>0</v>
      </c>
      <c r="K182" s="508">
        <v>397.89</v>
      </c>
      <c r="L182" s="508">
        <v>0</v>
      </c>
      <c r="M182" s="508">
        <f t="shared" si="42"/>
        <v>397.89</v>
      </c>
      <c r="N182" s="508">
        <f t="shared" si="43"/>
        <v>30.6056129985229</v>
      </c>
      <c r="O182" s="516" t="s">
        <v>72</v>
      </c>
    </row>
    <row r="183" s="487" customFormat="1" ht="21" customHeight="1" spans="1:15">
      <c r="A183" s="506">
        <v>2080102</v>
      </c>
      <c r="B183" s="507" t="s">
        <v>87</v>
      </c>
      <c r="C183" s="508">
        <v>84</v>
      </c>
      <c r="D183" s="508"/>
      <c r="E183" s="508">
        <f t="shared" si="40"/>
        <v>84</v>
      </c>
      <c r="F183" s="508">
        <v>0</v>
      </c>
      <c r="G183" s="508">
        <v>0</v>
      </c>
      <c r="H183" s="508">
        <v>0</v>
      </c>
      <c r="I183" s="508">
        <v>0</v>
      </c>
      <c r="J183" s="508">
        <f t="shared" si="41"/>
        <v>0</v>
      </c>
      <c r="K183" s="508">
        <v>84</v>
      </c>
      <c r="L183" s="508">
        <v>0</v>
      </c>
      <c r="M183" s="508">
        <f t="shared" si="42"/>
        <v>84</v>
      </c>
      <c r="N183" s="508">
        <f t="shared" si="43"/>
        <v>0</v>
      </c>
      <c r="O183" s="516"/>
    </row>
    <row r="184" s="487" customFormat="1" ht="30" customHeight="1" spans="1:15">
      <c r="A184" s="506">
        <v>2080111</v>
      </c>
      <c r="B184" s="507" t="s">
        <v>232</v>
      </c>
      <c r="C184" s="508">
        <v>101.31</v>
      </c>
      <c r="D184" s="508"/>
      <c r="E184" s="508">
        <f t="shared" si="40"/>
        <v>101.31</v>
      </c>
      <c r="F184" s="508">
        <v>5.25</v>
      </c>
      <c r="G184" s="508">
        <v>0</v>
      </c>
      <c r="H184" s="508">
        <v>0</v>
      </c>
      <c r="I184" s="508">
        <v>11.82</v>
      </c>
      <c r="J184" s="508">
        <f t="shared" si="41"/>
        <v>0</v>
      </c>
      <c r="K184" s="508">
        <v>118.38</v>
      </c>
      <c r="L184" s="508">
        <v>0</v>
      </c>
      <c r="M184" s="508">
        <f t="shared" si="42"/>
        <v>118.38</v>
      </c>
      <c r="N184" s="508">
        <f t="shared" si="43"/>
        <v>16.8492745039976</v>
      </c>
      <c r="O184" s="516" t="s">
        <v>72</v>
      </c>
    </row>
    <row r="185" s="487" customFormat="1" ht="30" customHeight="1" spans="1:15">
      <c r="A185" s="506">
        <v>2080199</v>
      </c>
      <c r="B185" s="507" t="s">
        <v>233</v>
      </c>
      <c r="C185" s="508">
        <v>53.51</v>
      </c>
      <c r="D185" s="508"/>
      <c r="E185" s="508">
        <f t="shared" si="40"/>
        <v>53.51</v>
      </c>
      <c r="F185" s="508">
        <v>99.43</v>
      </c>
      <c r="G185" s="508">
        <v>0</v>
      </c>
      <c r="H185" s="508">
        <v>0</v>
      </c>
      <c r="I185" s="508">
        <v>2.98</v>
      </c>
      <c r="J185" s="508">
        <f t="shared" si="41"/>
        <v>-68</v>
      </c>
      <c r="K185" s="508">
        <v>155.92</v>
      </c>
      <c r="L185" s="508">
        <v>-68</v>
      </c>
      <c r="M185" s="508">
        <f t="shared" si="42"/>
        <v>87.92</v>
      </c>
      <c r="N185" s="508">
        <f t="shared" si="43"/>
        <v>64.3057372453747</v>
      </c>
      <c r="O185" s="516" t="s">
        <v>234</v>
      </c>
    </row>
    <row r="186" s="487" customFormat="1" customHeight="1" spans="1:15">
      <c r="A186" s="506">
        <v>20802</v>
      </c>
      <c r="B186" s="507" t="s">
        <v>235</v>
      </c>
      <c r="C186" s="508">
        <f t="shared" ref="C186:I186" si="61">C187+C188+C189+C190+C191</f>
        <v>212.2</v>
      </c>
      <c r="D186" s="508">
        <f t="shared" si="61"/>
        <v>16</v>
      </c>
      <c r="E186" s="508">
        <f t="shared" si="40"/>
        <v>228.2</v>
      </c>
      <c r="F186" s="508">
        <f t="shared" si="61"/>
        <v>71.33</v>
      </c>
      <c r="G186" s="508">
        <f t="shared" si="61"/>
        <v>0</v>
      </c>
      <c r="H186" s="508">
        <f t="shared" si="61"/>
        <v>0</v>
      </c>
      <c r="I186" s="508">
        <f t="shared" si="61"/>
        <v>42.7</v>
      </c>
      <c r="J186" s="508">
        <f t="shared" si="41"/>
        <v>0</v>
      </c>
      <c r="K186" s="508">
        <v>326.23</v>
      </c>
      <c r="L186" s="508">
        <v>16</v>
      </c>
      <c r="M186" s="508">
        <f t="shared" si="42"/>
        <v>342.23</v>
      </c>
      <c r="N186" s="508">
        <f t="shared" si="43"/>
        <v>49.9693251533742</v>
      </c>
      <c r="O186" s="516"/>
    </row>
    <row r="187" s="487" customFormat="1" customHeight="1" spans="1:15">
      <c r="A187" s="506">
        <v>2080201</v>
      </c>
      <c r="B187" s="507" t="s">
        <v>71</v>
      </c>
      <c r="C187" s="508">
        <v>160.09</v>
      </c>
      <c r="D187" s="508"/>
      <c r="E187" s="508">
        <f t="shared" si="40"/>
        <v>160.09</v>
      </c>
      <c r="F187" s="508">
        <v>6.18</v>
      </c>
      <c r="G187" s="508">
        <v>0</v>
      </c>
      <c r="H187" s="508">
        <v>0</v>
      </c>
      <c r="I187" s="508">
        <v>40.31</v>
      </c>
      <c r="J187" s="508">
        <f t="shared" si="41"/>
        <v>0</v>
      </c>
      <c r="K187" s="508">
        <v>206.58</v>
      </c>
      <c r="L187" s="508">
        <v>0</v>
      </c>
      <c r="M187" s="508">
        <f t="shared" si="42"/>
        <v>206.58</v>
      </c>
      <c r="N187" s="508">
        <f t="shared" si="43"/>
        <v>29.0399150477856</v>
      </c>
      <c r="O187" s="516" t="s">
        <v>72</v>
      </c>
    </row>
    <row r="188" s="487" customFormat="1" customHeight="1" spans="1:15">
      <c r="A188" s="506">
        <v>2080206</v>
      </c>
      <c r="B188" s="507" t="s">
        <v>236</v>
      </c>
      <c r="C188" s="508">
        <v>12</v>
      </c>
      <c r="D188" s="508"/>
      <c r="E188" s="508">
        <f t="shared" si="40"/>
        <v>12</v>
      </c>
      <c r="F188" s="508">
        <v>0</v>
      </c>
      <c r="G188" s="508">
        <v>0</v>
      </c>
      <c r="H188" s="508">
        <v>0</v>
      </c>
      <c r="I188" s="508">
        <v>0</v>
      </c>
      <c r="J188" s="508">
        <f t="shared" si="41"/>
        <v>0</v>
      </c>
      <c r="K188" s="508">
        <v>12</v>
      </c>
      <c r="L188" s="508">
        <v>0</v>
      </c>
      <c r="M188" s="508">
        <f t="shared" si="42"/>
        <v>12</v>
      </c>
      <c r="N188" s="508">
        <f t="shared" si="43"/>
        <v>0</v>
      </c>
      <c r="O188" s="516"/>
    </row>
    <row r="189" s="487" customFormat="1" ht="45" customHeight="1" spans="1:15">
      <c r="A189" s="506">
        <v>2080207</v>
      </c>
      <c r="B189" s="507" t="s">
        <v>237</v>
      </c>
      <c r="C189" s="508">
        <v>2</v>
      </c>
      <c r="D189" s="508"/>
      <c r="E189" s="508">
        <f t="shared" si="40"/>
        <v>2</v>
      </c>
      <c r="F189" s="508">
        <v>58.72</v>
      </c>
      <c r="G189" s="508">
        <v>0</v>
      </c>
      <c r="H189" s="508">
        <v>0</v>
      </c>
      <c r="I189" s="508">
        <v>0</v>
      </c>
      <c r="J189" s="508">
        <f t="shared" si="41"/>
        <v>0</v>
      </c>
      <c r="K189" s="508">
        <v>60.72</v>
      </c>
      <c r="L189" s="508">
        <v>0</v>
      </c>
      <c r="M189" s="508">
        <f t="shared" si="42"/>
        <v>60.72</v>
      </c>
      <c r="N189" s="508">
        <f t="shared" si="43"/>
        <v>2936</v>
      </c>
      <c r="O189" s="516" t="s">
        <v>238</v>
      </c>
    </row>
    <row r="190" s="487" customFormat="1" ht="30" customHeight="1" spans="1:15">
      <c r="A190" s="506">
        <v>2080208</v>
      </c>
      <c r="B190" s="507" t="s">
        <v>239</v>
      </c>
      <c r="C190" s="508">
        <v>8</v>
      </c>
      <c r="D190" s="508"/>
      <c r="E190" s="508">
        <f t="shared" si="40"/>
        <v>8</v>
      </c>
      <c r="F190" s="508">
        <v>5</v>
      </c>
      <c r="G190" s="508">
        <v>0</v>
      </c>
      <c r="H190" s="508">
        <v>0</v>
      </c>
      <c r="I190" s="508">
        <v>0</v>
      </c>
      <c r="J190" s="508">
        <f t="shared" si="41"/>
        <v>0</v>
      </c>
      <c r="K190" s="508">
        <v>13</v>
      </c>
      <c r="L190" s="508">
        <v>0</v>
      </c>
      <c r="M190" s="508">
        <f t="shared" si="42"/>
        <v>13</v>
      </c>
      <c r="N190" s="508">
        <f t="shared" si="43"/>
        <v>62.5</v>
      </c>
      <c r="O190" s="516" t="s">
        <v>240</v>
      </c>
    </row>
    <row r="191" s="487" customFormat="1" customHeight="1" spans="1:15">
      <c r="A191" s="506">
        <v>2080299</v>
      </c>
      <c r="B191" s="507" t="s">
        <v>241</v>
      </c>
      <c r="C191" s="508">
        <v>30.11</v>
      </c>
      <c r="D191" s="508">
        <v>16</v>
      </c>
      <c r="E191" s="508">
        <f t="shared" si="40"/>
        <v>46.11</v>
      </c>
      <c r="F191" s="508">
        <v>1.43</v>
      </c>
      <c r="G191" s="508">
        <v>0</v>
      </c>
      <c r="H191" s="508">
        <v>0</v>
      </c>
      <c r="I191" s="508">
        <v>2.39</v>
      </c>
      <c r="J191" s="508">
        <f t="shared" si="41"/>
        <v>0</v>
      </c>
      <c r="K191" s="508">
        <v>33.93</v>
      </c>
      <c r="L191" s="508">
        <v>16</v>
      </c>
      <c r="M191" s="508">
        <f t="shared" si="42"/>
        <v>49.93</v>
      </c>
      <c r="N191" s="508">
        <f t="shared" si="43"/>
        <v>8.28453697679462</v>
      </c>
      <c r="O191" s="516" t="s">
        <v>72</v>
      </c>
    </row>
    <row r="192" s="487" customFormat="1" customHeight="1" spans="1:15">
      <c r="A192" s="506">
        <v>20805</v>
      </c>
      <c r="B192" s="507" t="s">
        <v>242</v>
      </c>
      <c r="C192" s="508">
        <f t="shared" ref="C192:I192" si="62">C193+C194+C195+C196+C197+C198</f>
        <v>9790.32</v>
      </c>
      <c r="D192" s="508">
        <f t="shared" si="62"/>
        <v>0</v>
      </c>
      <c r="E192" s="508">
        <f t="shared" si="40"/>
        <v>9790.32</v>
      </c>
      <c r="F192" s="508">
        <f t="shared" si="62"/>
        <v>5716.54</v>
      </c>
      <c r="G192" s="508">
        <f t="shared" si="62"/>
        <v>0</v>
      </c>
      <c r="H192" s="508">
        <f t="shared" si="62"/>
        <v>0</v>
      </c>
      <c r="I192" s="508">
        <f t="shared" si="62"/>
        <v>560.17</v>
      </c>
      <c r="J192" s="508">
        <f t="shared" si="41"/>
        <v>0</v>
      </c>
      <c r="K192" s="508">
        <v>16067.03</v>
      </c>
      <c r="L192" s="508">
        <v>0</v>
      </c>
      <c r="M192" s="508">
        <f t="shared" si="42"/>
        <v>16067.03</v>
      </c>
      <c r="N192" s="508">
        <f t="shared" si="43"/>
        <v>64.1113875746656</v>
      </c>
      <c r="O192" s="516"/>
    </row>
    <row r="193" s="487" customFormat="1" customHeight="1" spans="1:15">
      <c r="A193" s="506">
        <v>2080501</v>
      </c>
      <c r="B193" s="507" t="s">
        <v>243</v>
      </c>
      <c r="C193" s="508">
        <v>807.84</v>
      </c>
      <c r="D193" s="508"/>
      <c r="E193" s="508">
        <f t="shared" si="40"/>
        <v>807.84</v>
      </c>
      <c r="F193" s="508">
        <v>5.59</v>
      </c>
      <c r="G193" s="508">
        <v>0</v>
      </c>
      <c r="H193" s="508">
        <v>0</v>
      </c>
      <c r="I193" s="508">
        <v>398.51</v>
      </c>
      <c r="J193" s="508">
        <f t="shared" si="41"/>
        <v>0</v>
      </c>
      <c r="K193" s="508">
        <v>1211.94</v>
      </c>
      <c r="L193" s="508">
        <v>0</v>
      </c>
      <c r="M193" s="508">
        <f t="shared" si="42"/>
        <v>1211.94</v>
      </c>
      <c r="N193" s="508">
        <f t="shared" si="43"/>
        <v>50.0222816399287</v>
      </c>
      <c r="O193" s="516" t="s">
        <v>72</v>
      </c>
    </row>
    <row r="194" s="487" customFormat="1" customHeight="1" spans="1:15">
      <c r="A194" s="506">
        <v>2080502</v>
      </c>
      <c r="B194" s="507" t="s">
        <v>244</v>
      </c>
      <c r="C194" s="508">
        <v>779.77</v>
      </c>
      <c r="D194" s="508"/>
      <c r="E194" s="508">
        <f t="shared" si="40"/>
        <v>779.77</v>
      </c>
      <c r="F194" s="508">
        <v>-10.15</v>
      </c>
      <c r="G194" s="508">
        <v>0</v>
      </c>
      <c r="H194" s="508">
        <v>0</v>
      </c>
      <c r="I194" s="508">
        <v>130.12</v>
      </c>
      <c r="J194" s="508">
        <f t="shared" si="41"/>
        <v>0</v>
      </c>
      <c r="K194" s="508">
        <v>899.74</v>
      </c>
      <c r="L194" s="508">
        <v>0</v>
      </c>
      <c r="M194" s="508">
        <f t="shared" si="42"/>
        <v>899.74</v>
      </c>
      <c r="N194" s="508">
        <f t="shared" si="43"/>
        <v>15.3853059235416</v>
      </c>
      <c r="O194" s="516" t="s">
        <v>72</v>
      </c>
    </row>
    <row r="195" s="487" customFormat="1" customHeight="1" spans="1:15">
      <c r="A195" s="506">
        <v>2080503</v>
      </c>
      <c r="B195" s="507" t="s">
        <v>245</v>
      </c>
      <c r="C195" s="508">
        <v>72.91</v>
      </c>
      <c r="D195" s="508"/>
      <c r="E195" s="508">
        <f t="shared" si="40"/>
        <v>72.91</v>
      </c>
      <c r="F195" s="508">
        <v>1</v>
      </c>
      <c r="G195" s="508">
        <v>0</v>
      </c>
      <c r="H195" s="508">
        <v>0</v>
      </c>
      <c r="I195" s="508">
        <v>4.27</v>
      </c>
      <c r="J195" s="508">
        <f t="shared" si="41"/>
        <v>0</v>
      </c>
      <c r="K195" s="508">
        <v>78.18</v>
      </c>
      <c r="L195" s="508">
        <v>0</v>
      </c>
      <c r="M195" s="508">
        <f t="shared" si="42"/>
        <v>78.18</v>
      </c>
      <c r="N195" s="508">
        <f t="shared" si="43"/>
        <v>7.2280894253189</v>
      </c>
      <c r="O195" s="516" t="s">
        <v>72</v>
      </c>
    </row>
    <row r="196" s="487" customFormat="1" ht="30" customHeight="1" spans="1:15">
      <c r="A196" s="506">
        <v>2080505</v>
      </c>
      <c r="B196" s="507" t="s">
        <v>246</v>
      </c>
      <c r="C196" s="508">
        <v>1767.44</v>
      </c>
      <c r="D196" s="508"/>
      <c r="E196" s="508">
        <f t="shared" si="40"/>
        <v>1767.44</v>
      </c>
      <c r="F196" s="508">
        <v>56.7</v>
      </c>
      <c r="G196" s="508">
        <v>0</v>
      </c>
      <c r="H196" s="508">
        <v>0</v>
      </c>
      <c r="I196" s="508">
        <v>13.01</v>
      </c>
      <c r="J196" s="508">
        <f t="shared" si="41"/>
        <v>0</v>
      </c>
      <c r="K196" s="508">
        <v>1837.15</v>
      </c>
      <c r="L196" s="508">
        <v>0</v>
      </c>
      <c r="M196" s="508">
        <f t="shared" si="42"/>
        <v>1837.15</v>
      </c>
      <c r="N196" s="508">
        <f t="shared" si="43"/>
        <v>3.9441225727606</v>
      </c>
      <c r="O196" s="516" t="s">
        <v>72</v>
      </c>
    </row>
    <row r="197" s="487" customFormat="1" ht="30" customHeight="1" spans="1:15">
      <c r="A197" s="506">
        <v>2080506</v>
      </c>
      <c r="B197" s="507" t="s">
        <v>247</v>
      </c>
      <c r="C197" s="508">
        <v>3862.36</v>
      </c>
      <c r="D197" s="508"/>
      <c r="E197" s="508">
        <f t="shared" si="40"/>
        <v>3862.36</v>
      </c>
      <c r="F197" s="508">
        <v>3363.4</v>
      </c>
      <c r="G197" s="508">
        <v>0</v>
      </c>
      <c r="H197" s="508">
        <v>0</v>
      </c>
      <c r="I197" s="508">
        <v>14.26</v>
      </c>
      <c r="J197" s="508">
        <f t="shared" si="41"/>
        <v>0</v>
      </c>
      <c r="K197" s="508">
        <v>7240.02</v>
      </c>
      <c r="L197" s="508">
        <v>0</v>
      </c>
      <c r="M197" s="508">
        <f t="shared" si="42"/>
        <v>7240.02</v>
      </c>
      <c r="N197" s="508">
        <f t="shared" si="43"/>
        <v>87.4506778239211</v>
      </c>
      <c r="O197" s="516" t="s">
        <v>248</v>
      </c>
    </row>
    <row r="198" s="487" customFormat="1" ht="30" customHeight="1" spans="1:15">
      <c r="A198" s="506">
        <v>2080507</v>
      </c>
      <c r="B198" s="507" t="s">
        <v>249</v>
      </c>
      <c r="C198" s="508">
        <v>2500</v>
      </c>
      <c r="D198" s="508"/>
      <c r="E198" s="508">
        <f t="shared" ref="E198:E261" si="63">C198+D198</f>
        <v>2500</v>
      </c>
      <c r="F198" s="508">
        <v>2300</v>
      </c>
      <c r="G198" s="508">
        <v>0</v>
      </c>
      <c r="H198" s="508">
        <v>0</v>
      </c>
      <c r="I198" s="508">
        <v>0</v>
      </c>
      <c r="J198" s="508">
        <f t="shared" ref="J198:J261" si="64">L198-D198</f>
        <v>0</v>
      </c>
      <c r="K198" s="508">
        <v>4800</v>
      </c>
      <c r="L198" s="508">
        <v>0</v>
      </c>
      <c r="M198" s="508">
        <f t="shared" ref="M198:M261" si="65">K198+L198</f>
        <v>4800</v>
      </c>
      <c r="N198" s="508">
        <f t="shared" si="43"/>
        <v>92</v>
      </c>
      <c r="O198" s="517" t="s">
        <v>250</v>
      </c>
    </row>
    <row r="199" s="487" customFormat="1" customHeight="1" spans="1:15">
      <c r="A199" s="506">
        <v>20807</v>
      </c>
      <c r="B199" s="507" t="s">
        <v>251</v>
      </c>
      <c r="C199" s="508">
        <f t="shared" ref="C199:I199" si="66">C201</f>
        <v>17</v>
      </c>
      <c r="D199" s="508">
        <f t="shared" si="66"/>
        <v>0</v>
      </c>
      <c r="E199" s="508">
        <f t="shared" si="63"/>
        <v>17</v>
      </c>
      <c r="F199" s="508">
        <f t="shared" si="66"/>
        <v>0</v>
      </c>
      <c r="G199" s="508">
        <f t="shared" si="66"/>
        <v>0</v>
      </c>
      <c r="H199" s="508">
        <f t="shared" si="66"/>
        <v>0</v>
      </c>
      <c r="I199" s="508">
        <f t="shared" si="66"/>
        <v>43.43</v>
      </c>
      <c r="J199" s="508">
        <f t="shared" si="64"/>
        <v>230</v>
      </c>
      <c r="K199" s="508">
        <v>60.43</v>
      </c>
      <c r="L199" s="508">
        <v>230</v>
      </c>
      <c r="M199" s="508">
        <f t="shared" si="65"/>
        <v>290.43</v>
      </c>
      <c r="N199" s="508">
        <f t="shared" ref="N199:N251" si="67">(M199-E199)/E199*100</f>
        <v>1608.41176470588</v>
      </c>
      <c r="O199" s="516"/>
    </row>
    <row r="200" s="487" customFormat="1" customHeight="1" spans="1:15">
      <c r="A200" s="506">
        <v>2080701</v>
      </c>
      <c r="B200" s="507" t="s">
        <v>252</v>
      </c>
      <c r="C200" s="508"/>
      <c r="D200" s="508"/>
      <c r="E200" s="508">
        <f t="shared" si="63"/>
        <v>0</v>
      </c>
      <c r="F200" s="508"/>
      <c r="G200" s="508"/>
      <c r="H200" s="508"/>
      <c r="I200" s="508"/>
      <c r="J200" s="508">
        <f t="shared" si="64"/>
        <v>130</v>
      </c>
      <c r="K200" s="509"/>
      <c r="L200" s="509">
        <v>130</v>
      </c>
      <c r="M200" s="508">
        <f t="shared" si="65"/>
        <v>130</v>
      </c>
      <c r="N200" s="508">
        <v>100</v>
      </c>
      <c r="O200" s="516"/>
    </row>
    <row r="201" s="487" customFormat="1" customHeight="1" spans="1:15">
      <c r="A201" s="506">
        <v>2080799</v>
      </c>
      <c r="B201" s="507" t="s">
        <v>253</v>
      </c>
      <c r="C201" s="508">
        <v>17</v>
      </c>
      <c r="D201" s="508"/>
      <c r="E201" s="508">
        <f t="shared" si="63"/>
        <v>17</v>
      </c>
      <c r="F201" s="508">
        <v>0</v>
      </c>
      <c r="G201" s="508">
        <v>0</v>
      </c>
      <c r="H201" s="508">
        <v>0</v>
      </c>
      <c r="I201" s="508">
        <v>43.43</v>
      </c>
      <c r="J201" s="508">
        <f t="shared" si="64"/>
        <v>100</v>
      </c>
      <c r="K201" s="508">
        <v>60.43</v>
      </c>
      <c r="L201" s="508">
        <v>100</v>
      </c>
      <c r="M201" s="508">
        <f t="shared" si="65"/>
        <v>160.43</v>
      </c>
      <c r="N201" s="508">
        <f t="shared" si="67"/>
        <v>843.705882352941</v>
      </c>
      <c r="O201" s="516"/>
    </row>
    <row r="202" s="487" customFormat="1" customHeight="1" spans="1:15">
      <c r="A202" s="506">
        <v>20808</v>
      </c>
      <c r="B202" s="507" t="s">
        <v>254</v>
      </c>
      <c r="C202" s="508">
        <f t="shared" ref="C202:I202" si="68">C203+C204+C205+C206</f>
        <v>530</v>
      </c>
      <c r="D202" s="508">
        <f>D203+D204+D205+D206+D207</f>
        <v>730</v>
      </c>
      <c r="E202" s="508">
        <f t="shared" si="63"/>
        <v>1260</v>
      </c>
      <c r="F202" s="508">
        <f t="shared" si="68"/>
        <v>175</v>
      </c>
      <c r="G202" s="508">
        <f t="shared" si="68"/>
        <v>0</v>
      </c>
      <c r="H202" s="508">
        <f t="shared" si="68"/>
        <v>0</v>
      </c>
      <c r="I202" s="508">
        <f t="shared" si="68"/>
        <v>0.00999999999996959</v>
      </c>
      <c r="J202" s="508">
        <f t="shared" si="64"/>
        <v>132</v>
      </c>
      <c r="K202" s="508">
        <v>705.01</v>
      </c>
      <c r="L202" s="508">
        <v>862</v>
      </c>
      <c r="M202" s="508">
        <f t="shared" si="65"/>
        <v>1567.01</v>
      </c>
      <c r="N202" s="508">
        <f t="shared" si="67"/>
        <v>24.365873015873</v>
      </c>
      <c r="O202" s="516"/>
    </row>
    <row r="203" s="487" customFormat="1" customHeight="1" spans="1:15">
      <c r="A203" s="506">
        <v>2080801</v>
      </c>
      <c r="B203" s="507" t="s">
        <v>255</v>
      </c>
      <c r="C203" s="508">
        <v>370</v>
      </c>
      <c r="D203" s="508"/>
      <c r="E203" s="508">
        <f t="shared" si="63"/>
        <v>370</v>
      </c>
      <c r="F203" s="508">
        <v>50</v>
      </c>
      <c r="G203" s="508">
        <v>0</v>
      </c>
      <c r="H203" s="508">
        <v>0</v>
      </c>
      <c r="I203" s="508">
        <v>0.00999999999996959</v>
      </c>
      <c r="J203" s="508">
        <f t="shared" si="64"/>
        <v>0</v>
      </c>
      <c r="K203" s="508">
        <v>420.01</v>
      </c>
      <c r="L203" s="508">
        <v>0</v>
      </c>
      <c r="M203" s="508">
        <f t="shared" si="65"/>
        <v>420.01</v>
      </c>
      <c r="N203" s="508">
        <f t="shared" si="67"/>
        <v>13.5162162162162</v>
      </c>
      <c r="O203" s="516" t="s">
        <v>72</v>
      </c>
    </row>
    <row r="204" s="487" customFormat="1" ht="30" customHeight="1" spans="1:15">
      <c r="A204" s="506">
        <v>2080803</v>
      </c>
      <c r="B204" s="507" t="s">
        <v>256</v>
      </c>
      <c r="C204" s="508">
        <v>20</v>
      </c>
      <c r="D204" s="508"/>
      <c r="E204" s="508">
        <f t="shared" si="63"/>
        <v>20</v>
      </c>
      <c r="F204" s="508">
        <v>0</v>
      </c>
      <c r="G204" s="508">
        <v>0</v>
      </c>
      <c r="H204" s="508">
        <v>0</v>
      </c>
      <c r="I204" s="508">
        <v>0</v>
      </c>
      <c r="J204" s="508">
        <f t="shared" si="64"/>
        <v>71</v>
      </c>
      <c r="K204" s="508">
        <v>20</v>
      </c>
      <c r="L204" s="508">
        <v>71</v>
      </c>
      <c r="M204" s="508">
        <f t="shared" si="65"/>
        <v>91</v>
      </c>
      <c r="N204" s="508">
        <f t="shared" si="67"/>
        <v>355</v>
      </c>
      <c r="O204" s="516"/>
    </row>
    <row r="205" s="487" customFormat="1" ht="39" customHeight="1" spans="1:15">
      <c r="A205" s="506">
        <v>2080805</v>
      </c>
      <c r="B205" s="507" t="s">
        <v>257</v>
      </c>
      <c r="C205" s="508">
        <v>100</v>
      </c>
      <c r="D205" s="508"/>
      <c r="E205" s="508">
        <f t="shared" si="63"/>
        <v>100</v>
      </c>
      <c r="F205" s="508">
        <v>125</v>
      </c>
      <c r="G205" s="508">
        <v>0</v>
      </c>
      <c r="H205" s="508">
        <v>0</v>
      </c>
      <c r="I205" s="508">
        <v>0</v>
      </c>
      <c r="J205" s="508">
        <f t="shared" si="64"/>
        <v>61</v>
      </c>
      <c r="K205" s="508">
        <v>225</v>
      </c>
      <c r="L205" s="508">
        <v>61</v>
      </c>
      <c r="M205" s="508">
        <f t="shared" si="65"/>
        <v>286</v>
      </c>
      <c r="N205" s="508">
        <f t="shared" si="67"/>
        <v>186</v>
      </c>
      <c r="O205" s="516" t="s">
        <v>258</v>
      </c>
    </row>
    <row r="206" s="487" customFormat="1" ht="34" customHeight="1" spans="1:15">
      <c r="A206" s="506">
        <v>2080806</v>
      </c>
      <c r="B206" s="507" t="s">
        <v>259</v>
      </c>
      <c r="C206" s="508">
        <v>40</v>
      </c>
      <c r="D206" s="508"/>
      <c r="E206" s="508">
        <f t="shared" si="63"/>
        <v>40</v>
      </c>
      <c r="F206" s="508">
        <v>0</v>
      </c>
      <c r="G206" s="508">
        <v>0</v>
      </c>
      <c r="H206" s="508">
        <v>0</v>
      </c>
      <c r="I206" s="508">
        <v>0</v>
      </c>
      <c r="J206" s="508">
        <f t="shared" si="64"/>
        <v>0</v>
      </c>
      <c r="K206" s="508">
        <v>40</v>
      </c>
      <c r="L206" s="508">
        <v>0</v>
      </c>
      <c r="M206" s="508">
        <f t="shared" si="65"/>
        <v>40</v>
      </c>
      <c r="N206" s="508">
        <f t="shared" si="67"/>
        <v>0</v>
      </c>
      <c r="O206" s="516"/>
    </row>
    <row r="207" s="487" customFormat="1" customHeight="1" spans="1:15">
      <c r="A207" s="506">
        <v>2080899</v>
      </c>
      <c r="B207" s="507" t="s">
        <v>260</v>
      </c>
      <c r="C207" s="508"/>
      <c r="D207" s="508">
        <v>730</v>
      </c>
      <c r="E207" s="508">
        <f t="shared" si="63"/>
        <v>730</v>
      </c>
      <c r="F207" s="508"/>
      <c r="G207" s="508"/>
      <c r="H207" s="508"/>
      <c r="I207" s="508"/>
      <c r="J207" s="508">
        <f t="shared" si="64"/>
        <v>0</v>
      </c>
      <c r="K207" s="509"/>
      <c r="L207" s="509">
        <v>730</v>
      </c>
      <c r="M207" s="508">
        <f t="shared" si="65"/>
        <v>730</v>
      </c>
      <c r="N207" s="508">
        <f t="shared" si="67"/>
        <v>0</v>
      </c>
      <c r="O207" s="516"/>
    </row>
    <row r="208" s="487" customFormat="1" customHeight="1" spans="1:15">
      <c r="A208" s="506">
        <v>20809</v>
      </c>
      <c r="B208" s="507" t="s">
        <v>261</v>
      </c>
      <c r="C208" s="508">
        <f t="shared" ref="C208:I208" si="69">C209+C211+C213</f>
        <v>88.98</v>
      </c>
      <c r="D208" s="508">
        <f>D209+D211+D213+D212+D214</f>
        <v>38</v>
      </c>
      <c r="E208" s="508">
        <f t="shared" si="63"/>
        <v>126.98</v>
      </c>
      <c r="F208" s="508">
        <f t="shared" si="69"/>
        <v>478.24</v>
      </c>
      <c r="G208" s="508">
        <f t="shared" si="69"/>
        <v>0</v>
      </c>
      <c r="H208" s="508">
        <f t="shared" si="69"/>
        <v>0</v>
      </c>
      <c r="I208" s="508">
        <f t="shared" si="69"/>
        <v>0</v>
      </c>
      <c r="J208" s="508">
        <f t="shared" si="64"/>
        <v>1256</v>
      </c>
      <c r="K208" s="508">
        <v>567.22</v>
      </c>
      <c r="L208" s="508">
        <v>1294</v>
      </c>
      <c r="M208" s="508">
        <f t="shared" si="65"/>
        <v>1861.22</v>
      </c>
      <c r="N208" s="508">
        <f t="shared" si="67"/>
        <v>1365.75838714758</v>
      </c>
      <c r="O208" s="516"/>
    </row>
    <row r="209" s="487" customFormat="1" ht="28" customHeight="1" spans="1:15">
      <c r="A209" s="506">
        <v>2080901</v>
      </c>
      <c r="B209" s="507" t="s">
        <v>262</v>
      </c>
      <c r="C209" s="508">
        <v>20</v>
      </c>
      <c r="D209" s="508"/>
      <c r="E209" s="508">
        <f t="shared" si="63"/>
        <v>20</v>
      </c>
      <c r="F209" s="508">
        <v>72</v>
      </c>
      <c r="G209" s="508">
        <v>0</v>
      </c>
      <c r="H209" s="508">
        <v>0</v>
      </c>
      <c r="I209" s="508">
        <v>0</v>
      </c>
      <c r="J209" s="508">
        <f t="shared" si="64"/>
        <v>105</v>
      </c>
      <c r="K209" s="508">
        <v>92</v>
      </c>
      <c r="L209" s="508">
        <v>105</v>
      </c>
      <c r="M209" s="508">
        <f t="shared" si="65"/>
        <v>197</v>
      </c>
      <c r="N209" s="508">
        <f t="shared" si="67"/>
        <v>885</v>
      </c>
      <c r="O209" s="516" t="s">
        <v>263</v>
      </c>
    </row>
    <row r="210" s="487" customFormat="1" ht="28" customHeight="1" spans="1:15">
      <c r="A210" s="506">
        <v>2080902</v>
      </c>
      <c r="B210" s="507" t="s">
        <v>264</v>
      </c>
      <c r="C210" s="508"/>
      <c r="D210" s="508"/>
      <c r="E210" s="508">
        <f t="shared" si="63"/>
        <v>0</v>
      </c>
      <c r="F210" s="508"/>
      <c r="G210" s="508"/>
      <c r="H210" s="508"/>
      <c r="I210" s="508"/>
      <c r="J210" s="508">
        <f t="shared" si="64"/>
        <v>1</v>
      </c>
      <c r="K210" s="508"/>
      <c r="L210" s="508">
        <v>1</v>
      </c>
      <c r="M210" s="508">
        <f t="shared" si="65"/>
        <v>1</v>
      </c>
      <c r="N210" s="508">
        <v>100</v>
      </c>
      <c r="O210" s="516"/>
    </row>
    <row r="211" s="487" customFormat="1" ht="30" customHeight="1" spans="1:15">
      <c r="A211" s="506">
        <v>2080903</v>
      </c>
      <c r="B211" s="507" t="s">
        <v>265</v>
      </c>
      <c r="C211" s="508">
        <v>4.9</v>
      </c>
      <c r="D211" s="508"/>
      <c r="E211" s="508">
        <f t="shared" si="63"/>
        <v>4.9</v>
      </c>
      <c r="F211" s="508">
        <v>0</v>
      </c>
      <c r="G211" s="508">
        <v>0</v>
      </c>
      <c r="H211" s="508">
        <v>0</v>
      </c>
      <c r="I211" s="508">
        <v>0</v>
      </c>
      <c r="J211" s="508">
        <f t="shared" si="64"/>
        <v>0</v>
      </c>
      <c r="K211" s="508">
        <v>4.9</v>
      </c>
      <c r="L211" s="508">
        <v>0</v>
      </c>
      <c r="M211" s="508">
        <f t="shared" si="65"/>
        <v>4.9</v>
      </c>
      <c r="N211" s="508">
        <f t="shared" si="67"/>
        <v>0</v>
      </c>
      <c r="O211" s="516"/>
    </row>
    <row r="212" s="487" customFormat="1" customHeight="1" spans="1:15">
      <c r="A212" s="506">
        <v>2080904</v>
      </c>
      <c r="B212" s="507" t="s">
        <v>266</v>
      </c>
      <c r="C212" s="508"/>
      <c r="D212" s="508">
        <v>9</v>
      </c>
      <c r="E212" s="508">
        <f t="shared" si="63"/>
        <v>9</v>
      </c>
      <c r="F212" s="508"/>
      <c r="G212" s="508"/>
      <c r="H212" s="508"/>
      <c r="I212" s="508"/>
      <c r="J212" s="508">
        <f t="shared" si="64"/>
        <v>4</v>
      </c>
      <c r="K212" s="509"/>
      <c r="L212" s="509">
        <v>13</v>
      </c>
      <c r="M212" s="508">
        <f t="shared" si="65"/>
        <v>13</v>
      </c>
      <c r="N212" s="508">
        <f t="shared" si="67"/>
        <v>44.4444444444444</v>
      </c>
      <c r="O212" s="516"/>
    </row>
    <row r="213" s="487" customFormat="1" ht="55" customHeight="1" spans="1:15">
      <c r="A213" s="506">
        <v>2080905</v>
      </c>
      <c r="B213" s="507" t="s">
        <v>267</v>
      </c>
      <c r="C213" s="508">
        <v>64.08</v>
      </c>
      <c r="D213" s="508">
        <v>1</v>
      </c>
      <c r="E213" s="508">
        <f t="shared" si="63"/>
        <v>65.08</v>
      </c>
      <c r="F213" s="508">
        <v>406.24</v>
      </c>
      <c r="G213" s="508">
        <v>0</v>
      </c>
      <c r="H213" s="508">
        <v>0</v>
      </c>
      <c r="I213" s="508">
        <v>0</v>
      </c>
      <c r="J213" s="508">
        <f t="shared" si="64"/>
        <v>0</v>
      </c>
      <c r="K213" s="508">
        <v>470.32</v>
      </c>
      <c r="L213" s="508">
        <v>1</v>
      </c>
      <c r="M213" s="508">
        <f t="shared" si="65"/>
        <v>471.32</v>
      </c>
      <c r="N213" s="508">
        <f t="shared" si="67"/>
        <v>624.216349108789</v>
      </c>
      <c r="O213" s="516" t="s">
        <v>268</v>
      </c>
    </row>
    <row r="214" s="487" customFormat="1" customHeight="1" spans="1:15">
      <c r="A214" s="506">
        <v>2080999</v>
      </c>
      <c r="B214" s="507" t="s">
        <v>269</v>
      </c>
      <c r="C214" s="508"/>
      <c r="D214" s="508">
        <v>28</v>
      </c>
      <c r="E214" s="508">
        <f t="shared" si="63"/>
        <v>28</v>
      </c>
      <c r="F214" s="508"/>
      <c r="G214" s="508"/>
      <c r="H214" s="509"/>
      <c r="I214" s="509"/>
      <c r="J214" s="508">
        <f t="shared" si="64"/>
        <v>1145</v>
      </c>
      <c r="K214" s="509"/>
      <c r="L214" s="509">
        <v>1173</v>
      </c>
      <c r="M214" s="508">
        <f t="shared" si="65"/>
        <v>1173</v>
      </c>
      <c r="N214" s="508">
        <f t="shared" si="67"/>
        <v>4089.28571428571</v>
      </c>
      <c r="O214" s="516"/>
    </row>
    <row r="215" s="487" customFormat="1" customHeight="1" spans="1:15">
      <c r="A215" s="506">
        <v>20810</v>
      </c>
      <c r="B215" s="507" t="s">
        <v>270</v>
      </c>
      <c r="C215" s="508">
        <f t="shared" ref="C215:I215" si="70">C216+C217+C218+C219</f>
        <v>514.46</v>
      </c>
      <c r="D215" s="508">
        <f t="shared" si="70"/>
        <v>44</v>
      </c>
      <c r="E215" s="508">
        <f t="shared" si="63"/>
        <v>558.46</v>
      </c>
      <c r="F215" s="508">
        <f t="shared" si="70"/>
        <v>28.16</v>
      </c>
      <c r="G215" s="508">
        <f t="shared" si="70"/>
        <v>0</v>
      </c>
      <c r="H215" s="508">
        <f t="shared" si="70"/>
        <v>0</v>
      </c>
      <c r="I215" s="508">
        <f t="shared" si="70"/>
        <v>6.46</v>
      </c>
      <c r="J215" s="508">
        <f t="shared" si="64"/>
        <v>202</v>
      </c>
      <c r="K215" s="508">
        <v>549.08</v>
      </c>
      <c r="L215" s="508">
        <v>246</v>
      </c>
      <c r="M215" s="508">
        <f t="shared" si="65"/>
        <v>795.08</v>
      </c>
      <c r="N215" s="508">
        <f t="shared" si="67"/>
        <v>42.3700891737994</v>
      </c>
      <c r="O215" s="516"/>
    </row>
    <row r="216" s="487" customFormat="1" customHeight="1" spans="1:15">
      <c r="A216" s="506">
        <v>2081001</v>
      </c>
      <c r="B216" s="507" t="s">
        <v>271</v>
      </c>
      <c r="C216" s="508">
        <v>6</v>
      </c>
      <c r="D216" s="508">
        <v>2</v>
      </c>
      <c r="E216" s="508">
        <f t="shared" si="63"/>
        <v>8</v>
      </c>
      <c r="F216" s="508">
        <v>2.3</v>
      </c>
      <c r="G216" s="508">
        <v>0</v>
      </c>
      <c r="H216" s="508">
        <v>0</v>
      </c>
      <c r="I216" s="508">
        <v>0</v>
      </c>
      <c r="J216" s="508">
        <f t="shared" si="64"/>
        <v>0</v>
      </c>
      <c r="K216" s="508">
        <v>8.3</v>
      </c>
      <c r="L216" s="508">
        <v>2</v>
      </c>
      <c r="M216" s="508">
        <f t="shared" si="65"/>
        <v>10.3</v>
      </c>
      <c r="N216" s="508">
        <f t="shared" si="67"/>
        <v>28.75</v>
      </c>
      <c r="O216" s="517" t="s">
        <v>272</v>
      </c>
    </row>
    <row r="217" s="487" customFormat="1" customHeight="1" spans="1:15">
      <c r="A217" s="506">
        <v>2081002</v>
      </c>
      <c r="B217" s="507" t="s">
        <v>273</v>
      </c>
      <c r="C217" s="508">
        <v>254</v>
      </c>
      <c r="D217" s="508"/>
      <c r="E217" s="508">
        <f t="shared" si="63"/>
        <v>254</v>
      </c>
      <c r="F217" s="508">
        <v>20</v>
      </c>
      <c r="G217" s="508">
        <v>0</v>
      </c>
      <c r="H217" s="508">
        <v>0</v>
      </c>
      <c r="I217" s="508">
        <v>0</v>
      </c>
      <c r="J217" s="508">
        <f t="shared" si="64"/>
        <v>109</v>
      </c>
      <c r="K217" s="508">
        <v>274</v>
      </c>
      <c r="L217" s="508">
        <v>109</v>
      </c>
      <c r="M217" s="508">
        <f t="shared" si="65"/>
        <v>383</v>
      </c>
      <c r="N217" s="508">
        <f t="shared" si="67"/>
        <v>50.7874015748031</v>
      </c>
      <c r="O217" s="517" t="s">
        <v>274</v>
      </c>
    </row>
    <row r="218" s="487" customFormat="1" customHeight="1" spans="1:15">
      <c r="A218" s="506">
        <v>2081004</v>
      </c>
      <c r="B218" s="507" t="s">
        <v>275</v>
      </c>
      <c r="C218" s="508">
        <v>202.41</v>
      </c>
      <c r="D218" s="508">
        <v>29</v>
      </c>
      <c r="E218" s="508">
        <f t="shared" si="63"/>
        <v>231.41</v>
      </c>
      <c r="F218" s="508">
        <v>3</v>
      </c>
      <c r="G218" s="508">
        <v>0</v>
      </c>
      <c r="H218" s="508">
        <v>0</v>
      </c>
      <c r="I218" s="508">
        <v>0</v>
      </c>
      <c r="J218" s="508">
        <f t="shared" si="64"/>
        <v>33</v>
      </c>
      <c r="K218" s="508">
        <v>205.41</v>
      </c>
      <c r="L218" s="508">
        <v>62</v>
      </c>
      <c r="M218" s="508">
        <f t="shared" si="65"/>
        <v>267.41</v>
      </c>
      <c r="N218" s="508">
        <f t="shared" si="67"/>
        <v>15.556803941057</v>
      </c>
      <c r="O218" s="516" t="s">
        <v>276</v>
      </c>
    </row>
    <row r="219" s="487" customFormat="1" customHeight="1" spans="1:15">
      <c r="A219" s="506">
        <v>2081005</v>
      </c>
      <c r="B219" s="507" t="s">
        <v>277</v>
      </c>
      <c r="C219" s="508">
        <v>52.05</v>
      </c>
      <c r="D219" s="508">
        <v>13</v>
      </c>
      <c r="E219" s="508">
        <f t="shared" si="63"/>
        <v>65.05</v>
      </c>
      <c r="F219" s="508">
        <v>2.86</v>
      </c>
      <c r="G219" s="508">
        <v>0</v>
      </c>
      <c r="H219" s="508">
        <v>0</v>
      </c>
      <c r="I219" s="508">
        <v>6.46</v>
      </c>
      <c r="J219" s="508">
        <f t="shared" si="64"/>
        <v>60</v>
      </c>
      <c r="K219" s="508">
        <v>61.37</v>
      </c>
      <c r="L219" s="508">
        <v>73</v>
      </c>
      <c r="M219" s="508">
        <f t="shared" si="65"/>
        <v>134.37</v>
      </c>
      <c r="N219" s="508">
        <f t="shared" si="67"/>
        <v>106.564181398924</v>
      </c>
      <c r="O219" s="516" t="s">
        <v>72</v>
      </c>
    </row>
    <row r="220" s="487" customFormat="1" customHeight="1" spans="1:15">
      <c r="A220" s="506">
        <v>20811</v>
      </c>
      <c r="B220" s="507" t="s">
        <v>278</v>
      </c>
      <c r="C220" s="508">
        <f t="shared" ref="C220:I220" si="71">C221+C222+C224+C225</f>
        <v>963.83</v>
      </c>
      <c r="D220" s="508">
        <f t="shared" si="71"/>
        <v>658</v>
      </c>
      <c r="E220" s="508">
        <f t="shared" si="63"/>
        <v>1621.83</v>
      </c>
      <c r="F220" s="508">
        <f t="shared" si="71"/>
        <v>31.95</v>
      </c>
      <c r="G220" s="508">
        <f t="shared" si="71"/>
        <v>0</v>
      </c>
      <c r="H220" s="508">
        <f t="shared" si="71"/>
        <v>0</v>
      </c>
      <c r="I220" s="508">
        <f t="shared" si="71"/>
        <v>37.85</v>
      </c>
      <c r="J220" s="508">
        <f t="shared" si="64"/>
        <v>354</v>
      </c>
      <c r="K220" s="508">
        <v>1033.63</v>
      </c>
      <c r="L220" s="508">
        <v>1012</v>
      </c>
      <c r="M220" s="508">
        <f t="shared" si="65"/>
        <v>2045.63</v>
      </c>
      <c r="N220" s="508">
        <f t="shared" si="67"/>
        <v>26.1309755029812</v>
      </c>
      <c r="O220" s="516"/>
    </row>
    <row r="221" s="487" customFormat="1" customHeight="1" spans="1:15">
      <c r="A221" s="506">
        <v>2081101</v>
      </c>
      <c r="B221" s="507" t="s">
        <v>71</v>
      </c>
      <c r="C221" s="508">
        <v>133.41</v>
      </c>
      <c r="D221" s="508"/>
      <c r="E221" s="508">
        <f t="shared" si="63"/>
        <v>133.41</v>
      </c>
      <c r="F221" s="508">
        <v>5.24</v>
      </c>
      <c r="G221" s="508">
        <v>0</v>
      </c>
      <c r="H221" s="508">
        <v>0</v>
      </c>
      <c r="I221" s="508">
        <v>37.85</v>
      </c>
      <c r="J221" s="508">
        <f t="shared" si="64"/>
        <v>0</v>
      </c>
      <c r="K221" s="508">
        <v>176.5</v>
      </c>
      <c r="L221" s="508">
        <v>0</v>
      </c>
      <c r="M221" s="508">
        <f t="shared" si="65"/>
        <v>176.5</v>
      </c>
      <c r="N221" s="508">
        <f t="shared" si="67"/>
        <v>32.2989281163331</v>
      </c>
      <c r="O221" s="516" t="s">
        <v>72</v>
      </c>
    </row>
    <row r="222" s="487" customFormat="1" customHeight="1" spans="1:15">
      <c r="A222" s="506">
        <v>2081104</v>
      </c>
      <c r="B222" s="507" t="s">
        <v>279</v>
      </c>
      <c r="C222" s="508">
        <v>30</v>
      </c>
      <c r="D222" s="508"/>
      <c r="E222" s="508">
        <f t="shared" si="63"/>
        <v>30</v>
      </c>
      <c r="F222" s="509">
        <v>13.22</v>
      </c>
      <c r="G222" s="509">
        <v>0</v>
      </c>
      <c r="H222" s="509">
        <v>0</v>
      </c>
      <c r="I222" s="509">
        <v>0</v>
      </c>
      <c r="J222" s="508">
        <f t="shared" si="64"/>
        <v>0</v>
      </c>
      <c r="K222" s="508">
        <v>43.22</v>
      </c>
      <c r="L222" s="508">
        <v>0</v>
      </c>
      <c r="M222" s="508">
        <f t="shared" si="65"/>
        <v>43.22</v>
      </c>
      <c r="N222" s="508">
        <f t="shared" si="67"/>
        <v>44.0666666666667</v>
      </c>
      <c r="O222" s="516" t="s">
        <v>280</v>
      </c>
    </row>
    <row r="223" s="487" customFormat="1" customHeight="1" spans="1:15">
      <c r="A223" s="506">
        <v>2081105</v>
      </c>
      <c r="B223" s="507" t="s">
        <v>281</v>
      </c>
      <c r="C223" s="509"/>
      <c r="D223" s="509"/>
      <c r="E223" s="508">
        <f t="shared" si="63"/>
        <v>0</v>
      </c>
      <c r="F223" s="509"/>
      <c r="G223" s="509"/>
      <c r="H223" s="508"/>
      <c r="I223" s="508"/>
      <c r="J223" s="508">
        <f t="shared" si="64"/>
        <v>11</v>
      </c>
      <c r="K223" s="509"/>
      <c r="L223" s="509">
        <v>11</v>
      </c>
      <c r="M223" s="508">
        <f t="shared" si="65"/>
        <v>11</v>
      </c>
      <c r="N223" s="508">
        <v>100</v>
      </c>
      <c r="O223" s="516"/>
    </row>
    <row r="224" s="487" customFormat="1" customHeight="1" spans="1:15">
      <c r="A224" s="506">
        <v>2081107</v>
      </c>
      <c r="B224" s="507" t="s">
        <v>282</v>
      </c>
      <c r="C224" s="508">
        <v>320</v>
      </c>
      <c r="D224" s="508"/>
      <c r="E224" s="508">
        <f t="shared" si="63"/>
        <v>320</v>
      </c>
      <c r="F224" s="509">
        <v>0</v>
      </c>
      <c r="G224" s="509">
        <v>0</v>
      </c>
      <c r="H224" s="509">
        <v>0</v>
      </c>
      <c r="I224" s="509">
        <v>0</v>
      </c>
      <c r="J224" s="508">
        <f t="shared" si="64"/>
        <v>100</v>
      </c>
      <c r="K224" s="508">
        <v>320</v>
      </c>
      <c r="L224" s="508">
        <v>100</v>
      </c>
      <c r="M224" s="508">
        <f t="shared" si="65"/>
        <v>420</v>
      </c>
      <c r="N224" s="508">
        <f t="shared" si="67"/>
        <v>31.25</v>
      </c>
      <c r="O224" s="516"/>
    </row>
    <row r="225" s="487" customFormat="1" ht="45" customHeight="1" spans="1:15">
      <c r="A225" s="506">
        <v>2081199</v>
      </c>
      <c r="B225" s="507" t="s">
        <v>283</v>
      </c>
      <c r="C225" s="508">
        <v>480.42</v>
      </c>
      <c r="D225" s="508">
        <v>658</v>
      </c>
      <c r="E225" s="508">
        <f t="shared" si="63"/>
        <v>1138.42</v>
      </c>
      <c r="F225" s="509">
        <v>13.49</v>
      </c>
      <c r="G225" s="509">
        <v>0</v>
      </c>
      <c r="H225" s="509">
        <v>0</v>
      </c>
      <c r="I225" s="509">
        <v>0</v>
      </c>
      <c r="J225" s="508">
        <f t="shared" si="64"/>
        <v>242</v>
      </c>
      <c r="K225" s="508">
        <v>493.91</v>
      </c>
      <c r="L225" s="508">
        <v>900</v>
      </c>
      <c r="M225" s="508">
        <f t="shared" si="65"/>
        <v>1393.91</v>
      </c>
      <c r="N225" s="508">
        <f t="shared" si="67"/>
        <v>22.4425080374554</v>
      </c>
      <c r="O225" s="516" t="s">
        <v>284</v>
      </c>
    </row>
    <row r="226" s="487" customFormat="1" customHeight="1" spans="1:15">
      <c r="A226" s="506">
        <v>20816</v>
      </c>
      <c r="B226" s="507" t="s">
        <v>285</v>
      </c>
      <c r="C226" s="508">
        <f t="shared" ref="C226:I226" si="72">C227+C228</f>
        <v>54.97</v>
      </c>
      <c r="D226" s="508">
        <f t="shared" si="72"/>
        <v>0</v>
      </c>
      <c r="E226" s="508">
        <f t="shared" si="63"/>
        <v>54.97</v>
      </c>
      <c r="F226" s="508">
        <f t="shared" si="72"/>
        <v>1.43</v>
      </c>
      <c r="G226" s="508">
        <f t="shared" si="72"/>
        <v>0</v>
      </c>
      <c r="H226" s="508">
        <f t="shared" si="72"/>
        <v>0</v>
      </c>
      <c r="I226" s="508">
        <f t="shared" si="72"/>
        <v>8.55</v>
      </c>
      <c r="J226" s="508">
        <f t="shared" si="64"/>
        <v>0</v>
      </c>
      <c r="K226" s="508">
        <v>64.95</v>
      </c>
      <c r="L226" s="508">
        <v>0</v>
      </c>
      <c r="M226" s="508">
        <f t="shared" si="65"/>
        <v>64.95</v>
      </c>
      <c r="N226" s="508">
        <f t="shared" si="67"/>
        <v>18.1553574677097</v>
      </c>
      <c r="O226" s="516"/>
    </row>
    <row r="227" s="487" customFormat="1" customHeight="1" spans="1:15">
      <c r="A227" s="506">
        <v>2081601</v>
      </c>
      <c r="B227" s="507" t="s">
        <v>71</v>
      </c>
      <c r="C227" s="508">
        <v>29.97</v>
      </c>
      <c r="D227" s="508"/>
      <c r="E227" s="508">
        <f t="shared" si="63"/>
        <v>29.97</v>
      </c>
      <c r="F227" s="509">
        <v>1.43</v>
      </c>
      <c r="G227" s="509">
        <v>0</v>
      </c>
      <c r="H227" s="509">
        <v>0</v>
      </c>
      <c r="I227" s="509">
        <v>7.55</v>
      </c>
      <c r="J227" s="508">
        <f t="shared" si="64"/>
        <v>0</v>
      </c>
      <c r="K227" s="508">
        <v>38.95</v>
      </c>
      <c r="L227" s="508">
        <v>0</v>
      </c>
      <c r="M227" s="508">
        <f t="shared" si="65"/>
        <v>38.95</v>
      </c>
      <c r="N227" s="508">
        <f t="shared" si="67"/>
        <v>29.9632966299633</v>
      </c>
      <c r="O227" s="516" t="s">
        <v>72</v>
      </c>
    </row>
    <row r="228" s="487" customFormat="1" customHeight="1" spans="1:15">
      <c r="A228" s="506">
        <v>2081699</v>
      </c>
      <c r="B228" s="507" t="s">
        <v>286</v>
      </c>
      <c r="C228" s="508">
        <v>25</v>
      </c>
      <c r="D228" s="508"/>
      <c r="E228" s="508">
        <f t="shared" si="63"/>
        <v>25</v>
      </c>
      <c r="F228" s="509">
        <v>0</v>
      </c>
      <c r="G228" s="509">
        <v>0</v>
      </c>
      <c r="H228" s="509">
        <v>0</v>
      </c>
      <c r="I228" s="509">
        <v>1</v>
      </c>
      <c r="J228" s="508">
        <f t="shared" si="64"/>
        <v>0</v>
      </c>
      <c r="K228" s="508">
        <v>26</v>
      </c>
      <c r="L228" s="508">
        <v>0</v>
      </c>
      <c r="M228" s="508">
        <f t="shared" si="65"/>
        <v>26</v>
      </c>
      <c r="N228" s="508">
        <f t="shared" si="67"/>
        <v>4</v>
      </c>
      <c r="O228" s="516"/>
    </row>
    <row r="229" s="487" customFormat="1" customHeight="1" spans="1:15">
      <c r="A229" s="506">
        <v>20819</v>
      </c>
      <c r="B229" s="507" t="s">
        <v>287</v>
      </c>
      <c r="C229" s="508">
        <v>120</v>
      </c>
      <c r="D229" s="508">
        <v>1751</v>
      </c>
      <c r="E229" s="508">
        <f t="shared" si="63"/>
        <v>1871</v>
      </c>
      <c r="F229" s="508">
        <v>420</v>
      </c>
      <c r="G229" s="508">
        <v>0</v>
      </c>
      <c r="H229" s="508">
        <v>0</v>
      </c>
      <c r="I229" s="508">
        <v>0</v>
      </c>
      <c r="J229" s="508">
        <f t="shared" si="64"/>
        <v>611</v>
      </c>
      <c r="K229" s="508">
        <v>540</v>
      </c>
      <c r="L229" s="508">
        <v>2362</v>
      </c>
      <c r="M229" s="508">
        <f t="shared" si="65"/>
        <v>2902</v>
      </c>
      <c r="N229" s="508">
        <f t="shared" si="67"/>
        <v>55.1042223409941</v>
      </c>
      <c r="O229" s="517"/>
    </row>
    <row r="230" s="487" customFormat="1" customHeight="1" spans="1:15">
      <c r="A230" s="506">
        <v>2081901</v>
      </c>
      <c r="B230" s="507" t="s">
        <v>288</v>
      </c>
      <c r="C230" s="508">
        <v>70</v>
      </c>
      <c r="D230" s="508">
        <v>833</v>
      </c>
      <c r="E230" s="508">
        <f t="shared" si="63"/>
        <v>903</v>
      </c>
      <c r="F230" s="509">
        <v>100</v>
      </c>
      <c r="G230" s="509">
        <v>0</v>
      </c>
      <c r="H230" s="509">
        <v>0</v>
      </c>
      <c r="I230" s="509">
        <v>0</v>
      </c>
      <c r="J230" s="508">
        <f t="shared" si="64"/>
        <v>176</v>
      </c>
      <c r="K230" s="508">
        <v>170</v>
      </c>
      <c r="L230" s="508">
        <v>1009</v>
      </c>
      <c r="M230" s="508">
        <f t="shared" si="65"/>
        <v>1179</v>
      </c>
      <c r="N230" s="508">
        <f t="shared" si="67"/>
        <v>30.5647840531561</v>
      </c>
      <c r="O230" s="516" t="s">
        <v>289</v>
      </c>
    </row>
    <row r="231" s="487" customFormat="1" customHeight="1" spans="1:15">
      <c r="A231" s="506">
        <v>2081902</v>
      </c>
      <c r="B231" s="507" t="s">
        <v>290</v>
      </c>
      <c r="C231" s="508">
        <v>50</v>
      </c>
      <c r="D231" s="508">
        <v>918</v>
      </c>
      <c r="E231" s="508">
        <f t="shared" si="63"/>
        <v>968</v>
      </c>
      <c r="F231" s="509">
        <v>320</v>
      </c>
      <c r="G231" s="509">
        <v>0</v>
      </c>
      <c r="H231" s="509">
        <v>0</v>
      </c>
      <c r="I231" s="509">
        <v>0</v>
      </c>
      <c r="J231" s="508">
        <f t="shared" si="64"/>
        <v>435</v>
      </c>
      <c r="K231" s="508">
        <v>370</v>
      </c>
      <c r="L231" s="508">
        <v>1353</v>
      </c>
      <c r="M231" s="508">
        <f t="shared" si="65"/>
        <v>1723</v>
      </c>
      <c r="N231" s="508">
        <f t="shared" si="67"/>
        <v>77.995867768595</v>
      </c>
      <c r="O231" s="516" t="s">
        <v>291</v>
      </c>
    </row>
    <row r="232" s="487" customFormat="1" customHeight="1" spans="1:15">
      <c r="A232" s="506">
        <v>20820</v>
      </c>
      <c r="B232" s="507" t="s">
        <v>292</v>
      </c>
      <c r="C232" s="508">
        <f t="shared" ref="C232:I232" si="73">C233+C234</f>
        <v>17.04</v>
      </c>
      <c r="D232" s="508">
        <f t="shared" si="73"/>
        <v>45</v>
      </c>
      <c r="E232" s="508">
        <f t="shared" si="63"/>
        <v>62.04</v>
      </c>
      <c r="F232" s="508">
        <f t="shared" si="73"/>
        <v>209.6</v>
      </c>
      <c r="G232" s="508">
        <f t="shared" si="73"/>
        <v>0</v>
      </c>
      <c r="H232" s="508">
        <f t="shared" si="73"/>
        <v>0</v>
      </c>
      <c r="I232" s="508">
        <f t="shared" si="73"/>
        <v>176.94</v>
      </c>
      <c r="J232" s="508">
        <f t="shared" si="64"/>
        <v>174</v>
      </c>
      <c r="K232" s="508">
        <v>403.58</v>
      </c>
      <c r="L232" s="508">
        <v>219</v>
      </c>
      <c r="M232" s="508">
        <f t="shared" si="65"/>
        <v>622.58</v>
      </c>
      <c r="N232" s="508">
        <f t="shared" si="67"/>
        <v>903.5138620245</v>
      </c>
      <c r="O232" s="516"/>
    </row>
    <row r="233" s="487" customFormat="1" customHeight="1" spans="1:15">
      <c r="A233" s="506">
        <v>2082001</v>
      </c>
      <c r="B233" s="507" t="s">
        <v>293</v>
      </c>
      <c r="C233" s="508">
        <v>15.04</v>
      </c>
      <c r="D233" s="508">
        <v>45</v>
      </c>
      <c r="E233" s="508">
        <f t="shared" si="63"/>
        <v>60.04</v>
      </c>
      <c r="F233" s="509">
        <v>209.6</v>
      </c>
      <c r="G233" s="509">
        <v>0</v>
      </c>
      <c r="H233" s="509">
        <v>0</v>
      </c>
      <c r="I233" s="509">
        <v>176.94</v>
      </c>
      <c r="J233" s="508">
        <f t="shared" si="64"/>
        <v>174</v>
      </c>
      <c r="K233" s="508">
        <v>401.58</v>
      </c>
      <c r="L233" s="508">
        <v>219</v>
      </c>
      <c r="M233" s="508">
        <f t="shared" si="65"/>
        <v>620.58</v>
      </c>
      <c r="N233" s="508">
        <f t="shared" si="67"/>
        <v>933.6109260493</v>
      </c>
      <c r="O233" s="516" t="s">
        <v>294</v>
      </c>
    </row>
    <row r="234" s="487" customFormat="1" customHeight="1" spans="1:15">
      <c r="A234" s="506">
        <v>2082002</v>
      </c>
      <c r="B234" s="507" t="s">
        <v>295</v>
      </c>
      <c r="C234" s="508">
        <v>2</v>
      </c>
      <c r="D234" s="508"/>
      <c r="E234" s="508">
        <f t="shared" si="63"/>
        <v>2</v>
      </c>
      <c r="F234" s="509">
        <v>0</v>
      </c>
      <c r="G234" s="509">
        <v>0</v>
      </c>
      <c r="H234" s="509">
        <v>0</v>
      </c>
      <c r="I234" s="509">
        <v>0</v>
      </c>
      <c r="J234" s="508">
        <f t="shared" si="64"/>
        <v>0</v>
      </c>
      <c r="K234" s="508">
        <v>2</v>
      </c>
      <c r="L234" s="508">
        <v>0</v>
      </c>
      <c r="M234" s="508">
        <f t="shared" si="65"/>
        <v>2</v>
      </c>
      <c r="N234" s="508">
        <f t="shared" si="67"/>
        <v>0</v>
      </c>
      <c r="O234" s="516"/>
    </row>
    <row r="235" s="487" customFormat="1" customHeight="1" spans="1:15">
      <c r="A235" s="506">
        <v>20821</v>
      </c>
      <c r="B235" s="507" t="s">
        <v>296</v>
      </c>
      <c r="C235" s="508">
        <v>2</v>
      </c>
      <c r="D235" s="508">
        <v>210</v>
      </c>
      <c r="E235" s="508">
        <f t="shared" si="63"/>
        <v>212</v>
      </c>
      <c r="F235" s="508">
        <v>0</v>
      </c>
      <c r="G235" s="508">
        <v>0</v>
      </c>
      <c r="H235" s="508">
        <v>0</v>
      </c>
      <c r="I235" s="508">
        <v>0</v>
      </c>
      <c r="J235" s="508">
        <f t="shared" si="64"/>
        <v>0</v>
      </c>
      <c r="K235" s="508">
        <v>2</v>
      </c>
      <c r="L235" s="508">
        <v>210</v>
      </c>
      <c r="M235" s="508">
        <f t="shared" si="65"/>
        <v>212</v>
      </c>
      <c r="N235" s="508">
        <f t="shared" si="67"/>
        <v>0</v>
      </c>
      <c r="O235" s="516"/>
    </row>
    <row r="236" s="487" customFormat="1" ht="30" customHeight="1" spans="1:15">
      <c r="A236" s="506">
        <v>2082101</v>
      </c>
      <c r="B236" s="507" t="s">
        <v>297</v>
      </c>
      <c r="C236" s="508">
        <v>1</v>
      </c>
      <c r="D236" s="508"/>
      <c r="E236" s="508">
        <f t="shared" si="63"/>
        <v>1</v>
      </c>
      <c r="F236" s="509">
        <v>0</v>
      </c>
      <c r="G236" s="509">
        <v>0</v>
      </c>
      <c r="H236" s="509">
        <v>0</v>
      </c>
      <c r="I236" s="509">
        <v>0</v>
      </c>
      <c r="J236" s="508">
        <f t="shared" si="64"/>
        <v>0</v>
      </c>
      <c r="K236" s="508">
        <v>1</v>
      </c>
      <c r="L236" s="508">
        <v>0</v>
      </c>
      <c r="M236" s="508">
        <f t="shared" si="65"/>
        <v>1</v>
      </c>
      <c r="N236" s="508">
        <f t="shared" si="67"/>
        <v>0</v>
      </c>
      <c r="O236" s="516"/>
    </row>
    <row r="237" s="487" customFormat="1" ht="30" customHeight="1" spans="1:15">
      <c r="A237" s="506">
        <v>2082102</v>
      </c>
      <c r="B237" s="507" t="s">
        <v>298</v>
      </c>
      <c r="C237" s="508">
        <v>1</v>
      </c>
      <c r="D237" s="508">
        <v>210</v>
      </c>
      <c r="E237" s="508">
        <f t="shared" si="63"/>
        <v>211</v>
      </c>
      <c r="F237" s="509">
        <v>0</v>
      </c>
      <c r="G237" s="509">
        <v>0</v>
      </c>
      <c r="H237" s="509">
        <v>0</v>
      </c>
      <c r="I237" s="509">
        <v>0</v>
      </c>
      <c r="J237" s="508">
        <f t="shared" si="64"/>
        <v>0</v>
      </c>
      <c r="K237" s="508">
        <v>1</v>
      </c>
      <c r="L237" s="508">
        <v>210</v>
      </c>
      <c r="M237" s="508">
        <f t="shared" si="65"/>
        <v>211</v>
      </c>
      <c r="N237" s="508">
        <f t="shared" si="67"/>
        <v>0</v>
      </c>
      <c r="O237" s="516"/>
    </row>
    <row r="238" s="487" customFormat="1" customHeight="1" spans="1:15">
      <c r="A238" s="506">
        <v>20825</v>
      </c>
      <c r="B238" s="507" t="s">
        <v>299</v>
      </c>
      <c r="C238" s="508">
        <f t="shared" ref="C238:I238" si="74">C239</f>
        <v>0.5</v>
      </c>
      <c r="D238" s="508">
        <f t="shared" si="74"/>
        <v>0</v>
      </c>
      <c r="E238" s="508">
        <f t="shared" si="63"/>
        <v>0.5</v>
      </c>
      <c r="F238" s="508">
        <f t="shared" si="74"/>
        <v>0</v>
      </c>
      <c r="G238" s="508">
        <f t="shared" si="74"/>
        <v>0</v>
      </c>
      <c r="H238" s="508">
        <f t="shared" si="74"/>
        <v>0</v>
      </c>
      <c r="I238" s="508">
        <f t="shared" si="74"/>
        <v>0</v>
      </c>
      <c r="J238" s="508">
        <f t="shared" si="64"/>
        <v>18</v>
      </c>
      <c r="K238" s="508">
        <v>0.5</v>
      </c>
      <c r="L238" s="508">
        <v>18</v>
      </c>
      <c r="M238" s="508">
        <f t="shared" si="65"/>
        <v>18.5</v>
      </c>
      <c r="N238" s="508">
        <f t="shared" si="67"/>
        <v>3600</v>
      </c>
      <c r="O238" s="516"/>
    </row>
    <row r="239" s="487" customFormat="1" customHeight="1" spans="1:15">
      <c r="A239" s="506">
        <v>2082501</v>
      </c>
      <c r="B239" s="507" t="s">
        <v>300</v>
      </c>
      <c r="C239" s="508">
        <v>0.5</v>
      </c>
      <c r="D239" s="508"/>
      <c r="E239" s="508">
        <f t="shared" si="63"/>
        <v>0.5</v>
      </c>
      <c r="F239" s="509">
        <v>0</v>
      </c>
      <c r="G239" s="509">
        <v>0</v>
      </c>
      <c r="H239" s="509">
        <v>0</v>
      </c>
      <c r="I239" s="509">
        <v>0</v>
      </c>
      <c r="J239" s="508">
        <f t="shared" si="64"/>
        <v>6</v>
      </c>
      <c r="K239" s="508">
        <v>0.5</v>
      </c>
      <c r="L239" s="508">
        <v>6</v>
      </c>
      <c r="M239" s="508">
        <f t="shared" si="65"/>
        <v>6.5</v>
      </c>
      <c r="N239" s="508">
        <f t="shared" si="67"/>
        <v>1200</v>
      </c>
      <c r="O239" s="516"/>
    </row>
    <row r="240" s="487" customFormat="1" customHeight="1" spans="1:15">
      <c r="A240" s="506">
        <v>2082502</v>
      </c>
      <c r="B240" s="507" t="s">
        <v>301</v>
      </c>
      <c r="C240" s="509"/>
      <c r="D240" s="509"/>
      <c r="E240" s="508">
        <f t="shared" si="63"/>
        <v>0</v>
      </c>
      <c r="F240" s="509"/>
      <c r="G240" s="509"/>
      <c r="H240" s="508"/>
      <c r="I240" s="508"/>
      <c r="J240" s="508">
        <f t="shared" si="64"/>
        <v>12</v>
      </c>
      <c r="K240" s="509"/>
      <c r="L240" s="509">
        <v>12</v>
      </c>
      <c r="M240" s="508">
        <f t="shared" si="65"/>
        <v>12</v>
      </c>
      <c r="N240" s="508">
        <v>100</v>
      </c>
      <c r="O240" s="516"/>
    </row>
    <row r="241" s="487" customFormat="1" ht="30" customHeight="1" spans="1:15">
      <c r="A241" s="506">
        <v>20826</v>
      </c>
      <c r="B241" s="507" t="s">
        <v>302</v>
      </c>
      <c r="C241" s="508">
        <f t="shared" ref="C241:I241" si="75">C242+C243</f>
        <v>723.84</v>
      </c>
      <c r="D241" s="508">
        <f t="shared" si="75"/>
        <v>7194</v>
      </c>
      <c r="E241" s="508">
        <f t="shared" si="63"/>
        <v>7917.84</v>
      </c>
      <c r="F241" s="508">
        <f t="shared" si="75"/>
        <v>40.8</v>
      </c>
      <c r="G241" s="508">
        <f t="shared" si="75"/>
        <v>0</v>
      </c>
      <c r="H241" s="508">
        <f t="shared" si="75"/>
        <v>0</v>
      </c>
      <c r="I241" s="508">
        <f t="shared" si="75"/>
        <v>0</v>
      </c>
      <c r="J241" s="508">
        <f t="shared" si="64"/>
        <v>616</v>
      </c>
      <c r="K241" s="508">
        <v>764.64</v>
      </c>
      <c r="L241" s="508">
        <v>7810</v>
      </c>
      <c r="M241" s="508">
        <f t="shared" si="65"/>
        <v>8574.64</v>
      </c>
      <c r="N241" s="508">
        <f t="shared" ref="N240:N271" si="76">(M241-E241)/E241*100</f>
        <v>8.29519161791599</v>
      </c>
      <c r="O241" s="517"/>
    </row>
    <row r="242" s="487" customFormat="1" ht="30" customHeight="1" spans="1:15">
      <c r="A242" s="506">
        <v>2082602</v>
      </c>
      <c r="B242" s="507" t="s">
        <v>303</v>
      </c>
      <c r="C242" s="508">
        <v>720</v>
      </c>
      <c r="D242" s="508">
        <v>7194</v>
      </c>
      <c r="E242" s="508">
        <f t="shared" si="63"/>
        <v>7914</v>
      </c>
      <c r="F242" s="509">
        <v>36</v>
      </c>
      <c r="G242" s="509">
        <v>0</v>
      </c>
      <c r="H242" s="509">
        <v>0</v>
      </c>
      <c r="I242" s="509">
        <v>0</v>
      </c>
      <c r="J242" s="508">
        <f t="shared" si="64"/>
        <v>616</v>
      </c>
      <c r="K242" s="508">
        <v>756</v>
      </c>
      <c r="L242" s="508">
        <v>7810</v>
      </c>
      <c r="M242" s="508">
        <f t="shared" si="65"/>
        <v>8566</v>
      </c>
      <c r="N242" s="508">
        <f t="shared" si="76"/>
        <v>8.23856456911802</v>
      </c>
      <c r="O242" s="516" t="s">
        <v>304</v>
      </c>
    </row>
    <row r="243" s="487" customFormat="1" ht="46" customHeight="1" spans="1:15">
      <c r="A243" s="506">
        <v>2082699</v>
      </c>
      <c r="B243" s="507" t="s">
        <v>305</v>
      </c>
      <c r="C243" s="508">
        <v>3.84</v>
      </c>
      <c r="D243" s="508"/>
      <c r="E243" s="508">
        <f t="shared" si="63"/>
        <v>3.84</v>
      </c>
      <c r="F243" s="509">
        <v>4.8</v>
      </c>
      <c r="G243" s="509">
        <v>0</v>
      </c>
      <c r="H243" s="509">
        <v>0</v>
      </c>
      <c r="I243" s="509">
        <v>0</v>
      </c>
      <c r="J243" s="508">
        <f t="shared" si="64"/>
        <v>0</v>
      </c>
      <c r="K243" s="508">
        <v>8.64</v>
      </c>
      <c r="L243" s="508">
        <v>0</v>
      </c>
      <c r="M243" s="508">
        <f t="shared" si="65"/>
        <v>8.64</v>
      </c>
      <c r="N243" s="508">
        <f t="shared" si="76"/>
        <v>125</v>
      </c>
      <c r="O243" s="516" t="s">
        <v>306</v>
      </c>
    </row>
    <row r="244" s="487" customFormat="1" customHeight="1" spans="1:15">
      <c r="A244" s="506">
        <v>20828</v>
      </c>
      <c r="B244" s="507" t="s">
        <v>307</v>
      </c>
      <c r="C244" s="508">
        <f t="shared" ref="C244:I244" si="77">C245+C246+C247+C248+C249</f>
        <v>290.8</v>
      </c>
      <c r="D244" s="508">
        <f t="shared" si="77"/>
        <v>0</v>
      </c>
      <c r="E244" s="508">
        <f t="shared" si="63"/>
        <v>290.8</v>
      </c>
      <c r="F244" s="508">
        <f t="shared" si="77"/>
        <v>3.81</v>
      </c>
      <c r="G244" s="508">
        <f t="shared" si="77"/>
        <v>0</v>
      </c>
      <c r="H244" s="508">
        <f t="shared" si="77"/>
        <v>0</v>
      </c>
      <c r="I244" s="508">
        <f t="shared" si="77"/>
        <v>53.51</v>
      </c>
      <c r="J244" s="508">
        <f t="shared" si="64"/>
        <v>246</v>
      </c>
      <c r="K244" s="508">
        <v>348.13</v>
      </c>
      <c r="L244" s="508">
        <v>246</v>
      </c>
      <c r="M244" s="508">
        <f t="shared" si="65"/>
        <v>594.13</v>
      </c>
      <c r="N244" s="508">
        <f t="shared" si="76"/>
        <v>104.308803301238</v>
      </c>
      <c r="O244" s="516"/>
    </row>
    <row r="245" s="487" customFormat="1" customHeight="1" spans="1:15">
      <c r="A245" s="506">
        <v>2082801</v>
      </c>
      <c r="B245" s="507" t="s">
        <v>71</v>
      </c>
      <c r="C245" s="508">
        <v>111.8</v>
      </c>
      <c r="D245" s="508"/>
      <c r="E245" s="508">
        <f t="shared" si="63"/>
        <v>111.8</v>
      </c>
      <c r="F245" s="509">
        <v>3.81</v>
      </c>
      <c r="G245" s="509">
        <v>0</v>
      </c>
      <c r="H245" s="509">
        <v>0</v>
      </c>
      <c r="I245" s="509">
        <v>33.3</v>
      </c>
      <c r="J245" s="508">
        <f t="shared" si="64"/>
        <v>19</v>
      </c>
      <c r="K245" s="508">
        <v>148.91</v>
      </c>
      <c r="L245" s="508">
        <v>19</v>
      </c>
      <c r="M245" s="508">
        <f t="shared" si="65"/>
        <v>167.91</v>
      </c>
      <c r="N245" s="508">
        <f t="shared" si="76"/>
        <v>50.1878354203936</v>
      </c>
      <c r="O245" s="516" t="s">
        <v>308</v>
      </c>
    </row>
    <row r="246" s="487" customFormat="1" customHeight="1" spans="1:15">
      <c r="A246" s="506">
        <v>2082802</v>
      </c>
      <c r="B246" s="507" t="s">
        <v>87</v>
      </c>
      <c r="C246" s="508">
        <v>68</v>
      </c>
      <c r="D246" s="508"/>
      <c r="E246" s="508">
        <f t="shared" si="63"/>
        <v>68</v>
      </c>
      <c r="F246" s="509">
        <v>0</v>
      </c>
      <c r="G246" s="509">
        <v>0</v>
      </c>
      <c r="H246" s="509">
        <v>0</v>
      </c>
      <c r="I246" s="509">
        <v>0</v>
      </c>
      <c r="J246" s="508">
        <f t="shared" si="64"/>
        <v>4</v>
      </c>
      <c r="K246" s="508">
        <v>68</v>
      </c>
      <c r="L246" s="508">
        <v>4</v>
      </c>
      <c r="M246" s="508">
        <f t="shared" si="65"/>
        <v>72</v>
      </c>
      <c r="N246" s="508">
        <f t="shared" si="76"/>
        <v>5.88235294117647</v>
      </c>
      <c r="O246" s="516"/>
    </row>
    <row r="247" s="487" customFormat="1" customHeight="1" spans="1:15">
      <c r="A247" s="506">
        <v>2082804</v>
      </c>
      <c r="B247" s="507" t="s">
        <v>309</v>
      </c>
      <c r="C247" s="508">
        <v>105</v>
      </c>
      <c r="D247" s="508"/>
      <c r="E247" s="508">
        <f t="shared" si="63"/>
        <v>105</v>
      </c>
      <c r="F247" s="509">
        <v>0</v>
      </c>
      <c r="G247" s="509">
        <v>0</v>
      </c>
      <c r="H247" s="509">
        <v>0</v>
      </c>
      <c r="I247" s="509">
        <v>0.43</v>
      </c>
      <c r="J247" s="508">
        <f t="shared" si="64"/>
        <v>93</v>
      </c>
      <c r="K247" s="508">
        <v>105.43</v>
      </c>
      <c r="L247" s="508">
        <v>93</v>
      </c>
      <c r="M247" s="508">
        <f t="shared" si="65"/>
        <v>198.43</v>
      </c>
      <c r="N247" s="508">
        <f t="shared" si="76"/>
        <v>88.9809523809524</v>
      </c>
      <c r="O247" s="516"/>
    </row>
    <row r="248" s="487" customFormat="1" customHeight="1" spans="1:15">
      <c r="A248" s="506">
        <v>2082850</v>
      </c>
      <c r="B248" s="507" t="s">
        <v>105</v>
      </c>
      <c r="C248" s="508">
        <v>0</v>
      </c>
      <c r="D248" s="508"/>
      <c r="E248" s="508">
        <f t="shared" si="63"/>
        <v>0</v>
      </c>
      <c r="F248" s="509">
        <v>0</v>
      </c>
      <c r="G248" s="509">
        <v>0</v>
      </c>
      <c r="H248" s="509">
        <v>0</v>
      </c>
      <c r="I248" s="509">
        <v>19.78</v>
      </c>
      <c r="J248" s="508">
        <f t="shared" si="64"/>
        <v>0</v>
      </c>
      <c r="K248" s="508">
        <v>19.79</v>
      </c>
      <c r="L248" s="508">
        <v>0</v>
      </c>
      <c r="M248" s="508">
        <f t="shared" si="65"/>
        <v>19.79</v>
      </c>
      <c r="N248" s="508">
        <v>100</v>
      </c>
      <c r="O248" s="516"/>
    </row>
    <row r="249" s="487" customFormat="1" ht="28" customHeight="1" spans="1:15">
      <c r="A249" s="506">
        <v>2082899</v>
      </c>
      <c r="B249" s="507" t="s">
        <v>310</v>
      </c>
      <c r="C249" s="508">
        <v>6</v>
      </c>
      <c r="D249" s="508"/>
      <c r="E249" s="508">
        <f t="shared" si="63"/>
        <v>6</v>
      </c>
      <c r="F249" s="509">
        <v>0</v>
      </c>
      <c r="G249" s="509">
        <v>0</v>
      </c>
      <c r="H249" s="509">
        <v>0</v>
      </c>
      <c r="I249" s="509">
        <v>0</v>
      </c>
      <c r="J249" s="508">
        <f t="shared" si="64"/>
        <v>131</v>
      </c>
      <c r="K249" s="508">
        <v>6</v>
      </c>
      <c r="L249" s="508">
        <v>131</v>
      </c>
      <c r="M249" s="508">
        <f t="shared" si="65"/>
        <v>137</v>
      </c>
      <c r="N249" s="508">
        <f t="shared" si="76"/>
        <v>2183.33333333333</v>
      </c>
      <c r="O249" s="516"/>
    </row>
    <row r="250" s="487" customFormat="1" customHeight="1" spans="1:15">
      <c r="A250" s="506">
        <v>20899</v>
      </c>
      <c r="B250" s="507" t="s">
        <v>311</v>
      </c>
      <c r="C250" s="508">
        <f t="shared" ref="C250:I250" si="78">C251</f>
        <v>671.71</v>
      </c>
      <c r="D250" s="508">
        <f t="shared" si="78"/>
        <v>231</v>
      </c>
      <c r="E250" s="508">
        <f t="shared" si="63"/>
        <v>902.71</v>
      </c>
      <c r="F250" s="508">
        <f t="shared" si="78"/>
        <v>0.0699999999999952</v>
      </c>
      <c r="G250" s="508">
        <f t="shared" si="78"/>
        <v>0</v>
      </c>
      <c r="H250" s="508">
        <f t="shared" si="78"/>
        <v>0</v>
      </c>
      <c r="I250" s="508">
        <f t="shared" si="78"/>
        <v>-77.61</v>
      </c>
      <c r="J250" s="508">
        <f t="shared" si="64"/>
        <v>1135</v>
      </c>
      <c r="K250" s="508">
        <v>594.18</v>
      </c>
      <c r="L250" s="508">
        <v>1366</v>
      </c>
      <c r="M250" s="508">
        <f t="shared" si="65"/>
        <v>1960.18</v>
      </c>
      <c r="N250" s="508">
        <f t="shared" si="76"/>
        <v>117.143933267605</v>
      </c>
      <c r="O250" s="516"/>
    </row>
    <row r="251" s="487" customFormat="1" customHeight="1" spans="1:15">
      <c r="A251" s="506">
        <v>2089901</v>
      </c>
      <c r="B251" s="507" t="s">
        <v>311</v>
      </c>
      <c r="C251" s="508">
        <v>671.71</v>
      </c>
      <c r="D251" s="508">
        <v>231</v>
      </c>
      <c r="E251" s="508">
        <f t="shared" si="63"/>
        <v>902.71</v>
      </c>
      <c r="F251" s="509">
        <v>0.0699999999999952</v>
      </c>
      <c r="G251" s="509">
        <v>0</v>
      </c>
      <c r="H251" s="509">
        <v>0</v>
      </c>
      <c r="I251" s="509">
        <v>-77.61</v>
      </c>
      <c r="J251" s="508">
        <f t="shared" si="64"/>
        <v>1135</v>
      </c>
      <c r="K251" s="508">
        <v>594.18</v>
      </c>
      <c r="L251" s="508">
        <v>1366</v>
      </c>
      <c r="M251" s="508">
        <f t="shared" si="65"/>
        <v>1960.18</v>
      </c>
      <c r="N251" s="508">
        <f t="shared" si="76"/>
        <v>117.143933267605</v>
      </c>
      <c r="O251" s="516"/>
    </row>
    <row r="252" s="487" customFormat="1" customHeight="1" spans="1:15">
      <c r="A252" s="506">
        <v>210</v>
      </c>
      <c r="B252" s="507" t="s">
        <v>312</v>
      </c>
      <c r="C252" s="508">
        <f t="shared" ref="C252:I252" si="79">C253+C257+C260+C264+C273+C276+C278+C280+C283+C286+C288+C290</f>
        <v>6256.55</v>
      </c>
      <c r="D252" s="508">
        <f t="shared" si="79"/>
        <v>14895</v>
      </c>
      <c r="E252" s="508">
        <f t="shared" si="63"/>
        <v>21151.55</v>
      </c>
      <c r="F252" s="509">
        <f t="shared" si="79"/>
        <v>1257.17</v>
      </c>
      <c r="G252" s="509">
        <f t="shared" si="79"/>
        <v>600</v>
      </c>
      <c r="H252" s="509">
        <f t="shared" si="79"/>
        <v>0</v>
      </c>
      <c r="I252" s="509">
        <f t="shared" si="79"/>
        <v>152.81</v>
      </c>
      <c r="J252" s="508">
        <f t="shared" si="64"/>
        <v>2098</v>
      </c>
      <c r="K252" s="508">
        <v>8266.54</v>
      </c>
      <c r="L252" s="508">
        <v>16993</v>
      </c>
      <c r="M252" s="508">
        <f t="shared" si="65"/>
        <v>25259.54</v>
      </c>
      <c r="N252" s="508">
        <f t="shared" si="76"/>
        <v>19.4216972278627</v>
      </c>
      <c r="O252" s="516"/>
    </row>
    <row r="253" s="487" customFormat="1" customHeight="1" spans="1:15">
      <c r="A253" s="506">
        <v>21001</v>
      </c>
      <c r="B253" s="507" t="s">
        <v>313</v>
      </c>
      <c r="C253" s="508">
        <f t="shared" ref="C253:I253" si="80">C254+C255+C256</f>
        <v>293.66</v>
      </c>
      <c r="D253" s="508">
        <f t="shared" si="80"/>
        <v>0</v>
      </c>
      <c r="E253" s="508">
        <f t="shared" si="63"/>
        <v>293.66</v>
      </c>
      <c r="F253" s="508">
        <f t="shared" si="80"/>
        <v>-10.97</v>
      </c>
      <c r="G253" s="508">
        <f t="shared" si="80"/>
        <v>0</v>
      </c>
      <c r="H253" s="508">
        <f t="shared" si="80"/>
        <v>0</v>
      </c>
      <c r="I253" s="508">
        <f t="shared" si="80"/>
        <v>69.64</v>
      </c>
      <c r="J253" s="508">
        <f t="shared" si="64"/>
        <v>0</v>
      </c>
      <c r="K253" s="508">
        <v>352.33</v>
      </c>
      <c r="L253" s="508">
        <v>0</v>
      </c>
      <c r="M253" s="508">
        <f t="shared" si="65"/>
        <v>352.33</v>
      </c>
      <c r="N253" s="508">
        <f t="shared" si="76"/>
        <v>19.9788871484029</v>
      </c>
      <c r="O253" s="516"/>
    </row>
    <row r="254" s="487" customFormat="1" customHeight="1" spans="1:15">
      <c r="A254" s="506">
        <v>2100101</v>
      </c>
      <c r="B254" s="507" t="s">
        <v>71</v>
      </c>
      <c r="C254" s="508">
        <v>239.66</v>
      </c>
      <c r="D254" s="508"/>
      <c r="E254" s="508">
        <f t="shared" si="63"/>
        <v>239.66</v>
      </c>
      <c r="F254" s="509">
        <v>9.03</v>
      </c>
      <c r="G254" s="509">
        <v>0</v>
      </c>
      <c r="H254" s="509">
        <v>0</v>
      </c>
      <c r="I254" s="509">
        <v>69.64</v>
      </c>
      <c r="J254" s="508">
        <f t="shared" si="64"/>
        <v>0</v>
      </c>
      <c r="K254" s="508">
        <v>318.33</v>
      </c>
      <c r="L254" s="508">
        <v>0</v>
      </c>
      <c r="M254" s="508">
        <f t="shared" si="65"/>
        <v>318.33</v>
      </c>
      <c r="N254" s="508">
        <f t="shared" si="76"/>
        <v>32.8256696987399</v>
      </c>
      <c r="O254" s="516" t="s">
        <v>72</v>
      </c>
    </row>
    <row r="255" s="487" customFormat="1" customHeight="1" spans="1:15">
      <c r="A255" s="506">
        <v>2100102</v>
      </c>
      <c r="B255" s="507" t="s">
        <v>87</v>
      </c>
      <c r="C255" s="508">
        <v>2</v>
      </c>
      <c r="D255" s="508"/>
      <c r="E255" s="508">
        <f t="shared" si="63"/>
        <v>2</v>
      </c>
      <c r="F255" s="509">
        <v>0</v>
      </c>
      <c r="G255" s="509">
        <v>0</v>
      </c>
      <c r="H255" s="509">
        <v>0</v>
      </c>
      <c r="I255" s="509">
        <v>0</v>
      </c>
      <c r="J255" s="508">
        <f t="shared" si="64"/>
        <v>0</v>
      </c>
      <c r="K255" s="508">
        <v>2</v>
      </c>
      <c r="L255" s="508">
        <v>0</v>
      </c>
      <c r="M255" s="508">
        <f t="shared" si="65"/>
        <v>2</v>
      </c>
      <c r="N255" s="508">
        <f t="shared" si="76"/>
        <v>0</v>
      </c>
      <c r="O255" s="516"/>
    </row>
    <row r="256" s="487" customFormat="1" ht="30" customHeight="1" spans="1:15">
      <c r="A256" s="506">
        <v>2100199</v>
      </c>
      <c r="B256" s="507" t="s">
        <v>314</v>
      </c>
      <c r="C256" s="508">
        <v>52</v>
      </c>
      <c r="D256" s="508"/>
      <c r="E256" s="508">
        <f t="shared" si="63"/>
        <v>52</v>
      </c>
      <c r="F256" s="509">
        <v>-20</v>
      </c>
      <c r="G256" s="509">
        <v>0</v>
      </c>
      <c r="H256" s="509">
        <v>0</v>
      </c>
      <c r="I256" s="509">
        <v>0</v>
      </c>
      <c r="J256" s="508">
        <f t="shared" si="64"/>
        <v>0</v>
      </c>
      <c r="K256" s="508">
        <v>32</v>
      </c>
      <c r="L256" s="508">
        <v>0</v>
      </c>
      <c r="M256" s="508">
        <f t="shared" si="65"/>
        <v>32</v>
      </c>
      <c r="N256" s="508">
        <f t="shared" si="76"/>
        <v>-38.4615384615385</v>
      </c>
      <c r="O256" s="516" t="s">
        <v>315</v>
      </c>
    </row>
    <row r="257" s="487" customFormat="1" customHeight="1" spans="1:15">
      <c r="A257" s="506">
        <v>21002</v>
      </c>
      <c r="B257" s="507" t="s">
        <v>316</v>
      </c>
      <c r="C257" s="508">
        <f t="shared" ref="C257:I257" si="81">C258</f>
        <v>532.68</v>
      </c>
      <c r="D257" s="508">
        <f>D258+D259</f>
        <v>23</v>
      </c>
      <c r="E257" s="508">
        <f t="shared" si="63"/>
        <v>555.68</v>
      </c>
      <c r="F257" s="508">
        <f t="shared" si="81"/>
        <v>20.44</v>
      </c>
      <c r="G257" s="508">
        <f t="shared" si="81"/>
        <v>0</v>
      </c>
      <c r="H257" s="508">
        <f t="shared" si="81"/>
        <v>0</v>
      </c>
      <c r="I257" s="508">
        <f t="shared" si="81"/>
        <v>51.6</v>
      </c>
      <c r="J257" s="508">
        <f t="shared" si="64"/>
        <v>109</v>
      </c>
      <c r="K257" s="508">
        <v>604.72</v>
      </c>
      <c r="L257" s="508">
        <v>132</v>
      </c>
      <c r="M257" s="508">
        <f t="shared" si="65"/>
        <v>736.72</v>
      </c>
      <c r="N257" s="508">
        <f t="shared" si="76"/>
        <v>32.5799021019292</v>
      </c>
      <c r="O257" s="516"/>
    </row>
    <row r="258" s="487" customFormat="1" customHeight="1" spans="1:15">
      <c r="A258" s="506">
        <v>2100201</v>
      </c>
      <c r="B258" s="507" t="s">
        <v>317</v>
      </c>
      <c r="C258" s="508">
        <v>532.68</v>
      </c>
      <c r="D258" s="508"/>
      <c r="E258" s="508">
        <f t="shared" si="63"/>
        <v>532.68</v>
      </c>
      <c r="F258" s="509">
        <v>20.44</v>
      </c>
      <c r="G258" s="509">
        <v>0</v>
      </c>
      <c r="H258" s="509">
        <v>0</v>
      </c>
      <c r="I258" s="509">
        <v>51.6</v>
      </c>
      <c r="J258" s="508">
        <f t="shared" si="64"/>
        <v>0</v>
      </c>
      <c r="K258" s="508">
        <v>604.72</v>
      </c>
      <c r="L258" s="508">
        <v>0</v>
      </c>
      <c r="M258" s="508">
        <f t="shared" si="65"/>
        <v>604.72</v>
      </c>
      <c r="N258" s="508">
        <f t="shared" si="76"/>
        <v>13.524066982053</v>
      </c>
      <c r="O258" s="516" t="s">
        <v>72</v>
      </c>
    </row>
    <row r="259" s="487" customFormat="1" customHeight="1" spans="1:15">
      <c r="A259" s="506">
        <v>2100299</v>
      </c>
      <c r="B259" s="507" t="s">
        <v>318</v>
      </c>
      <c r="C259" s="509"/>
      <c r="D259" s="509">
        <v>23</v>
      </c>
      <c r="E259" s="508">
        <f t="shared" si="63"/>
        <v>23</v>
      </c>
      <c r="F259" s="509"/>
      <c r="G259" s="509"/>
      <c r="H259" s="508"/>
      <c r="I259" s="508"/>
      <c r="J259" s="508">
        <f t="shared" si="64"/>
        <v>109</v>
      </c>
      <c r="K259" s="509"/>
      <c r="L259" s="509">
        <v>132</v>
      </c>
      <c r="M259" s="508">
        <f t="shared" si="65"/>
        <v>132</v>
      </c>
      <c r="N259" s="508">
        <f t="shared" si="76"/>
        <v>473.913043478261</v>
      </c>
      <c r="O259" s="516"/>
    </row>
    <row r="260" s="487" customFormat="1" customHeight="1" spans="1:15">
      <c r="A260" s="506">
        <v>21003</v>
      </c>
      <c r="B260" s="507" t="s">
        <v>319</v>
      </c>
      <c r="C260" s="508">
        <f t="shared" ref="C260:I260" si="82">C261+C262+C263</f>
        <v>419.71</v>
      </c>
      <c r="D260" s="508">
        <f t="shared" si="82"/>
        <v>370</v>
      </c>
      <c r="E260" s="508">
        <f t="shared" si="63"/>
        <v>789.71</v>
      </c>
      <c r="F260" s="508">
        <f t="shared" si="82"/>
        <v>31.67</v>
      </c>
      <c r="G260" s="508">
        <f t="shared" si="82"/>
        <v>0</v>
      </c>
      <c r="H260" s="508">
        <f t="shared" si="82"/>
        <v>0</v>
      </c>
      <c r="I260" s="508">
        <f t="shared" si="82"/>
        <v>69.9</v>
      </c>
      <c r="J260" s="508">
        <f t="shared" si="64"/>
        <v>43</v>
      </c>
      <c r="K260" s="508">
        <v>521.28</v>
      </c>
      <c r="L260" s="508">
        <v>413</v>
      </c>
      <c r="M260" s="508">
        <f t="shared" si="65"/>
        <v>934.28</v>
      </c>
      <c r="N260" s="508">
        <f t="shared" si="76"/>
        <v>18.3067201884236</v>
      </c>
      <c r="O260" s="516"/>
    </row>
    <row r="261" s="487" customFormat="1" customHeight="1" spans="1:15">
      <c r="A261" s="506">
        <v>2100301</v>
      </c>
      <c r="B261" s="507" t="s">
        <v>320</v>
      </c>
      <c r="C261" s="508">
        <v>286.07</v>
      </c>
      <c r="D261" s="508"/>
      <c r="E261" s="508">
        <f t="shared" si="63"/>
        <v>286.07</v>
      </c>
      <c r="F261" s="509">
        <v>12.07</v>
      </c>
      <c r="G261" s="509">
        <v>0</v>
      </c>
      <c r="H261" s="509">
        <v>0</v>
      </c>
      <c r="I261" s="509">
        <v>58.3</v>
      </c>
      <c r="J261" s="508">
        <f t="shared" si="64"/>
        <v>0</v>
      </c>
      <c r="K261" s="508">
        <v>356.44</v>
      </c>
      <c r="L261" s="508">
        <v>0</v>
      </c>
      <c r="M261" s="508">
        <f t="shared" si="65"/>
        <v>356.44</v>
      </c>
      <c r="N261" s="508">
        <f t="shared" si="76"/>
        <v>24.5988744013703</v>
      </c>
      <c r="O261" s="516" t="s">
        <v>72</v>
      </c>
    </row>
    <row r="262" s="487" customFormat="1" customHeight="1" spans="1:15">
      <c r="A262" s="506">
        <v>2100302</v>
      </c>
      <c r="B262" s="507" t="s">
        <v>321</v>
      </c>
      <c r="C262" s="508">
        <v>99.64</v>
      </c>
      <c r="D262" s="508"/>
      <c r="E262" s="508">
        <f t="shared" ref="E262:E325" si="83">C262+D262</f>
        <v>99.64</v>
      </c>
      <c r="F262" s="509">
        <v>4.6</v>
      </c>
      <c r="G262" s="509">
        <v>0</v>
      </c>
      <c r="H262" s="509">
        <v>0</v>
      </c>
      <c r="I262" s="509">
        <v>11.6</v>
      </c>
      <c r="J262" s="508">
        <f t="shared" ref="J262:J325" si="84">L262-D262</f>
        <v>0</v>
      </c>
      <c r="K262" s="508">
        <v>115.84</v>
      </c>
      <c r="L262" s="508">
        <v>0</v>
      </c>
      <c r="M262" s="508">
        <f t="shared" ref="M262:M325" si="85">K262+L262</f>
        <v>115.84</v>
      </c>
      <c r="N262" s="508">
        <f t="shared" si="76"/>
        <v>16.258530710558</v>
      </c>
      <c r="O262" s="516" t="s">
        <v>72</v>
      </c>
    </row>
    <row r="263" s="487" customFormat="1" ht="30" customHeight="1" spans="1:15">
      <c r="A263" s="506">
        <v>2100399</v>
      </c>
      <c r="B263" s="507" t="s">
        <v>322</v>
      </c>
      <c r="C263" s="508">
        <v>34</v>
      </c>
      <c r="D263" s="508">
        <v>370</v>
      </c>
      <c r="E263" s="508">
        <f t="shared" si="83"/>
        <v>404</v>
      </c>
      <c r="F263" s="509">
        <v>15</v>
      </c>
      <c r="G263" s="509">
        <v>0</v>
      </c>
      <c r="H263" s="509">
        <v>0</v>
      </c>
      <c r="I263" s="509">
        <v>0</v>
      </c>
      <c r="J263" s="508">
        <f t="shared" si="84"/>
        <v>43</v>
      </c>
      <c r="K263" s="508">
        <v>49</v>
      </c>
      <c r="L263" s="508">
        <v>413</v>
      </c>
      <c r="M263" s="508">
        <f t="shared" si="85"/>
        <v>462</v>
      </c>
      <c r="N263" s="508">
        <f t="shared" si="76"/>
        <v>14.3564356435644</v>
      </c>
      <c r="O263" s="516" t="s">
        <v>323</v>
      </c>
    </row>
    <row r="264" s="487" customFormat="1" customHeight="1" spans="1:15">
      <c r="A264" s="506">
        <v>21004</v>
      </c>
      <c r="B264" s="507" t="s">
        <v>324</v>
      </c>
      <c r="C264" s="508">
        <f t="shared" ref="C264:I264" si="86">C265+C266+C267+C268+C269+C270</f>
        <v>1974.41</v>
      </c>
      <c r="D264" s="508">
        <f t="shared" si="86"/>
        <v>1904</v>
      </c>
      <c r="E264" s="508">
        <f t="shared" si="83"/>
        <v>3878.41</v>
      </c>
      <c r="F264" s="508">
        <f t="shared" si="86"/>
        <v>1116.56</v>
      </c>
      <c r="G264" s="508">
        <f t="shared" si="86"/>
        <v>600</v>
      </c>
      <c r="H264" s="508">
        <f t="shared" si="86"/>
        <v>0</v>
      </c>
      <c r="I264" s="508">
        <f t="shared" si="86"/>
        <v>82.81</v>
      </c>
      <c r="J264" s="508">
        <f t="shared" si="84"/>
        <v>1116</v>
      </c>
      <c r="K264" s="508">
        <v>3773.78</v>
      </c>
      <c r="L264" s="508">
        <v>3020</v>
      </c>
      <c r="M264" s="508">
        <f t="shared" si="85"/>
        <v>6793.78</v>
      </c>
      <c r="N264" s="508">
        <f t="shared" si="76"/>
        <v>75.1692059374847</v>
      </c>
      <c r="O264" s="516"/>
    </row>
    <row r="265" s="487" customFormat="1" customHeight="1" spans="1:15">
      <c r="A265" s="506">
        <v>2100401</v>
      </c>
      <c r="B265" s="507" t="s">
        <v>325</v>
      </c>
      <c r="C265" s="508">
        <v>580.33</v>
      </c>
      <c r="D265" s="508">
        <v>79</v>
      </c>
      <c r="E265" s="508">
        <f t="shared" si="83"/>
        <v>659.33</v>
      </c>
      <c r="F265" s="509">
        <v>6.18</v>
      </c>
      <c r="G265" s="509">
        <v>600</v>
      </c>
      <c r="H265" s="509">
        <v>0</v>
      </c>
      <c r="I265" s="509">
        <v>57.58</v>
      </c>
      <c r="J265" s="508">
        <f t="shared" si="84"/>
        <v>205</v>
      </c>
      <c r="K265" s="508">
        <v>1244.09</v>
      </c>
      <c r="L265" s="508">
        <v>284</v>
      </c>
      <c r="M265" s="508">
        <f t="shared" si="85"/>
        <v>1528.09</v>
      </c>
      <c r="N265" s="508">
        <f t="shared" si="76"/>
        <v>131.764063519027</v>
      </c>
      <c r="O265" s="516" t="s">
        <v>326</v>
      </c>
    </row>
    <row r="266" s="487" customFormat="1" customHeight="1" spans="1:15">
      <c r="A266" s="506">
        <v>2100403</v>
      </c>
      <c r="B266" s="507" t="s">
        <v>327</v>
      </c>
      <c r="C266" s="508">
        <v>117.28</v>
      </c>
      <c r="D266" s="508"/>
      <c r="E266" s="508">
        <f t="shared" si="83"/>
        <v>117.28</v>
      </c>
      <c r="F266" s="509">
        <v>6.18</v>
      </c>
      <c r="G266" s="509">
        <v>0</v>
      </c>
      <c r="H266" s="509">
        <v>0</v>
      </c>
      <c r="I266" s="509">
        <v>14.83</v>
      </c>
      <c r="J266" s="508">
        <f t="shared" si="84"/>
        <v>48</v>
      </c>
      <c r="K266" s="508">
        <v>138.29</v>
      </c>
      <c r="L266" s="508">
        <v>48</v>
      </c>
      <c r="M266" s="508">
        <f t="shared" si="85"/>
        <v>186.29</v>
      </c>
      <c r="N266" s="508">
        <f t="shared" si="76"/>
        <v>58.8420873124147</v>
      </c>
      <c r="O266" s="516" t="s">
        <v>72</v>
      </c>
    </row>
    <row r="267" s="487" customFormat="1" customHeight="1" spans="1:15">
      <c r="A267" s="506">
        <v>2100408</v>
      </c>
      <c r="B267" s="507" t="s">
        <v>328</v>
      </c>
      <c r="C267" s="508">
        <v>204.8</v>
      </c>
      <c r="D267" s="508">
        <v>1558</v>
      </c>
      <c r="E267" s="508">
        <f t="shared" si="83"/>
        <v>1762.8</v>
      </c>
      <c r="F267" s="509">
        <v>0</v>
      </c>
      <c r="G267" s="509">
        <v>0</v>
      </c>
      <c r="H267" s="509">
        <v>0</v>
      </c>
      <c r="I267" s="509">
        <v>-2</v>
      </c>
      <c r="J267" s="508">
        <f t="shared" si="84"/>
        <v>328</v>
      </c>
      <c r="K267" s="508">
        <v>202.8</v>
      </c>
      <c r="L267" s="508">
        <v>1886</v>
      </c>
      <c r="M267" s="508">
        <f t="shared" si="85"/>
        <v>2088.8</v>
      </c>
      <c r="N267" s="508">
        <f t="shared" si="76"/>
        <v>18.4933061039256</v>
      </c>
      <c r="O267" s="516"/>
    </row>
    <row r="268" s="487" customFormat="1" customHeight="1" spans="1:15">
      <c r="A268" s="506">
        <v>2100409</v>
      </c>
      <c r="B268" s="507" t="s">
        <v>329</v>
      </c>
      <c r="C268" s="508">
        <v>169</v>
      </c>
      <c r="D268" s="508">
        <v>36</v>
      </c>
      <c r="E268" s="508">
        <f t="shared" si="83"/>
        <v>205</v>
      </c>
      <c r="F268" s="509">
        <v>0</v>
      </c>
      <c r="G268" s="509">
        <v>0</v>
      </c>
      <c r="H268" s="509">
        <v>0</v>
      </c>
      <c r="I268" s="509">
        <v>12.4</v>
      </c>
      <c r="J268" s="508">
        <f t="shared" si="84"/>
        <v>0</v>
      </c>
      <c r="K268" s="508">
        <v>181.4</v>
      </c>
      <c r="L268" s="508">
        <v>36</v>
      </c>
      <c r="M268" s="508">
        <f t="shared" si="85"/>
        <v>217.4</v>
      </c>
      <c r="N268" s="508">
        <f t="shared" si="76"/>
        <v>6.04878048780488</v>
      </c>
      <c r="O268" s="516"/>
    </row>
    <row r="269" s="487" customFormat="1" ht="58" customHeight="1" spans="1:15">
      <c r="A269" s="506">
        <v>2100410</v>
      </c>
      <c r="B269" s="507" t="s">
        <v>330</v>
      </c>
      <c r="C269" s="508">
        <v>752</v>
      </c>
      <c r="D269" s="508">
        <v>220</v>
      </c>
      <c r="E269" s="508">
        <f t="shared" si="83"/>
        <v>972</v>
      </c>
      <c r="F269" s="509">
        <v>1100</v>
      </c>
      <c r="G269" s="509">
        <v>0</v>
      </c>
      <c r="H269" s="509">
        <v>0</v>
      </c>
      <c r="I269" s="509">
        <v>0</v>
      </c>
      <c r="J269" s="508">
        <f t="shared" si="84"/>
        <v>457</v>
      </c>
      <c r="K269" s="508">
        <v>1852</v>
      </c>
      <c r="L269" s="508">
        <v>677</v>
      </c>
      <c r="M269" s="508">
        <f t="shared" si="85"/>
        <v>2529</v>
      </c>
      <c r="N269" s="508">
        <f t="shared" si="76"/>
        <v>160.185185185185</v>
      </c>
      <c r="O269" s="516" t="s">
        <v>331</v>
      </c>
    </row>
    <row r="270" s="487" customFormat="1" ht="30" customHeight="1" spans="1:15">
      <c r="A270" s="506">
        <v>2100499</v>
      </c>
      <c r="B270" s="507" t="s">
        <v>332</v>
      </c>
      <c r="C270" s="508">
        <v>151</v>
      </c>
      <c r="D270" s="508">
        <v>11</v>
      </c>
      <c r="E270" s="508">
        <f t="shared" si="83"/>
        <v>162</v>
      </c>
      <c r="F270" s="509">
        <v>4.2</v>
      </c>
      <c r="G270" s="509">
        <v>0</v>
      </c>
      <c r="H270" s="509">
        <v>0</v>
      </c>
      <c r="I270" s="509">
        <v>0</v>
      </c>
      <c r="J270" s="508">
        <f t="shared" si="84"/>
        <v>79</v>
      </c>
      <c r="K270" s="508">
        <v>155.2</v>
      </c>
      <c r="L270" s="508">
        <v>90</v>
      </c>
      <c r="M270" s="508">
        <f t="shared" si="85"/>
        <v>245.2</v>
      </c>
      <c r="N270" s="508">
        <f t="shared" si="76"/>
        <v>51.358024691358</v>
      </c>
      <c r="O270" s="516" t="s">
        <v>333</v>
      </c>
    </row>
    <row r="271" s="487" customFormat="1" customHeight="1" spans="1:15">
      <c r="A271" s="506">
        <v>21006</v>
      </c>
      <c r="B271" s="507" t="s">
        <v>334</v>
      </c>
      <c r="C271" s="508"/>
      <c r="D271" s="508"/>
      <c r="E271" s="508">
        <f t="shared" si="83"/>
        <v>0</v>
      </c>
      <c r="F271" s="508"/>
      <c r="G271" s="508"/>
      <c r="H271" s="508"/>
      <c r="I271" s="508"/>
      <c r="J271" s="508">
        <f t="shared" si="84"/>
        <v>8</v>
      </c>
      <c r="K271" s="509"/>
      <c r="L271" s="509">
        <v>8</v>
      </c>
      <c r="M271" s="508">
        <f t="shared" si="85"/>
        <v>8</v>
      </c>
      <c r="N271" s="508">
        <v>100</v>
      </c>
      <c r="O271" s="516"/>
    </row>
    <row r="272" s="487" customFormat="1" customHeight="1" spans="1:15">
      <c r="A272" s="506">
        <v>2100699</v>
      </c>
      <c r="B272" s="507" t="s">
        <v>335</v>
      </c>
      <c r="C272" s="509"/>
      <c r="D272" s="509"/>
      <c r="E272" s="508">
        <f t="shared" si="83"/>
        <v>0</v>
      </c>
      <c r="F272" s="509"/>
      <c r="G272" s="509"/>
      <c r="H272" s="508"/>
      <c r="I272" s="508"/>
      <c r="J272" s="508">
        <f t="shared" si="84"/>
        <v>8</v>
      </c>
      <c r="K272" s="509"/>
      <c r="L272" s="509">
        <v>8</v>
      </c>
      <c r="M272" s="508">
        <f t="shared" si="85"/>
        <v>8</v>
      </c>
      <c r="N272" s="508">
        <v>100</v>
      </c>
      <c r="O272" s="516"/>
    </row>
    <row r="273" s="487" customFormat="1" customHeight="1" spans="1:15">
      <c r="A273" s="506">
        <v>21007</v>
      </c>
      <c r="B273" s="507" t="s">
        <v>336</v>
      </c>
      <c r="C273" s="508">
        <f t="shared" ref="C273:I273" si="87">C274+C275</f>
        <v>356.49</v>
      </c>
      <c r="D273" s="508">
        <f t="shared" si="87"/>
        <v>90</v>
      </c>
      <c r="E273" s="508">
        <f t="shared" si="83"/>
        <v>446.49</v>
      </c>
      <c r="F273" s="508">
        <f t="shared" si="87"/>
        <v>-37.87</v>
      </c>
      <c r="G273" s="508">
        <f t="shared" si="87"/>
        <v>0</v>
      </c>
      <c r="H273" s="508">
        <f t="shared" si="87"/>
        <v>0</v>
      </c>
      <c r="I273" s="508">
        <f t="shared" si="87"/>
        <v>0</v>
      </c>
      <c r="J273" s="508">
        <f t="shared" si="84"/>
        <v>31</v>
      </c>
      <c r="K273" s="508">
        <v>318.62</v>
      </c>
      <c r="L273" s="508">
        <v>121</v>
      </c>
      <c r="M273" s="508">
        <f t="shared" si="85"/>
        <v>439.62</v>
      </c>
      <c r="N273" s="508">
        <f t="shared" ref="N272:N303" si="88">(M273-E273)/E273*100</f>
        <v>-1.53866827924478</v>
      </c>
      <c r="O273" s="516"/>
    </row>
    <row r="274" s="487" customFormat="1" customHeight="1" spans="1:15">
      <c r="A274" s="506">
        <v>2100717</v>
      </c>
      <c r="B274" s="507" t="s">
        <v>337</v>
      </c>
      <c r="C274" s="508">
        <v>2</v>
      </c>
      <c r="D274" s="508"/>
      <c r="E274" s="508">
        <f t="shared" si="83"/>
        <v>2</v>
      </c>
      <c r="F274" s="509">
        <v>0</v>
      </c>
      <c r="G274" s="509">
        <v>0</v>
      </c>
      <c r="H274" s="509">
        <v>0</v>
      </c>
      <c r="I274" s="509">
        <v>0</v>
      </c>
      <c r="J274" s="508">
        <f t="shared" si="84"/>
        <v>0</v>
      </c>
      <c r="K274" s="508">
        <v>2</v>
      </c>
      <c r="L274" s="508">
        <v>0</v>
      </c>
      <c r="M274" s="508">
        <f t="shared" si="85"/>
        <v>2</v>
      </c>
      <c r="N274" s="508">
        <f t="shared" si="88"/>
        <v>0</v>
      </c>
      <c r="O274" s="516"/>
    </row>
    <row r="275" s="487" customFormat="1" ht="56" customHeight="1" spans="1:15">
      <c r="A275" s="506">
        <v>2100799</v>
      </c>
      <c r="B275" s="507" t="s">
        <v>338</v>
      </c>
      <c r="C275" s="508">
        <v>354.49</v>
      </c>
      <c r="D275" s="508">
        <v>90</v>
      </c>
      <c r="E275" s="508">
        <f t="shared" si="83"/>
        <v>444.49</v>
      </c>
      <c r="F275" s="509">
        <v>-37.87</v>
      </c>
      <c r="G275" s="509">
        <v>0</v>
      </c>
      <c r="H275" s="509">
        <v>0</v>
      </c>
      <c r="I275" s="509">
        <v>0</v>
      </c>
      <c r="J275" s="508">
        <f t="shared" si="84"/>
        <v>31</v>
      </c>
      <c r="K275" s="508">
        <v>316.62</v>
      </c>
      <c r="L275" s="508">
        <v>121</v>
      </c>
      <c r="M275" s="508">
        <f t="shared" si="85"/>
        <v>437.62</v>
      </c>
      <c r="N275" s="508">
        <f t="shared" si="88"/>
        <v>-1.54559157686337</v>
      </c>
      <c r="O275" s="516" t="s">
        <v>339</v>
      </c>
    </row>
    <row r="276" s="487" customFormat="1" customHeight="1" spans="1:15">
      <c r="A276" s="506">
        <v>21011</v>
      </c>
      <c r="B276" s="507" t="s">
        <v>340</v>
      </c>
      <c r="C276" s="508">
        <f t="shared" ref="C276:I276" si="89">C277</f>
        <v>794.3</v>
      </c>
      <c r="D276" s="508">
        <f t="shared" si="89"/>
        <v>0</v>
      </c>
      <c r="E276" s="508">
        <f t="shared" si="83"/>
        <v>794.3</v>
      </c>
      <c r="F276" s="508">
        <f t="shared" si="89"/>
        <v>14.96</v>
      </c>
      <c r="G276" s="508">
        <f t="shared" si="89"/>
        <v>0</v>
      </c>
      <c r="H276" s="508">
        <f t="shared" si="89"/>
        <v>0</v>
      </c>
      <c r="I276" s="508">
        <f t="shared" si="89"/>
        <v>23.4</v>
      </c>
      <c r="J276" s="508">
        <f t="shared" si="84"/>
        <v>0</v>
      </c>
      <c r="K276" s="508">
        <v>832.67</v>
      </c>
      <c r="L276" s="508">
        <v>0</v>
      </c>
      <c r="M276" s="508">
        <f t="shared" si="85"/>
        <v>832.67</v>
      </c>
      <c r="N276" s="508">
        <f t="shared" si="88"/>
        <v>4.83066851315624</v>
      </c>
      <c r="O276" s="516"/>
    </row>
    <row r="277" s="487" customFormat="1" customHeight="1" spans="1:15">
      <c r="A277" s="506">
        <v>2101199</v>
      </c>
      <c r="B277" s="507" t="s">
        <v>341</v>
      </c>
      <c r="C277" s="508">
        <v>794.3</v>
      </c>
      <c r="D277" s="508"/>
      <c r="E277" s="508">
        <f t="shared" si="83"/>
        <v>794.3</v>
      </c>
      <c r="F277" s="508">
        <v>14.96</v>
      </c>
      <c r="G277" s="508">
        <v>0</v>
      </c>
      <c r="H277" s="508">
        <v>0</v>
      </c>
      <c r="I277" s="508">
        <v>23.4</v>
      </c>
      <c r="J277" s="508">
        <f t="shared" si="84"/>
        <v>0</v>
      </c>
      <c r="K277" s="508">
        <v>832.67</v>
      </c>
      <c r="L277" s="508">
        <v>0</v>
      </c>
      <c r="M277" s="508">
        <f t="shared" si="85"/>
        <v>832.67</v>
      </c>
      <c r="N277" s="508">
        <f t="shared" si="88"/>
        <v>4.83066851315624</v>
      </c>
      <c r="O277" s="516" t="s">
        <v>72</v>
      </c>
    </row>
    <row r="278" s="487" customFormat="1" ht="30" customHeight="1" spans="1:15">
      <c r="A278" s="506">
        <v>21012</v>
      </c>
      <c r="B278" s="507" t="s">
        <v>342</v>
      </c>
      <c r="C278" s="508">
        <f t="shared" ref="C278:I278" si="90">C279</f>
        <v>810</v>
      </c>
      <c r="D278" s="508">
        <f t="shared" si="90"/>
        <v>11833</v>
      </c>
      <c r="E278" s="508">
        <f t="shared" si="83"/>
        <v>12643</v>
      </c>
      <c r="F278" s="509">
        <f t="shared" si="90"/>
        <v>0</v>
      </c>
      <c r="G278" s="509">
        <f t="shared" si="90"/>
        <v>0</v>
      </c>
      <c r="H278" s="509">
        <f t="shared" si="90"/>
        <v>0</v>
      </c>
      <c r="I278" s="509">
        <f t="shared" si="90"/>
        <v>0</v>
      </c>
      <c r="J278" s="508">
        <f t="shared" si="84"/>
        <v>423</v>
      </c>
      <c r="K278" s="508">
        <v>810</v>
      </c>
      <c r="L278" s="508">
        <v>12256</v>
      </c>
      <c r="M278" s="508">
        <f t="shared" si="85"/>
        <v>13066</v>
      </c>
      <c r="N278" s="508">
        <f t="shared" si="88"/>
        <v>3.3457249070632</v>
      </c>
      <c r="O278" s="516"/>
    </row>
    <row r="279" s="487" customFormat="1" ht="30" customHeight="1" spans="1:15">
      <c r="A279" s="506">
        <v>2101202</v>
      </c>
      <c r="B279" s="507" t="s">
        <v>343</v>
      </c>
      <c r="C279" s="508">
        <v>810</v>
      </c>
      <c r="D279" s="508">
        <v>11833</v>
      </c>
      <c r="E279" s="508">
        <f t="shared" si="83"/>
        <v>12643</v>
      </c>
      <c r="F279" s="509">
        <v>0</v>
      </c>
      <c r="G279" s="509">
        <v>0</v>
      </c>
      <c r="H279" s="509">
        <v>0</v>
      </c>
      <c r="I279" s="509">
        <v>0</v>
      </c>
      <c r="J279" s="508">
        <f t="shared" si="84"/>
        <v>423</v>
      </c>
      <c r="K279" s="508">
        <v>810</v>
      </c>
      <c r="L279" s="508">
        <v>12256</v>
      </c>
      <c r="M279" s="508">
        <f t="shared" si="85"/>
        <v>13066</v>
      </c>
      <c r="N279" s="508">
        <f t="shared" si="88"/>
        <v>3.3457249070632</v>
      </c>
      <c r="O279" s="516"/>
    </row>
    <row r="280" s="487" customFormat="1" customHeight="1" spans="1:15">
      <c r="A280" s="506">
        <v>21013</v>
      </c>
      <c r="B280" s="507" t="s">
        <v>344</v>
      </c>
      <c r="C280" s="508">
        <f t="shared" ref="C280:I280" si="91">C282</f>
        <v>0.3</v>
      </c>
      <c r="D280" s="508">
        <f t="shared" si="91"/>
        <v>652</v>
      </c>
      <c r="E280" s="508">
        <f t="shared" si="83"/>
        <v>652.3</v>
      </c>
      <c r="F280" s="508">
        <f t="shared" si="91"/>
        <v>0</v>
      </c>
      <c r="G280" s="508">
        <f t="shared" si="91"/>
        <v>0</v>
      </c>
      <c r="H280" s="508">
        <f t="shared" si="91"/>
        <v>0</v>
      </c>
      <c r="I280" s="508">
        <f t="shared" si="91"/>
        <v>0</v>
      </c>
      <c r="J280" s="508">
        <f t="shared" si="84"/>
        <v>224</v>
      </c>
      <c r="K280" s="508">
        <v>0.3</v>
      </c>
      <c r="L280" s="508">
        <v>876</v>
      </c>
      <c r="M280" s="508">
        <f t="shared" si="85"/>
        <v>876.3</v>
      </c>
      <c r="N280" s="508">
        <f t="shared" si="88"/>
        <v>34.340027594665</v>
      </c>
      <c r="O280" s="516"/>
    </row>
    <row r="281" s="487" customFormat="1" customHeight="1" spans="1:15">
      <c r="A281" s="506">
        <v>2101301</v>
      </c>
      <c r="B281" s="507" t="s">
        <v>345</v>
      </c>
      <c r="C281" s="509"/>
      <c r="D281" s="509"/>
      <c r="E281" s="508">
        <f t="shared" si="83"/>
        <v>0</v>
      </c>
      <c r="F281" s="509"/>
      <c r="G281" s="509"/>
      <c r="H281" s="508"/>
      <c r="I281" s="508"/>
      <c r="J281" s="508">
        <f t="shared" si="84"/>
        <v>876</v>
      </c>
      <c r="K281" s="509"/>
      <c r="L281" s="509">
        <v>876</v>
      </c>
      <c r="M281" s="508">
        <f t="shared" si="85"/>
        <v>876</v>
      </c>
      <c r="N281" s="508">
        <v>100</v>
      </c>
      <c r="O281" s="516"/>
    </row>
    <row r="282" s="487" customFormat="1" customHeight="1" spans="1:15">
      <c r="A282" s="506">
        <v>2101399</v>
      </c>
      <c r="B282" s="507" t="s">
        <v>346</v>
      </c>
      <c r="C282" s="508">
        <v>0.3</v>
      </c>
      <c r="D282" s="508">
        <v>652</v>
      </c>
      <c r="E282" s="508">
        <f t="shared" si="83"/>
        <v>652.3</v>
      </c>
      <c r="F282" s="509">
        <v>0</v>
      </c>
      <c r="G282" s="509">
        <v>0</v>
      </c>
      <c r="H282" s="509">
        <v>0</v>
      </c>
      <c r="I282" s="509">
        <v>0</v>
      </c>
      <c r="J282" s="508">
        <f t="shared" si="84"/>
        <v>-652</v>
      </c>
      <c r="K282" s="508">
        <v>0.3</v>
      </c>
      <c r="L282" s="508">
        <v>0</v>
      </c>
      <c r="M282" s="508">
        <f t="shared" si="85"/>
        <v>0.3</v>
      </c>
      <c r="N282" s="508">
        <f t="shared" si="88"/>
        <v>-99.9540088916143</v>
      </c>
      <c r="O282" s="516"/>
    </row>
    <row r="283" s="487" customFormat="1" customHeight="1" spans="1:15">
      <c r="A283" s="506">
        <v>21014</v>
      </c>
      <c r="B283" s="507" t="s">
        <v>347</v>
      </c>
      <c r="C283" s="508">
        <f t="shared" ref="C283:I283" si="92">C284+C285</f>
        <v>2</v>
      </c>
      <c r="D283" s="508">
        <f t="shared" si="92"/>
        <v>21</v>
      </c>
      <c r="E283" s="508">
        <f t="shared" si="83"/>
        <v>23</v>
      </c>
      <c r="F283" s="508">
        <f t="shared" si="92"/>
        <v>2.38</v>
      </c>
      <c r="G283" s="508">
        <f t="shared" si="92"/>
        <v>0</v>
      </c>
      <c r="H283" s="508">
        <f t="shared" si="92"/>
        <v>0</v>
      </c>
      <c r="I283" s="508">
        <f t="shared" si="92"/>
        <v>5.46</v>
      </c>
      <c r="J283" s="508">
        <f t="shared" si="84"/>
        <v>7</v>
      </c>
      <c r="K283" s="508">
        <v>9.84</v>
      </c>
      <c r="L283" s="508">
        <v>28</v>
      </c>
      <c r="M283" s="508">
        <f t="shared" si="85"/>
        <v>37.84</v>
      </c>
      <c r="N283" s="508">
        <f t="shared" si="88"/>
        <v>64.5217391304348</v>
      </c>
      <c r="O283" s="516"/>
    </row>
    <row r="284" s="487" customFormat="1" customHeight="1" spans="1:15">
      <c r="A284" s="506">
        <v>2101401</v>
      </c>
      <c r="B284" s="507" t="s">
        <v>348</v>
      </c>
      <c r="C284" s="508">
        <v>2</v>
      </c>
      <c r="D284" s="508">
        <v>21</v>
      </c>
      <c r="E284" s="508">
        <f t="shared" si="83"/>
        <v>23</v>
      </c>
      <c r="F284" s="509">
        <v>0</v>
      </c>
      <c r="G284" s="509">
        <v>0</v>
      </c>
      <c r="H284" s="509">
        <v>0</v>
      </c>
      <c r="I284" s="509">
        <v>0</v>
      </c>
      <c r="J284" s="508">
        <f t="shared" si="84"/>
        <v>7</v>
      </c>
      <c r="K284" s="508">
        <v>2</v>
      </c>
      <c r="L284" s="508">
        <v>28</v>
      </c>
      <c r="M284" s="508">
        <f t="shared" si="85"/>
        <v>30</v>
      </c>
      <c r="N284" s="508">
        <f t="shared" si="88"/>
        <v>30.4347826086957</v>
      </c>
      <c r="O284" s="516"/>
    </row>
    <row r="285" s="487" customFormat="1" ht="30" customHeight="1" spans="1:15">
      <c r="A285" s="506">
        <v>2101499</v>
      </c>
      <c r="B285" s="507" t="s">
        <v>349</v>
      </c>
      <c r="C285" s="508">
        <v>0</v>
      </c>
      <c r="D285" s="508"/>
      <c r="E285" s="508">
        <f t="shared" si="83"/>
        <v>0</v>
      </c>
      <c r="F285" s="509">
        <v>2.38</v>
      </c>
      <c r="G285" s="509">
        <v>0</v>
      </c>
      <c r="H285" s="509">
        <v>0</v>
      </c>
      <c r="I285" s="509">
        <v>5.46</v>
      </c>
      <c r="J285" s="508">
        <f t="shared" si="84"/>
        <v>0</v>
      </c>
      <c r="K285" s="508">
        <v>7.84</v>
      </c>
      <c r="L285" s="508">
        <v>0</v>
      </c>
      <c r="M285" s="508">
        <f t="shared" si="85"/>
        <v>7.84</v>
      </c>
      <c r="N285" s="508">
        <v>100</v>
      </c>
      <c r="O285" s="516" t="s">
        <v>350</v>
      </c>
    </row>
    <row r="286" s="487" customFormat="1" customHeight="1" spans="1:15">
      <c r="A286" s="506">
        <v>21015</v>
      </c>
      <c r="B286" s="507" t="s">
        <v>351</v>
      </c>
      <c r="C286" s="508">
        <f t="shared" ref="C286:I286" si="93">C287</f>
        <v>40</v>
      </c>
      <c r="D286" s="508">
        <f t="shared" si="93"/>
        <v>0</v>
      </c>
      <c r="E286" s="508">
        <f t="shared" si="83"/>
        <v>40</v>
      </c>
      <c r="F286" s="508">
        <f t="shared" si="93"/>
        <v>0</v>
      </c>
      <c r="G286" s="508">
        <f t="shared" si="93"/>
        <v>0</v>
      </c>
      <c r="H286" s="508">
        <f t="shared" si="93"/>
        <v>0</v>
      </c>
      <c r="I286" s="508">
        <f t="shared" si="93"/>
        <v>0</v>
      </c>
      <c r="J286" s="508">
        <f t="shared" si="84"/>
        <v>0</v>
      </c>
      <c r="K286" s="508">
        <v>40</v>
      </c>
      <c r="L286" s="508">
        <v>0</v>
      </c>
      <c r="M286" s="508">
        <f t="shared" si="85"/>
        <v>40</v>
      </c>
      <c r="N286" s="508">
        <f t="shared" si="88"/>
        <v>0</v>
      </c>
      <c r="O286" s="516"/>
    </row>
    <row r="287" s="487" customFormat="1" customHeight="1" spans="1:15">
      <c r="A287" s="506">
        <v>2101504</v>
      </c>
      <c r="B287" s="507" t="s">
        <v>98</v>
      </c>
      <c r="C287" s="508">
        <v>40</v>
      </c>
      <c r="D287" s="508"/>
      <c r="E287" s="508">
        <f t="shared" si="83"/>
        <v>40</v>
      </c>
      <c r="F287" s="509">
        <v>0</v>
      </c>
      <c r="G287" s="509">
        <v>0</v>
      </c>
      <c r="H287" s="509">
        <v>0</v>
      </c>
      <c r="I287" s="509">
        <v>0</v>
      </c>
      <c r="J287" s="508">
        <f t="shared" si="84"/>
        <v>0</v>
      </c>
      <c r="K287" s="508">
        <v>40</v>
      </c>
      <c r="L287" s="508">
        <v>0</v>
      </c>
      <c r="M287" s="508">
        <f t="shared" si="85"/>
        <v>40</v>
      </c>
      <c r="N287" s="508">
        <f t="shared" si="88"/>
        <v>0</v>
      </c>
      <c r="O287" s="516">
        <v>0</v>
      </c>
    </row>
    <row r="288" s="487" customFormat="1" customHeight="1" spans="1:15">
      <c r="A288" s="506">
        <v>21016</v>
      </c>
      <c r="B288" s="507" t="s">
        <v>352</v>
      </c>
      <c r="C288" s="508">
        <f t="shared" ref="C288:I288" si="94">C289</f>
        <v>69</v>
      </c>
      <c r="D288" s="508">
        <f t="shared" si="94"/>
        <v>0</v>
      </c>
      <c r="E288" s="508">
        <f t="shared" si="83"/>
        <v>69</v>
      </c>
      <c r="F288" s="508">
        <f t="shared" si="94"/>
        <v>0</v>
      </c>
      <c r="G288" s="508">
        <f t="shared" si="94"/>
        <v>0</v>
      </c>
      <c r="H288" s="508">
        <f t="shared" si="94"/>
        <v>0</v>
      </c>
      <c r="I288" s="508">
        <f t="shared" si="94"/>
        <v>0</v>
      </c>
      <c r="J288" s="508">
        <f t="shared" si="84"/>
        <v>32</v>
      </c>
      <c r="K288" s="508">
        <v>69</v>
      </c>
      <c r="L288" s="508">
        <v>32</v>
      </c>
      <c r="M288" s="508">
        <f t="shared" si="85"/>
        <v>101</v>
      </c>
      <c r="N288" s="508">
        <f t="shared" si="88"/>
        <v>46.3768115942029</v>
      </c>
      <c r="O288" s="516"/>
    </row>
    <row r="289" s="487" customFormat="1" customHeight="1" spans="1:15">
      <c r="A289" s="506">
        <v>2101601</v>
      </c>
      <c r="B289" s="507" t="s">
        <v>352</v>
      </c>
      <c r="C289" s="508">
        <v>69</v>
      </c>
      <c r="D289" s="508"/>
      <c r="E289" s="508">
        <f t="shared" si="83"/>
        <v>69</v>
      </c>
      <c r="F289" s="509">
        <v>0</v>
      </c>
      <c r="G289" s="509">
        <v>0</v>
      </c>
      <c r="H289" s="509">
        <v>0</v>
      </c>
      <c r="I289" s="509">
        <v>0</v>
      </c>
      <c r="J289" s="508">
        <f t="shared" si="84"/>
        <v>32</v>
      </c>
      <c r="K289" s="508">
        <v>69</v>
      </c>
      <c r="L289" s="508">
        <v>32</v>
      </c>
      <c r="M289" s="508">
        <f t="shared" si="85"/>
        <v>101</v>
      </c>
      <c r="N289" s="508">
        <f t="shared" si="88"/>
        <v>46.3768115942029</v>
      </c>
      <c r="O289" s="516"/>
    </row>
    <row r="290" s="487" customFormat="1" customHeight="1" spans="1:15">
      <c r="A290" s="506">
        <v>21099</v>
      </c>
      <c r="B290" s="507" t="s">
        <v>353</v>
      </c>
      <c r="C290" s="508">
        <f t="shared" ref="C290:I290" si="95">C291</f>
        <v>964</v>
      </c>
      <c r="D290" s="508">
        <f t="shared" si="95"/>
        <v>2</v>
      </c>
      <c r="E290" s="508">
        <f t="shared" si="83"/>
        <v>966</v>
      </c>
      <c r="F290" s="508">
        <f t="shared" si="95"/>
        <v>120</v>
      </c>
      <c r="G290" s="508">
        <f t="shared" si="95"/>
        <v>0</v>
      </c>
      <c r="H290" s="508">
        <f t="shared" si="95"/>
        <v>0</v>
      </c>
      <c r="I290" s="508">
        <f t="shared" si="95"/>
        <v>-150</v>
      </c>
      <c r="J290" s="508">
        <f t="shared" si="84"/>
        <v>106</v>
      </c>
      <c r="K290" s="508">
        <v>934</v>
      </c>
      <c r="L290" s="508">
        <v>108</v>
      </c>
      <c r="M290" s="508">
        <f t="shared" si="85"/>
        <v>1042</v>
      </c>
      <c r="N290" s="508">
        <f t="shared" si="88"/>
        <v>7.86749482401656</v>
      </c>
      <c r="O290" s="516"/>
    </row>
    <row r="291" s="487" customFormat="1" ht="30" customHeight="1" spans="1:15">
      <c r="A291" s="506">
        <v>2109901</v>
      </c>
      <c r="B291" s="507" t="s">
        <v>353</v>
      </c>
      <c r="C291" s="508">
        <v>964</v>
      </c>
      <c r="D291" s="508">
        <v>2</v>
      </c>
      <c r="E291" s="508">
        <f t="shared" si="83"/>
        <v>966</v>
      </c>
      <c r="F291" s="509">
        <v>120</v>
      </c>
      <c r="G291" s="509">
        <v>0</v>
      </c>
      <c r="H291" s="509">
        <v>0</v>
      </c>
      <c r="I291" s="509">
        <v>-150</v>
      </c>
      <c r="J291" s="508">
        <f t="shared" si="84"/>
        <v>106</v>
      </c>
      <c r="K291" s="508">
        <v>934</v>
      </c>
      <c r="L291" s="508">
        <v>108</v>
      </c>
      <c r="M291" s="508">
        <f t="shared" si="85"/>
        <v>1042</v>
      </c>
      <c r="N291" s="508">
        <f t="shared" si="88"/>
        <v>7.86749482401656</v>
      </c>
      <c r="O291" s="516" t="s">
        <v>354</v>
      </c>
    </row>
    <row r="292" s="487" customFormat="1" customHeight="1" spans="1:15">
      <c r="A292" s="506">
        <v>211</v>
      </c>
      <c r="B292" s="507" t="s">
        <v>355</v>
      </c>
      <c r="C292" s="508">
        <f t="shared" ref="C292:I292" si="96">C293+C300+C304+C296</f>
        <v>439</v>
      </c>
      <c r="D292" s="508">
        <f>D293+D300+D304+D296+D302</f>
        <v>611</v>
      </c>
      <c r="E292" s="508">
        <f t="shared" si="83"/>
        <v>1050</v>
      </c>
      <c r="F292" s="508">
        <f t="shared" si="96"/>
        <v>130</v>
      </c>
      <c r="G292" s="508">
        <f t="shared" si="96"/>
        <v>0</v>
      </c>
      <c r="H292" s="508">
        <f t="shared" si="96"/>
        <v>0</v>
      </c>
      <c r="I292" s="508">
        <f t="shared" si="96"/>
        <v>8.63</v>
      </c>
      <c r="J292" s="508">
        <f t="shared" si="84"/>
        <v>3208</v>
      </c>
      <c r="K292" s="508">
        <v>577.63</v>
      </c>
      <c r="L292" s="508">
        <v>3819</v>
      </c>
      <c r="M292" s="508">
        <f t="shared" si="85"/>
        <v>4396.63</v>
      </c>
      <c r="N292" s="508">
        <f t="shared" si="88"/>
        <v>318.726666666667</v>
      </c>
      <c r="O292" s="516"/>
    </row>
    <row r="293" s="487" customFormat="1" customHeight="1" spans="1:15">
      <c r="A293" s="506">
        <v>21101</v>
      </c>
      <c r="B293" s="507" t="s">
        <v>356</v>
      </c>
      <c r="C293" s="508">
        <f t="shared" ref="C293:I293" si="97">C294+C295</f>
        <v>0</v>
      </c>
      <c r="D293" s="508">
        <f t="shared" si="97"/>
        <v>0</v>
      </c>
      <c r="E293" s="508">
        <f t="shared" si="83"/>
        <v>0</v>
      </c>
      <c r="F293" s="508">
        <f t="shared" si="97"/>
        <v>10</v>
      </c>
      <c r="G293" s="508">
        <f t="shared" si="97"/>
        <v>0</v>
      </c>
      <c r="H293" s="508">
        <f t="shared" si="97"/>
        <v>0</v>
      </c>
      <c r="I293" s="508">
        <f t="shared" si="97"/>
        <v>8.63</v>
      </c>
      <c r="J293" s="508">
        <f t="shared" si="84"/>
        <v>0</v>
      </c>
      <c r="K293" s="508">
        <v>18.63</v>
      </c>
      <c r="L293" s="508">
        <v>0</v>
      </c>
      <c r="M293" s="508">
        <f t="shared" si="85"/>
        <v>18.63</v>
      </c>
      <c r="N293" s="508">
        <v>100</v>
      </c>
      <c r="O293" s="516"/>
    </row>
    <row r="294" s="487" customFormat="1" customHeight="1" spans="1:15">
      <c r="A294" s="506">
        <v>2110101</v>
      </c>
      <c r="B294" s="507" t="s">
        <v>71</v>
      </c>
      <c r="C294" s="508">
        <v>0</v>
      </c>
      <c r="D294" s="508"/>
      <c r="E294" s="508">
        <f t="shared" si="83"/>
        <v>0</v>
      </c>
      <c r="F294" s="509">
        <v>0</v>
      </c>
      <c r="G294" s="509">
        <v>0</v>
      </c>
      <c r="H294" s="509">
        <v>0</v>
      </c>
      <c r="I294" s="509">
        <v>3.63</v>
      </c>
      <c r="J294" s="508">
        <f t="shared" si="84"/>
        <v>0</v>
      </c>
      <c r="K294" s="508">
        <v>3.63</v>
      </c>
      <c r="L294" s="508">
        <v>0</v>
      </c>
      <c r="M294" s="508">
        <f t="shared" si="85"/>
        <v>3.63</v>
      </c>
      <c r="N294" s="508">
        <v>100</v>
      </c>
      <c r="O294" s="516" t="s">
        <v>72</v>
      </c>
    </row>
    <row r="295" s="487" customFormat="1" ht="30" customHeight="1" spans="1:15">
      <c r="A295" s="506">
        <v>2110199</v>
      </c>
      <c r="B295" s="507" t="s">
        <v>357</v>
      </c>
      <c r="C295" s="508">
        <v>0</v>
      </c>
      <c r="D295" s="508"/>
      <c r="E295" s="508">
        <f t="shared" si="83"/>
        <v>0</v>
      </c>
      <c r="F295" s="509">
        <v>10</v>
      </c>
      <c r="G295" s="509">
        <v>0</v>
      </c>
      <c r="H295" s="509">
        <v>0</v>
      </c>
      <c r="I295" s="509">
        <v>5</v>
      </c>
      <c r="J295" s="508">
        <f t="shared" si="84"/>
        <v>0</v>
      </c>
      <c r="K295" s="508">
        <v>15</v>
      </c>
      <c r="L295" s="508">
        <v>0</v>
      </c>
      <c r="M295" s="508">
        <f t="shared" si="85"/>
        <v>15</v>
      </c>
      <c r="N295" s="508">
        <v>100</v>
      </c>
      <c r="O295" s="516" t="s">
        <v>358</v>
      </c>
    </row>
    <row r="296" s="487" customFormat="1" customHeight="1" spans="1:15">
      <c r="A296" s="506">
        <v>21103</v>
      </c>
      <c r="B296" s="507" t="s">
        <v>359</v>
      </c>
      <c r="C296" s="508">
        <f t="shared" ref="C296:I296" si="98">C298</f>
        <v>0</v>
      </c>
      <c r="D296" s="508">
        <f t="shared" si="98"/>
        <v>0</v>
      </c>
      <c r="E296" s="508">
        <f t="shared" si="83"/>
        <v>0</v>
      </c>
      <c r="F296" s="508">
        <f t="shared" si="98"/>
        <v>120</v>
      </c>
      <c r="G296" s="508">
        <f t="shared" si="98"/>
        <v>0</v>
      </c>
      <c r="H296" s="508">
        <f t="shared" si="98"/>
        <v>0</v>
      </c>
      <c r="I296" s="508">
        <f t="shared" si="98"/>
        <v>0</v>
      </c>
      <c r="J296" s="508">
        <f t="shared" si="84"/>
        <v>3009</v>
      </c>
      <c r="K296" s="508">
        <v>120</v>
      </c>
      <c r="L296" s="508">
        <v>3009</v>
      </c>
      <c r="M296" s="508">
        <f t="shared" si="85"/>
        <v>3129</v>
      </c>
      <c r="N296" s="508">
        <v>100</v>
      </c>
      <c r="O296" s="516"/>
    </row>
    <row r="297" s="487" customFormat="1" customHeight="1" spans="1:15">
      <c r="A297" s="506">
        <v>2110302</v>
      </c>
      <c r="B297" s="507" t="s">
        <v>360</v>
      </c>
      <c r="C297" s="509"/>
      <c r="D297" s="509"/>
      <c r="E297" s="508">
        <f t="shared" si="83"/>
        <v>0</v>
      </c>
      <c r="F297" s="509"/>
      <c r="G297" s="509"/>
      <c r="H297" s="508"/>
      <c r="I297" s="509"/>
      <c r="J297" s="508">
        <f t="shared" si="84"/>
        <v>422</v>
      </c>
      <c r="K297" s="509"/>
      <c r="L297" s="509">
        <v>422</v>
      </c>
      <c r="M297" s="508">
        <f t="shared" si="85"/>
        <v>422</v>
      </c>
      <c r="N297" s="508">
        <v>100</v>
      </c>
      <c r="O297" s="516"/>
    </row>
    <row r="298" s="487" customFormat="1" ht="30" customHeight="1" spans="1:15">
      <c r="A298" s="506" t="s">
        <v>361</v>
      </c>
      <c r="B298" s="507" t="s">
        <v>362</v>
      </c>
      <c r="C298" s="508">
        <v>0</v>
      </c>
      <c r="D298" s="508"/>
      <c r="E298" s="508">
        <f t="shared" si="83"/>
        <v>0</v>
      </c>
      <c r="F298" s="509">
        <v>120</v>
      </c>
      <c r="G298" s="509">
        <v>0</v>
      </c>
      <c r="H298" s="509">
        <v>0</v>
      </c>
      <c r="I298" s="509">
        <v>0</v>
      </c>
      <c r="J298" s="508">
        <f t="shared" si="84"/>
        <v>250</v>
      </c>
      <c r="K298" s="508">
        <v>120</v>
      </c>
      <c r="L298" s="508">
        <v>250</v>
      </c>
      <c r="M298" s="508">
        <f t="shared" si="85"/>
        <v>370</v>
      </c>
      <c r="N298" s="508">
        <v>100</v>
      </c>
      <c r="O298" s="516" t="s">
        <v>363</v>
      </c>
    </row>
    <row r="299" s="487" customFormat="1" customHeight="1" spans="1:15">
      <c r="A299" s="506">
        <v>2110399</v>
      </c>
      <c r="B299" s="507" t="s">
        <v>364</v>
      </c>
      <c r="C299" s="509"/>
      <c r="D299" s="509"/>
      <c r="E299" s="508">
        <f t="shared" si="83"/>
        <v>0</v>
      </c>
      <c r="F299" s="509"/>
      <c r="G299" s="509"/>
      <c r="H299" s="508"/>
      <c r="I299" s="509"/>
      <c r="J299" s="508">
        <f t="shared" si="84"/>
        <v>2337</v>
      </c>
      <c r="K299" s="509"/>
      <c r="L299" s="509">
        <v>2337</v>
      </c>
      <c r="M299" s="508">
        <f t="shared" si="85"/>
        <v>2337</v>
      </c>
      <c r="N299" s="508">
        <v>100</v>
      </c>
      <c r="O299" s="516"/>
    </row>
    <row r="300" s="487" customFormat="1" customHeight="1" spans="1:15">
      <c r="A300" s="506">
        <v>21110</v>
      </c>
      <c r="B300" s="507" t="s">
        <v>359</v>
      </c>
      <c r="C300" s="508">
        <f t="shared" ref="C300:I300" si="99">C301</f>
        <v>400</v>
      </c>
      <c r="D300" s="508">
        <f t="shared" si="99"/>
        <v>0</v>
      </c>
      <c r="E300" s="508">
        <f t="shared" si="83"/>
        <v>400</v>
      </c>
      <c r="F300" s="508">
        <f t="shared" si="99"/>
        <v>0</v>
      </c>
      <c r="G300" s="508">
        <f t="shared" si="99"/>
        <v>0</v>
      </c>
      <c r="H300" s="508">
        <f t="shared" si="99"/>
        <v>0</v>
      </c>
      <c r="I300" s="508">
        <f t="shared" si="99"/>
        <v>0</v>
      </c>
      <c r="J300" s="508">
        <f t="shared" si="84"/>
        <v>0</v>
      </c>
      <c r="K300" s="508">
        <v>400</v>
      </c>
      <c r="L300" s="508">
        <v>0</v>
      </c>
      <c r="M300" s="508">
        <f t="shared" si="85"/>
        <v>400</v>
      </c>
      <c r="N300" s="508">
        <f t="shared" si="88"/>
        <v>0</v>
      </c>
      <c r="O300" s="516"/>
    </row>
    <row r="301" s="487" customFormat="1" customHeight="1" spans="1:15">
      <c r="A301" s="506">
        <v>2111001</v>
      </c>
      <c r="B301" s="507" t="s">
        <v>359</v>
      </c>
      <c r="C301" s="508">
        <v>400</v>
      </c>
      <c r="D301" s="508"/>
      <c r="E301" s="508">
        <f t="shared" si="83"/>
        <v>400</v>
      </c>
      <c r="F301" s="509">
        <v>0</v>
      </c>
      <c r="G301" s="509">
        <v>0</v>
      </c>
      <c r="H301" s="509">
        <v>0</v>
      </c>
      <c r="I301" s="509">
        <v>0</v>
      </c>
      <c r="J301" s="508">
        <f t="shared" si="84"/>
        <v>0</v>
      </c>
      <c r="K301" s="508">
        <v>400</v>
      </c>
      <c r="L301" s="508">
        <v>0</v>
      </c>
      <c r="M301" s="508">
        <f t="shared" si="85"/>
        <v>400</v>
      </c>
      <c r="N301" s="508">
        <f t="shared" si="88"/>
        <v>0</v>
      </c>
      <c r="O301" s="516">
        <v>0</v>
      </c>
    </row>
    <row r="302" s="487" customFormat="1" customHeight="1" spans="1:15">
      <c r="A302" s="506">
        <v>21113</v>
      </c>
      <c r="B302" s="507" t="s">
        <v>365</v>
      </c>
      <c r="C302" s="508"/>
      <c r="D302" s="508">
        <f>+D303</f>
        <v>611</v>
      </c>
      <c r="E302" s="508">
        <f t="shared" si="83"/>
        <v>611</v>
      </c>
      <c r="F302" s="508"/>
      <c r="G302" s="508"/>
      <c r="H302" s="508"/>
      <c r="I302" s="508"/>
      <c r="J302" s="508">
        <f t="shared" si="84"/>
        <v>38</v>
      </c>
      <c r="K302" s="509"/>
      <c r="L302" s="509">
        <v>649</v>
      </c>
      <c r="M302" s="508">
        <f t="shared" si="85"/>
        <v>649</v>
      </c>
      <c r="N302" s="508">
        <f t="shared" si="88"/>
        <v>6.21931260229133</v>
      </c>
      <c r="O302" s="516"/>
    </row>
    <row r="303" s="487" customFormat="1" customHeight="1" spans="1:15">
      <c r="A303" s="506">
        <v>2111301</v>
      </c>
      <c r="B303" s="507" t="s">
        <v>365</v>
      </c>
      <c r="C303" s="509"/>
      <c r="D303" s="508">
        <v>611</v>
      </c>
      <c r="E303" s="508">
        <f t="shared" si="83"/>
        <v>611</v>
      </c>
      <c r="F303" s="509"/>
      <c r="G303" s="509"/>
      <c r="H303" s="508"/>
      <c r="I303" s="508"/>
      <c r="J303" s="508">
        <f t="shared" si="84"/>
        <v>38</v>
      </c>
      <c r="K303" s="509"/>
      <c r="L303" s="509">
        <v>649</v>
      </c>
      <c r="M303" s="508">
        <f t="shared" si="85"/>
        <v>649</v>
      </c>
      <c r="N303" s="508">
        <f t="shared" si="88"/>
        <v>6.21931260229133</v>
      </c>
      <c r="O303" s="516"/>
    </row>
    <row r="304" s="487" customFormat="1" customHeight="1" spans="1:15">
      <c r="A304" s="506">
        <v>21199</v>
      </c>
      <c r="B304" s="507" t="s">
        <v>366</v>
      </c>
      <c r="C304" s="508">
        <f t="shared" ref="C304:I304" si="100">C305</f>
        <v>39</v>
      </c>
      <c r="D304" s="508">
        <f t="shared" si="100"/>
        <v>0</v>
      </c>
      <c r="E304" s="508">
        <f t="shared" si="83"/>
        <v>39</v>
      </c>
      <c r="F304" s="508">
        <f t="shared" si="100"/>
        <v>0</v>
      </c>
      <c r="G304" s="508">
        <f t="shared" si="100"/>
        <v>0</v>
      </c>
      <c r="H304" s="508">
        <f t="shared" si="100"/>
        <v>0</v>
      </c>
      <c r="I304" s="508">
        <f t="shared" si="100"/>
        <v>0</v>
      </c>
      <c r="J304" s="508">
        <f t="shared" si="84"/>
        <v>161</v>
      </c>
      <c r="K304" s="508">
        <v>39</v>
      </c>
      <c r="L304" s="508">
        <v>161</v>
      </c>
      <c r="M304" s="508">
        <f t="shared" si="85"/>
        <v>200</v>
      </c>
      <c r="N304" s="508">
        <f t="shared" ref="N304:N335" si="101">(M304-E304)/E304*100</f>
        <v>412.820512820513</v>
      </c>
      <c r="O304" s="517">
        <f>O305</f>
        <v>0</v>
      </c>
    </row>
    <row r="305" s="487" customFormat="1" customHeight="1" spans="1:15">
      <c r="A305" s="506">
        <v>2119901</v>
      </c>
      <c r="B305" s="507" t="s">
        <v>366</v>
      </c>
      <c r="C305" s="508">
        <v>39</v>
      </c>
      <c r="D305" s="508"/>
      <c r="E305" s="508">
        <f t="shared" si="83"/>
        <v>39</v>
      </c>
      <c r="F305" s="509">
        <v>0</v>
      </c>
      <c r="G305" s="509">
        <v>0</v>
      </c>
      <c r="H305" s="509">
        <v>0</v>
      </c>
      <c r="I305" s="509">
        <v>0</v>
      </c>
      <c r="J305" s="508">
        <f t="shared" si="84"/>
        <v>161</v>
      </c>
      <c r="K305" s="508">
        <v>39</v>
      </c>
      <c r="L305" s="508">
        <v>161</v>
      </c>
      <c r="M305" s="508">
        <f t="shared" si="85"/>
        <v>200</v>
      </c>
      <c r="N305" s="508">
        <f t="shared" si="101"/>
        <v>412.820512820513</v>
      </c>
      <c r="O305" s="516"/>
    </row>
    <row r="306" s="487" customFormat="1" customHeight="1" spans="1:15">
      <c r="A306" s="506">
        <v>212</v>
      </c>
      <c r="B306" s="507" t="s">
        <v>367</v>
      </c>
      <c r="C306" s="508">
        <f t="shared" ref="C306:I306" si="102">C307+C312+C314+C316+C318</f>
        <v>19932.37</v>
      </c>
      <c r="D306" s="508">
        <f t="shared" si="102"/>
        <v>1083</v>
      </c>
      <c r="E306" s="508">
        <f t="shared" si="83"/>
        <v>21015.37</v>
      </c>
      <c r="F306" s="509">
        <f t="shared" si="102"/>
        <v>3829.22</v>
      </c>
      <c r="G306" s="509">
        <f t="shared" si="102"/>
        <v>-16.4</v>
      </c>
      <c r="H306" s="509">
        <f t="shared" si="102"/>
        <v>0</v>
      </c>
      <c r="I306" s="509">
        <f t="shared" si="102"/>
        <v>1527.37</v>
      </c>
      <c r="J306" s="508">
        <f t="shared" si="84"/>
        <v>5588</v>
      </c>
      <c r="K306" s="508">
        <v>25272.56</v>
      </c>
      <c r="L306" s="508">
        <v>6671</v>
      </c>
      <c r="M306" s="508">
        <f t="shared" si="85"/>
        <v>31943.56</v>
      </c>
      <c r="N306" s="508">
        <f t="shared" si="101"/>
        <v>52.0009402641971</v>
      </c>
      <c r="O306" s="516"/>
    </row>
    <row r="307" s="487" customFormat="1" customHeight="1" spans="1:15">
      <c r="A307" s="506">
        <v>21201</v>
      </c>
      <c r="B307" s="507" t="s">
        <v>368</v>
      </c>
      <c r="C307" s="508">
        <f t="shared" ref="C307:I307" si="103">C308+C309+C310+C311</f>
        <v>10346.47</v>
      </c>
      <c r="D307" s="508">
        <f t="shared" si="103"/>
        <v>234</v>
      </c>
      <c r="E307" s="508">
        <f t="shared" si="83"/>
        <v>10580.47</v>
      </c>
      <c r="F307" s="508">
        <f t="shared" si="103"/>
        <v>734.15</v>
      </c>
      <c r="G307" s="508">
        <f t="shared" si="103"/>
        <v>-9.4</v>
      </c>
      <c r="H307" s="508">
        <f t="shared" si="103"/>
        <v>0</v>
      </c>
      <c r="I307" s="508">
        <f t="shared" si="103"/>
        <v>1429.64</v>
      </c>
      <c r="J307" s="508">
        <f t="shared" si="84"/>
        <v>96</v>
      </c>
      <c r="K307" s="508">
        <v>12500.86</v>
      </c>
      <c r="L307" s="508">
        <v>330</v>
      </c>
      <c r="M307" s="508">
        <f t="shared" si="85"/>
        <v>12830.86</v>
      </c>
      <c r="N307" s="508">
        <f t="shared" si="101"/>
        <v>21.2692819884183</v>
      </c>
      <c r="O307" s="516"/>
    </row>
    <row r="308" s="487" customFormat="1" customHeight="1" spans="1:15">
      <c r="A308" s="506">
        <v>2120101</v>
      </c>
      <c r="B308" s="507" t="s">
        <v>71</v>
      </c>
      <c r="C308" s="508">
        <v>2015.33</v>
      </c>
      <c r="D308" s="508">
        <v>135</v>
      </c>
      <c r="E308" s="508">
        <f t="shared" si="83"/>
        <v>2150.33</v>
      </c>
      <c r="F308" s="509">
        <v>70.7</v>
      </c>
      <c r="G308" s="509">
        <v>-10</v>
      </c>
      <c r="H308" s="509">
        <v>0</v>
      </c>
      <c r="I308" s="509">
        <v>571.87</v>
      </c>
      <c r="J308" s="508">
        <f t="shared" si="84"/>
        <v>0</v>
      </c>
      <c r="K308" s="508">
        <v>2647.9</v>
      </c>
      <c r="L308" s="508">
        <v>135</v>
      </c>
      <c r="M308" s="508">
        <f t="shared" si="85"/>
        <v>2782.9</v>
      </c>
      <c r="N308" s="508">
        <f t="shared" si="101"/>
        <v>29.4173452446834</v>
      </c>
      <c r="O308" s="516" t="s">
        <v>72</v>
      </c>
    </row>
    <row r="309" s="487" customFormat="1" customHeight="1" spans="1:15">
      <c r="A309" s="506">
        <v>2120104</v>
      </c>
      <c r="B309" s="507" t="s">
        <v>369</v>
      </c>
      <c r="C309" s="508">
        <v>40</v>
      </c>
      <c r="D309" s="508"/>
      <c r="E309" s="508">
        <f t="shared" si="83"/>
        <v>40</v>
      </c>
      <c r="F309" s="509">
        <v>0</v>
      </c>
      <c r="G309" s="509">
        <v>0</v>
      </c>
      <c r="H309" s="509">
        <v>0</v>
      </c>
      <c r="I309" s="509">
        <v>0</v>
      </c>
      <c r="J309" s="508">
        <f t="shared" si="84"/>
        <v>0</v>
      </c>
      <c r="K309" s="508">
        <v>40</v>
      </c>
      <c r="L309" s="508">
        <v>0</v>
      </c>
      <c r="M309" s="508">
        <f t="shared" si="85"/>
        <v>40</v>
      </c>
      <c r="N309" s="508">
        <f t="shared" si="101"/>
        <v>0</v>
      </c>
      <c r="O309" s="516"/>
    </row>
    <row r="310" s="487" customFormat="1" customHeight="1" spans="1:15">
      <c r="A310" s="506">
        <v>2120106</v>
      </c>
      <c r="B310" s="507" t="s">
        <v>370</v>
      </c>
      <c r="C310" s="508">
        <v>169.16</v>
      </c>
      <c r="D310" s="508"/>
      <c r="E310" s="508">
        <f t="shared" si="83"/>
        <v>169.16</v>
      </c>
      <c r="F310" s="509">
        <v>7.41</v>
      </c>
      <c r="G310" s="509">
        <v>0</v>
      </c>
      <c r="H310" s="509">
        <v>0</v>
      </c>
      <c r="I310" s="509">
        <v>16.64</v>
      </c>
      <c r="J310" s="508">
        <f t="shared" si="84"/>
        <v>0</v>
      </c>
      <c r="K310" s="508">
        <v>193.21</v>
      </c>
      <c r="L310" s="508">
        <v>0</v>
      </c>
      <c r="M310" s="508">
        <f t="shared" si="85"/>
        <v>193.21</v>
      </c>
      <c r="N310" s="508">
        <f t="shared" si="101"/>
        <v>14.2173090565145</v>
      </c>
      <c r="O310" s="516" t="s">
        <v>72</v>
      </c>
    </row>
    <row r="311" s="487" customFormat="1" ht="65" customHeight="1" spans="1:15">
      <c r="A311" s="506">
        <v>2120199</v>
      </c>
      <c r="B311" s="507" t="s">
        <v>371</v>
      </c>
      <c r="C311" s="508">
        <v>8121.98</v>
      </c>
      <c r="D311" s="508">
        <v>99</v>
      </c>
      <c r="E311" s="508">
        <f t="shared" si="83"/>
        <v>8220.98</v>
      </c>
      <c r="F311" s="509">
        <v>656.04</v>
      </c>
      <c r="G311" s="509">
        <v>0.6</v>
      </c>
      <c r="H311" s="509">
        <v>0</v>
      </c>
      <c r="I311" s="509">
        <v>841.13</v>
      </c>
      <c r="J311" s="508">
        <f t="shared" si="84"/>
        <v>96</v>
      </c>
      <c r="K311" s="508">
        <v>9619.75</v>
      </c>
      <c r="L311" s="508">
        <v>195</v>
      </c>
      <c r="M311" s="508">
        <f t="shared" si="85"/>
        <v>9814.75</v>
      </c>
      <c r="N311" s="508">
        <f t="shared" si="101"/>
        <v>19.3866181404164</v>
      </c>
      <c r="O311" s="516" t="s">
        <v>372</v>
      </c>
    </row>
    <row r="312" s="487" customFormat="1" customHeight="1" spans="1:15">
      <c r="A312" s="506">
        <v>21202</v>
      </c>
      <c r="B312" s="507" t="s">
        <v>373</v>
      </c>
      <c r="C312" s="508">
        <f t="shared" ref="C312:I312" si="104">C313</f>
        <v>37.07</v>
      </c>
      <c r="D312" s="508">
        <f t="shared" si="104"/>
        <v>0</v>
      </c>
      <c r="E312" s="508">
        <f t="shared" si="83"/>
        <v>37.07</v>
      </c>
      <c r="F312" s="508">
        <f t="shared" si="104"/>
        <v>1.98</v>
      </c>
      <c r="G312" s="508">
        <f t="shared" si="104"/>
        <v>0</v>
      </c>
      <c r="H312" s="508">
        <f t="shared" si="104"/>
        <v>0</v>
      </c>
      <c r="I312" s="508">
        <f t="shared" si="104"/>
        <v>2.64</v>
      </c>
      <c r="J312" s="508">
        <f t="shared" si="84"/>
        <v>0</v>
      </c>
      <c r="K312" s="508">
        <v>41.69</v>
      </c>
      <c r="L312" s="508">
        <v>0</v>
      </c>
      <c r="M312" s="508">
        <f t="shared" si="85"/>
        <v>41.69</v>
      </c>
      <c r="N312" s="508">
        <f t="shared" si="101"/>
        <v>12.4629080118694</v>
      </c>
      <c r="O312" s="516"/>
    </row>
    <row r="313" s="487" customFormat="1" customHeight="1" spans="1:15">
      <c r="A313" s="506">
        <v>2120201</v>
      </c>
      <c r="B313" s="507" t="s">
        <v>373</v>
      </c>
      <c r="C313" s="508">
        <v>37.07</v>
      </c>
      <c r="D313" s="508"/>
      <c r="E313" s="508">
        <f t="shared" si="83"/>
        <v>37.07</v>
      </c>
      <c r="F313" s="509">
        <v>1.98</v>
      </c>
      <c r="G313" s="509">
        <v>0</v>
      </c>
      <c r="H313" s="509">
        <v>0</v>
      </c>
      <c r="I313" s="509">
        <v>2.64</v>
      </c>
      <c r="J313" s="508">
        <f t="shared" si="84"/>
        <v>0</v>
      </c>
      <c r="K313" s="508">
        <v>41.69</v>
      </c>
      <c r="L313" s="508">
        <v>0</v>
      </c>
      <c r="M313" s="508">
        <f t="shared" si="85"/>
        <v>41.69</v>
      </c>
      <c r="N313" s="508">
        <f t="shared" si="101"/>
        <v>12.4629080118694</v>
      </c>
      <c r="O313" s="516" t="s">
        <v>72</v>
      </c>
    </row>
    <row r="314" s="487" customFormat="1" customHeight="1" spans="1:15">
      <c r="A314" s="506">
        <v>21203</v>
      </c>
      <c r="B314" s="507" t="s">
        <v>374</v>
      </c>
      <c r="C314" s="508">
        <f t="shared" ref="C314:I314" si="105">C315</f>
        <v>6203</v>
      </c>
      <c r="D314" s="508">
        <f t="shared" si="105"/>
        <v>549</v>
      </c>
      <c r="E314" s="508">
        <f t="shared" si="83"/>
        <v>6752</v>
      </c>
      <c r="F314" s="508">
        <f t="shared" si="105"/>
        <v>1963.09</v>
      </c>
      <c r="G314" s="508">
        <f t="shared" si="105"/>
        <v>0</v>
      </c>
      <c r="H314" s="508">
        <f t="shared" si="105"/>
        <v>0</v>
      </c>
      <c r="I314" s="508">
        <f t="shared" si="105"/>
        <v>3.65</v>
      </c>
      <c r="J314" s="508">
        <f t="shared" si="84"/>
        <v>4288</v>
      </c>
      <c r="K314" s="508">
        <v>8169.74</v>
      </c>
      <c r="L314" s="508">
        <v>4837</v>
      </c>
      <c r="M314" s="508">
        <f t="shared" si="85"/>
        <v>13006.74</v>
      </c>
      <c r="N314" s="508">
        <f t="shared" si="101"/>
        <v>92.6353672985782</v>
      </c>
      <c r="O314" s="516"/>
    </row>
    <row r="315" s="487" customFormat="1" ht="55" customHeight="1" spans="1:15">
      <c r="A315" s="506">
        <v>2120399</v>
      </c>
      <c r="B315" s="507" t="s">
        <v>375</v>
      </c>
      <c r="C315" s="508">
        <v>6203</v>
      </c>
      <c r="D315" s="508">
        <v>549</v>
      </c>
      <c r="E315" s="508">
        <f t="shared" si="83"/>
        <v>6752</v>
      </c>
      <c r="F315" s="509">
        <v>1963.09</v>
      </c>
      <c r="G315" s="509">
        <v>0</v>
      </c>
      <c r="H315" s="509">
        <v>0</v>
      </c>
      <c r="I315" s="509">
        <v>3.65</v>
      </c>
      <c r="J315" s="508">
        <f t="shared" si="84"/>
        <v>4288</v>
      </c>
      <c r="K315" s="508">
        <v>8169.74</v>
      </c>
      <c r="L315" s="508">
        <v>4837</v>
      </c>
      <c r="M315" s="508">
        <f t="shared" si="85"/>
        <v>13006.74</v>
      </c>
      <c r="N315" s="508">
        <f t="shared" si="101"/>
        <v>92.6353672985782</v>
      </c>
      <c r="O315" s="516" t="s">
        <v>376</v>
      </c>
    </row>
    <row r="316" s="487" customFormat="1" customHeight="1" spans="1:15">
      <c r="A316" s="506">
        <v>21205</v>
      </c>
      <c r="B316" s="507" t="s">
        <v>377</v>
      </c>
      <c r="C316" s="508">
        <f t="shared" ref="C316:I316" si="106">C317</f>
        <v>3314.63</v>
      </c>
      <c r="D316" s="508">
        <f t="shared" si="106"/>
        <v>300</v>
      </c>
      <c r="E316" s="508">
        <f t="shared" si="83"/>
        <v>3614.63</v>
      </c>
      <c r="F316" s="508">
        <f t="shared" si="106"/>
        <v>810</v>
      </c>
      <c r="G316" s="508">
        <f t="shared" si="106"/>
        <v>-7</v>
      </c>
      <c r="H316" s="508">
        <f t="shared" si="106"/>
        <v>0</v>
      </c>
      <c r="I316" s="508">
        <f t="shared" si="106"/>
        <v>56.44</v>
      </c>
      <c r="J316" s="508">
        <f t="shared" si="84"/>
        <v>1179</v>
      </c>
      <c r="K316" s="508">
        <v>4174.07</v>
      </c>
      <c r="L316" s="508">
        <v>1479</v>
      </c>
      <c r="M316" s="508">
        <f t="shared" si="85"/>
        <v>5653.07</v>
      </c>
      <c r="N316" s="508">
        <f t="shared" si="101"/>
        <v>56.394153758476</v>
      </c>
      <c r="O316" s="517"/>
    </row>
    <row r="317" s="487" customFormat="1" ht="103" customHeight="1" spans="1:15">
      <c r="A317" s="506">
        <v>2120501</v>
      </c>
      <c r="B317" s="507" t="s">
        <v>377</v>
      </c>
      <c r="C317" s="508">
        <v>3314.63</v>
      </c>
      <c r="D317" s="508">
        <v>300</v>
      </c>
      <c r="E317" s="508">
        <f t="shared" si="83"/>
        <v>3614.63</v>
      </c>
      <c r="F317" s="509">
        <v>810</v>
      </c>
      <c r="G317" s="509">
        <v>-7</v>
      </c>
      <c r="H317" s="509">
        <v>0</v>
      </c>
      <c r="I317" s="509">
        <v>56.44</v>
      </c>
      <c r="J317" s="508">
        <f t="shared" si="84"/>
        <v>1179</v>
      </c>
      <c r="K317" s="508">
        <v>4174.07</v>
      </c>
      <c r="L317" s="508">
        <v>1479</v>
      </c>
      <c r="M317" s="508">
        <f t="shared" si="85"/>
        <v>5653.07</v>
      </c>
      <c r="N317" s="508">
        <f t="shared" si="101"/>
        <v>56.394153758476</v>
      </c>
      <c r="O317" s="516" t="s">
        <v>378</v>
      </c>
    </row>
    <row r="318" s="487" customFormat="1" customHeight="1" spans="1:15">
      <c r="A318" s="506">
        <v>21299</v>
      </c>
      <c r="B318" s="507" t="s">
        <v>379</v>
      </c>
      <c r="C318" s="508">
        <f t="shared" ref="C318:I318" si="107">C319</f>
        <v>31.2</v>
      </c>
      <c r="D318" s="508">
        <f t="shared" si="107"/>
        <v>0</v>
      </c>
      <c r="E318" s="508">
        <f t="shared" si="83"/>
        <v>31.2</v>
      </c>
      <c r="F318" s="508">
        <f t="shared" si="107"/>
        <v>320</v>
      </c>
      <c r="G318" s="508">
        <f t="shared" si="107"/>
        <v>0</v>
      </c>
      <c r="H318" s="508">
        <f t="shared" si="107"/>
        <v>0</v>
      </c>
      <c r="I318" s="508">
        <f t="shared" si="107"/>
        <v>35</v>
      </c>
      <c r="J318" s="508">
        <f t="shared" si="84"/>
        <v>25</v>
      </c>
      <c r="K318" s="508">
        <v>386.2</v>
      </c>
      <c r="L318" s="508">
        <v>25</v>
      </c>
      <c r="M318" s="508">
        <f t="shared" si="85"/>
        <v>411.2</v>
      </c>
      <c r="N318" s="508">
        <f t="shared" si="101"/>
        <v>1217.94871794872</v>
      </c>
      <c r="O318" s="517"/>
    </row>
    <row r="319" s="487" customFormat="1" ht="43" customHeight="1" spans="1:15">
      <c r="A319" s="506">
        <v>2129901</v>
      </c>
      <c r="B319" s="507" t="s">
        <v>379</v>
      </c>
      <c r="C319" s="508">
        <v>31.2</v>
      </c>
      <c r="D319" s="508"/>
      <c r="E319" s="508">
        <f t="shared" si="83"/>
        <v>31.2</v>
      </c>
      <c r="F319" s="508">
        <v>320</v>
      </c>
      <c r="G319" s="508">
        <v>0</v>
      </c>
      <c r="H319" s="508">
        <v>0</v>
      </c>
      <c r="I319" s="508">
        <v>35</v>
      </c>
      <c r="J319" s="508">
        <f t="shared" si="84"/>
        <v>25</v>
      </c>
      <c r="K319" s="508">
        <v>386.2</v>
      </c>
      <c r="L319" s="508">
        <v>25</v>
      </c>
      <c r="M319" s="508">
        <f t="shared" si="85"/>
        <v>411.2</v>
      </c>
      <c r="N319" s="508">
        <f t="shared" si="101"/>
        <v>1217.94871794872</v>
      </c>
      <c r="O319" s="516" t="s">
        <v>380</v>
      </c>
    </row>
    <row r="320" s="487" customFormat="1" customHeight="1" spans="1:15">
      <c r="A320" s="506">
        <v>213</v>
      </c>
      <c r="B320" s="507" t="s">
        <v>381</v>
      </c>
      <c r="C320" s="508">
        <f t="shared" ref="C320:I320" si="108">C321+C332+C336+C347+C349+C353+C356</f>
        <v>8997.09</v>
      </c>
      <c r="D320" s="508">
        <f t="shared" si="108"/>
        <v>4578</v>
      </c>
      <c r="E320" s="508">
        <f t="shared" si="83"/>
        <v>13575.09</v>
      </c>
      <c r="F320" s="508">
        <f t="shared" si="108"/>
        <v>1490.9692</v>
      </c>
      <c r="G320" s="508">
        <f t="shared" si="108"/>
        <v>-5</v>
      </c>
      <c r="H320" s="508">
        <f t="shared" si="108"/>
        <v>0</v>
      </c>
      <c r="I320" s="508">
        <f t="shared" si="108"/>
        <v>164.55</v>
      </c>
      <c r="J320" s="508">
        <f t="shared" si="84"/>
        <v>2271</v>
      </c>
      <c r="K320" s="508">
        <v>10647.6092</v>
      </c>
      <c r="L320" s="508">
        <v>6849</v>
      </c>
      <c r="M320" s="508">
        <f t="shared" si="85"/>
        <v>17496.6092</v>
      </c>
      <c r="N320" s="508">
        <f t="shared" si="101"/>
        <v>28.8876110581956</v>
      </c>
      <c r="O320" s="516"/>
    </row>
    <row r="321" s="487" customFormat="1" customHeight="1" spans="1:15">
      <c r="A321" s="506">
        <v>21301</v>
      </c>
      <c r="B321" s="507" t="s">
        <v>382</v>
      </c>
      <c r="C321" s="508">
        <f t="shared" ref="C321:I321" si="109">C322+C323+C324+C325+C326+C327+C328+C330+C331</f>
        <v>495.63</v>
      </c>
      <c r="D321" s="508">
        <f>D322+D323+D324+D325+D326+D327+D328+D330+D331+D329</f>
        <v>103</v>
      </c>
      <c r="E321" s="508">
        <f t="shared" si="83"/>
        <v>598.63</v>
      </c>
      <c r="F321" s="508">
        <f t="shared" si="109"/>
        <v>-50.9476</v>
      </c>
      <c r="G321" s="508">
        <f t="shared" si="109"/>
        <v>-5</v>
      </c>
      <c r="H321" s="508">
        <f t="shared" si="109"/>
        <v>0</v>
      </c>
      <c r="I321" s="508">
        <f t="shared" si="109"/>
        <v>-12.84</v>
      </c>
      <c r="J321" s="508">
        <f t="shared" si="84"/>
        <v>198</v>
      </c>
      <c r="K321" s="508">
        <v>426.8424</v>
      </c>
      <c r="L321" s="508">
        <v>301</v>
      </c>
      <c r="M321" s="508">
        <f t="shared" si="85"/>
        <v>727.8424</v>
      </c>
      <c r="N321" s="508">
        <f t="shared" si="101"/>
        <v>21.5846850308204</v>
      </c>
      <c r="O321" s="516"/>
    </row>
    <row r="322" s="487" customFormat="1" customHeight="1" spans="1:15">
      <c r="A322" s="506">
        <v>2130104</v>
      </c>
      <c r="B322" s="507" t="s">
        <v>105</v>
      </c>
      <c r="C322" s="508">
        <v>152.2</v>
      </c>
      <c r="D322" s="508"/>
      <c r="E322" s="508">
        <f t="shared" si="83"/>
        <v>152.2</v>
      </c>
      <c r="F322" s="508">
        <v>11.0524</v>
      </c>
      <c r="G322" s="508">
        <v>0</v>
      </c>
      <c r="H322" s="508">
        <v>0</v>
      </c>
      <c r="I322" s="508">
        <v>-12.84</v>
      </c>
      <c r="J322" s="508">
        <f t="shared" si="84"/>
        <v>0</v>
      </c>
      <c r="K322" s="508">
        <v>150.4124</v>
      </c>
      <c r="L322" s="508">
        <v>0</v>
      </c>
      <c r="M322" s="508">
        <f t="shared" si="85"/>
        <v>150.4124</v>
      </c>
      <c r="N322" s="508">
        <f t="shared" si="101"/>
        <v>-1.17450722733246</v>
      </c>
      <c r="O322" s="516" t="s">
        <v>72</v>
      </c>
    </row>
    <row r="323" s="487" customFormat="1" customHeight="1" spans="1:15">
      <c r="A323" s="506">
        <v>2130106</v>
      </c>
      <c r="B323" s="507" t="s">
        <v>383</v>
      </c>
      <c r="C323" s="508">
        <v>22</v>
      </c>
      <c r="D323" s="508"/>
      <c r="E323" s="508">
        <f t="shared" si="83"/>
        <v>22</v>
      </c>
      <c r="F323" s="508">
        <v>-18</v>
      </c>
      <c r="G323" s="508">
        <v>0</v>
      </c>
      <c r="H323" s="508">
        <v>0</v>
      </c>
      <c r="I323" s="508">
        <v>0</v>
      </c>
      <c r="J323" s="508">
        <f t="shared" si="84"/>
        <v>0</v>
      </c>
      <c r="K323" s="508">
        <v>4</v>
      </c>
      <c r="L323" s="508">
        <v>0</v>
      </c>
      <c r="M323" s="508">
        <f t="shared" si="85"/>
        <v>4</v>
      </c>
      <c r="N323" s="508">
        <f t="shared" si="101"/>
        <v>-81.8181818181818</v>
      </c>
      <c r="O323" s="516" t="s">
        <v>384</v>
      </c>
    </row>
    <row r="324" s="487" customFormat="1" customHeight="1" spans="1:15">
      <c r="A324" s="506">
        <v>2130108</v>
      </c>
      <c r="B324" s="507" t="s">
        <v>385</v>
      </c>
      <c r="C324" s="508">
        <v>27.2</v>
      </c>
      <c r="D324" s="508"/>
      <c r="E324" s="508">
        <f t="shared" si="83"/>
        <v>27.2</v>
      </c>
      <c r="F324" s="508">
        <v>-9</v>
      </c>
      <c r="G324" s="508">
        <v>0</v>
      </c>
      <c r="H324" s="508">
        <v>0</v>
      </c>
      <c r="I324" s="508">
        <v>0</v>
      </c>
      <c r="J324" s="508">
        <f t="shared" si="84"/>
        <v>10</v>
      </c>
      <c r="K324" s="508">
        <v>18.2</v>
      </c>
      <c r="L324" s="508">
        <v>10</v>
      </c>
      <c r="M324" s="508">
        <f t="shared" si="85"/>
        <v>28.2</v>
      </c>
      <c r="N324" s="508">
        <f t="shared" si="101"/>
        <v>3.67647058823529</v>
      </c>
      <c r="O324" s="516" t="s">
        <v>386</v>
      </c>
    </row>
    <row r="325" s="487" customFormat="1" ht="23" customHeight="1" spans="1:15">
      <c r="A325" s="506">
        <v>2130109</v>
      </c>
      <c r="B325" s="507" t="s">
        <v>387</v>
      </c>
      <c r="C325" s="508">
        <v>2</v>
      </c>
      <c r="D325" s="508"/>
      <c r="E325" s="508">
        <f t="shared" si="83"/>
        <v>2</v>
      </c>
      <c r="F325" s="508">
        <v>0</v>
      </c>
      <c r="G325" s="508">
        <v>0</v>
      </c>
      <c r="H325" s="508">
        <v>0</v>
      </c>
      <c r="I325" s="508">
        <v>0</v>
      </c>
      <c r="J325" s="508">
        <f t="shared" si="84"/>
        <v>0</v>
      </c>
      <c r="K325" s="508">
        <v>2</v>
      </c>
      <c r="L325" s="508">
        <v>0</v>
      </c>
      <c r="M325" s="508">
        <f t="shared" si="85"/>
        <v>2</v>
      </c>
      <c r="N325" s="508">
        <f t="shared" si="101"/>
        <v>0</v>
      </c>
      <c r="O325" s="516"/>
    </row>
    <row r="326" s="487" customFormat="1" ht="24" customHeight="1" spans="1:15">
      <c r="A326" s="506">
        <v>2130110</v>
      </c>
      <c r="B326" s="507" t="s">
        <v>388</v>
      </c>
      <c r="C326" s="508">
        <v>122</v>
      </c>
      <c r="D326" s="508"/>
      <c r="E326" s="508">
        <f t="shared" ref="E326:E389" si="110">C326+D326</f>
        <v>122</v>
      </c>
      <c r="F326" s="508">
        <v>0</v>
      </c>
      <c r="G326" s="508">
        <v>0</v>
      </c>
      <c r="H326" s="508">
        <v>0</v>
      </c>
      <c r="I326" s="508">
        <v>0</v>
      </c>
      <c r="J326" s="508">
        <f t="shared" ref="J326:J389" si="111">L326-D326</f>
        <v>0</v>
      </c>
      <c r="K326" s="508">
        <v>122</v>
      </c>
      <c r="L326" s="508">
        <v>0</v>
      </c>
      <c r="M326" s="508">
        <f t="shared" ref="M326:M389" si="112">K326+L326</f>
        <v>122</v>
      </c>
      <c r="N326" s="508">
        <f t="shared" si="101"/>
        <v>0</v>
      </c>
      <c r="O326" s="516"/>
    </row>
    <row r="327" s="487" customFormat="1" ht="24" customHeight="1" spans="1:15">
      <c r="A327" s="506">
        <v>2130111</v>
      </c>
      <c r="B327" s="507" t="s">
        <v>389</v>
      </c>
      <c r="C327" s="508">
        <v>1</v>
      </c>
      <c r="D327" s="508"/>
      <c r="E327" s="508">
        <f t="shared" si="110"/>
        <v>1</v>
      </c>
      <c r="F327" s="508">
        <v>0</v>
      </c>
      <c r="G327" s="508">
        <v>0</v>
      </c>
      <c r="H327" s="508">
        <v>0</v>
      </c>
      <c r="I327" s="508">
        <v>0</v>
      </c>
      <c r="J327" s="508">
        <f t="shared" si="111"/>
        <v>0</v>
      </c>
      <c r="K327" s="508">
        <v>1</v>
      </c>
      <c r="L327" s="508">
        <v>0</v>
      </c>
      <c r="M327" s="508">
        <f t="shared" si="112"/>
        <v>1</v>
      </c>
      <c r="N327" s="508">
        <f t="shared" si="101"/>
        <v>0</v>
      </c>
      <c r="O327" s="516"/>
    </row>
    <row r="328" s="487" customFormat="1" ht="32" customHeight="1" spans="1:15">
      <c r="A328" s="506">
        <v>2130135</v>
      </c>
      <c r="B328" s="507" t="s">
        <v>390</v>
      </c>
      <c r="C328" s="508">
        <v>22</v>
      </c>
      <c r="D328" s="508"/>
      <c r="E328" s="508">
        <f t="shared" si="110"/>
        <v>22</v>
      </c>
      <c r="F328" s="508">
        <v>-20</v>
      </c>
      <c r="G328" s="508">
        <v>0</v>
      </c>
      <c r="H328" s="508">
        <v>0</v>
      </c>
      <c r="I328" s="508">
        <v>0</v>
      </c>
      <c r="J328" s="508">
        <f t="shared" si="111"/>
        <v>0</v>
      </c>
      <c r="K328" s="508">
        <v>2</v>
      </c>
      <c r="L328" s="508">
        <v>0</v>
      </c>
      <c r="M328" s="508">
        <f t="shared" si="112"/>
        <v>2</v>
      </c>
      <c r="N328" s="508">
        <f t="shared" si="101"/>
        <v>-90.9090909090909</v>
      </c>
      <c r="O328" s="516" t="s">
        <v>391</v>
      </c>
    </row>
    <row r="329" s="487" customFormat="1" ht="25" customHeight="1" spans="1:15">
      <c r="A329" s="506">
        <v>2130148</v>
      </c>
      <c r="B329" s="507" t="s">
        <v>392</v>
      </c>
      <c r="C329" s="508"/>
      <c r="D329" s="508">
        <v>27</v>
      </c>
      <c r="E329" s="508">
        <f t="shared" si="110"/>
        <v>27</v>
      </c>
      <c r="F329" s="508"/>
      <c r="G329" s="508"/>
      <c r="H329" s="508"/>
      <c r="I329" s="508"/>
      <c r="J329" s="508">
        <f t="shared" si="111"/>
        <v>0</v>
      </c>
      <c r="K329" s="508"/>
      <c r="L329" s="509">
        <v>27</v>
      </c>
      <c r="M329" s="508">
        <f t="shared" si="112"/>
        <v>27</v>
      </c>
      <c r="N329" s="508">
        <f t="shared" si="101"/>
        <v>0</v>
      </c>
      <c r="O329" s="516"/>
    </row>
    <row r="330" s="487" customFormat="1" ht="27" customHeight="1" spans="1:15">
      <c r="A330" s="506">
        <v>2130152</v>
      </c>
      <c r="B330" s="507" t="s">
        <v>393</v>
      </c>
      <c r="C330" s="508">
        <v>56.53</v>
      </c>
      <c r="D330" s="508"/>
      <c r="E330" s="508">
        <f t="shared" si="110"/>
        <v>56.53</v>
      </c>
      <c r="F330" s="508">
        <v>0</v>
      </c>
      <c r="G330" s="508">
        <v>0</v>
      </c>
      <c r="H330" s="508">
        <v>0</v>
      </c>
      <c r="I330" s="508">
        <v>0</v>
      </c>
      <c r="J330" s="508">
        <f t="shared" si="111"/>
        <v>2</v>
      </c>
      <c r="K330" s="508">
        <v>56.53</v>
      </c>
      <c r="L330" s="508">
        <v>2</v>
      </c>
      <c r="M330" s="508">
        <f t="shared" si="112"/>
        <v>58.53</v>
      </c>
      <c r="N330" s="508">
        <f t="shared" si="101"/>
        <v>3.53794445427207</v>
      </c>
      <c r="O330" s="516"/>
    </row>
    <row r="331" s="487" customFormat="1" ht="40" customHeight="1" spans="1:15">
      <c r="A331" s="506">
        <v>2130199</v>
      </c>
      <c r="B331" s="507" t="s">
        <v>394</v>
      </c>
      <c r="C331" s="508">
        <v>90.7</v>
      </c>
      <c r="D331" s="508">
        <v>76</v>
      </c>
      <c r="E331" s="508">
        <f t="shared" si="110"/>
        <v>166.7</v>
      </c>
      <c r="F331" s="508">
        <v>-15</v>
      </c>
      <c r="G331" s="508">
        <v>-5</v>
      </c>
      <c r="H331" s="508">
        <v>0</v>
      </c>
      <c r="I331" s="508">
        <v>0</v>
      </c>
      <c r="J331" s="508">
        <f t="shared" si="111"/>
        <v>186</v>
      </c>
      <c r="K331" s="508">
        <v>70.7</v>
      </c>
      <c r="L331" s="508">
        <v>262</v>
      </c>
      <c r="M331" s="508">
        <f t="shared" si="112"/>
        <v>332.7</v>
      </c>
      <c r="N331" s="508">
        <f t="shared" si="101"/>
        <v>99.5800839832034</v>
      </c>
      <c r="O331" s="516" t="s">
        <v>395</v>
      </c>
    </row>
    <row r="332" s="487" customFormat="1" customHeight="1" spans="1:15">
      <c r="A332" s="506">
        <v>21302</v>
      </c>
      <c r="B332" s="507" t="s">
        <v>396</v>
      </c>
      <c r="C332" s="508">
        <f t="shared" ref="C332:I332" si="113">C333+C335</f>
        <v>159.83</v>
      </c>
      <c r="D332" s="508">
        <f t="shared" si="113"/>
        <v>7</v>
      </c>
      <c r="E332" s="508">
        <f t="shared" si="110"/>
        <v>166.83</v>
      </c>
      <c r="F332" s="508">
        <f t="shared" si="113"/>
        <v>-20</v>
      </c>
      <c r="G332" s="508">
        <f t="shared" si="113"/>
        <v>0</v>
      </c>
      <c r="H332" s="508">
        <f t="shared" si="113"/>
        <v>0</v>
      </c>
      <c r="I332" s="508">
        <f t="shared" si="113"/>
        <v>0</v>
      </c>
      <c r="J332" s="508">
        <f t="shared" si="111"/>
        <v>209</v>
      </c>
      <c r="K332" s="508">
        <v>139.83</v>
      </c>
      <c r="L332" s="508">
        <v>216</v>
      </c>
      <c r="M332" s="508">
        <f t="shared" si="112"/>
        <v>355.83</v>
      </c>
      <c r="N332" s="508">
        <f t="shared" si="101"/>
        <v>113.288976802733</v>
      </c>
      <c r="O332" s="516"/>
    </row>
    <row r="333" s="487" customFormat="1" customHeight="1" spans="1:15">
      <c r="A333" s="506">
        <v>2130206</v>
      </c>
      <c r="B333" s="507" t="s">
        <v>397</v>
      </c>
      <c r="C333" s="508">
        <v>20</v>
      </c>
      <c r="D333" s="508"/>
      <c r="E333" s="508">
        <f t="shared" si="110"/>
        <v>20</v>
      </c>
      <c r="F333" s="508">
        <v>-20</v>
      </c>
      <c r="G333" s="508">
        <v>0</v>
      </c>
      <c r="H333" s="508">
        <v>0</v>
      </c>
      <c r="I333" s="508">
        <v>0</v>
      </c>
      <c r="J333" s="508">
        <f t="shared" si="111"/>
        <v>0</v>
      </c>
      <c r="K333" s="508">
        <v>0</v>
      </c>
      <c r="L333" s="508">
        <v>0</v>
      </c>
      <c r="M333" s="508">
        <f t="shared" si="112"/>
        <v>0</v>
      </c>
      <c r="N333" s="508">
        <f t="shared" si="101"/>
        <v>-100</v>
      </c>
      <c r="O333" s="516" t="s">
        <v>398</v>
      </c>
    </row>
    <row r="334" s="487" customFormat="1" customHeight="1" spans="1:15">
      <c r="A334" s="506">
        <v>2130209</v>
      </c>
      <c r="B334" s="507" t="s">
        <v>399</v>
      </c>
      <c r="C334" s="508"/>
      <c r="D334" s="508"/>
      <c r="E334" s="508">
        <f t="shared" si="110"/>
        <v>0</v>
      </c>
      <c r="F334" s="508"/>
      <c r="G334" s="508"/>
      <c r="H334" s="508"/>
      <c r="I334" s="508"/>
      <c r="J334" s="508">
        <f t="shared" si="111"/>
        <v>209</v>
      </c>
      <c r="K334" s="509"/>
      <c r="L334" s="509">
        <v>209</v>
      </c>
      <c r="M334" s="508">
        <f t="shared" si="112"/>
        <v>209</v>
      </c>
      <c r="N334" s="508">
        <v>100</v>
      </c>
      <c r="O334" s="516"/>
    </row>
    <row r="335" s="487" customFormat="1" customHeight="1" spans="1:15">
      <c r="A335" s="506">
        <v>2130299</v>
      </c>
      <c r="B335" s="507" t="s">
        <v>400</v>
      </c>
      <c r="C335" s="508">
        <v>139.83</v>
      </c>
      <c r="D335" s="508">
        <v>7</v>
      </c>
      <c r="E335" s="508">
        <f t="shared" si="110"/>
        <v>146.83</v>
      </c>
      <c r="F335" s="508">
        <v>0</v>
      </c>
      <c r="G335" s="508">
        <v>0</v>
      </c>
      <c r="H335" s="508">
        <v>0</v>
      </c>
      <c r="I335" s="508">
        <v>0</v>
      </c>
      <c r="J335" s="508">
        <f t="shared" si="111"/>
        <v>0</v>
      </c>
      <c r="K335" s="508">
        <v>139.83</v>
      </c>
      <c r="L335" s="508">
        <v>7</v>
      </c>
      <c r="M335" s="508">
        <f t="shared" si="112"/>
        <v>146.83</v>
      </c>
      <c r="N335" s="508">
        <f t="shared" si="101"/>
        <v>0</v>
      </c>
      <c r="O335" s="516"/>
    </row>
    <row r="336" s="487" customFormat="1" customHeight="1" spans="1:15">
      <c r="A336" s="506">
        <v>21303</v>
      </c>
      <c r="B336" s="507" t="s">
        <v>401</v>
      </c>
      <c r="C336" s="508">
        <f t="shared" ref="C336:I336" si="114">C337+C338+C339+C340+C341+C342+C343+C344+C345+C346</f>
        <v>1770.87</v>
      </c>
      <c r="D336" s="508">
        <f t="shared" si="114"/>
        <v>0</v>
      </c>
      <c r="E336" s="508">
        <f t="shared" si="110"/>
        <v>1770.87</v>
      </c>
      <c r="F336" s="508">
        <f t="shared" si="114"/>
        <v>-32.1532</v>
      </c>
      <c r="G336" s="508">
        <f t="shared" si="114"/>
        <v>0</v>
      </c>
      <c r="H336" s="508">
        <f t="shared" si="114"/>
        <v>0</v>
      </c>
      <c r="I336" s="508">
        <f t="shared" si="114"/>
        <v>165.45</v>
      </c>
      <c r="J336" s="508">
        <f t="shared" si="111"/>
        <v>110</v>
      </c>
      <c r="K336" s="508">
        <v>1904.1668</v>
      </c>
      <c r="L336" s="508">
        <v>110</v>
      </c>
      <c r="M336" s="508">
        <f t="shared" si="112"/>
        <v>2014.1668</v>
      </c>
      <c r="N336" s="508">
        <f t="shared" ref="N336:N367" si="115">(M336-E336)/E336*100</f>
        <v>13.7388289371891</v>
      </c>
      <c r="O336" s="516"/>
    </row>
    <row r="337" s="487" customFormat="1" customHeight="1" spans="1:15">
      <c r="A337" s="506">
        <v>2130301</v>
      </c>
      <c r="B337" s="507" t="s">
        <v>71</v>
      </c>
      <c r="C337" s="508">
        <v>582.79</v>
      </c>
      <c r="D337" s="508"/>
      <c r="E337" s="508">
        <f t="shared" si="110"/>
        <v>582.79</v>
      </c>
      <c r="F337" s="508">
        <v>35.9468</v>
      </c>
      <c r="G337" s="508">
        <v>0</v>
      </c>
      <c r="H337" s="508">
        <v>0</v>
      </c>
      <c r="I337" s="508">
        <v>157.18</v>
      </c>
      <c r="J337" s="508">
        <f t="shared" si="111"/>
        <v>0</v>
      </c>
      <c r="K337" s="508">
        <v>775.9168</v>
      </c>
      <c r="L337" s="508">
        <v>0</v>
      </c>
      <c r="M337" s="508">
        <f t="shared" si="112"/>
        <v>775.9168</v>
      </c>
      <c r="N337" s="508">
        <f t="shared" si="115"/>
        <v>33.1383174042108</v>
      </c>
      <c r="O337" s="516" t="s">
        <v>72</v>
      </c>
    </row>
    <row r="338" s="487" customFormat="1" ht="32" customHeight="1" spans="1:15">
      <c r="A338" s="506">
        <v>2130304</v>
      </c>
      <c r="B338" s="507" t="s">
        <v>402</v>
      </c>
      <c r="C338" s="508">
        <v>21.6</v>
      </c>
      <c r="D338" s="508"/>
      <c r="E338" s="508">
        <f t="shared" si="110"/>
        <v>21.6</v>
      </c>
      <c r="F338" s="508">
        <v>-12.6</v>
      </c>
      <c r="G338" s="508">
        <v>0</v>
      </c>
      <c r="H338" s="508">
        <v>0</v>
      </c>
      <c r="I338" s="508">
        <v>0</v>
      </c>
      <c r="J338" s="508">
        <f t="shared" si="111"/>
        <v>0</v>
      </c>
      <c r="K338" s="508">
        <v>9</v>
      </c>
      <c r="L338" s="508">
        <v>0</v>
      </c>
      <c r="M338" s="508">
        <f t="shared" si="112"/>
        <v>9</v>
      </c>
      <c r="N338" s="508">
        <f t="shared" si="115"/>
        <v>-58.3333333333333</v>
      </c>
      <c r="O338" s="516" t="s">
        <v>403</v>
      </c>
    </row>
    <row r="339" s="487" customFormat="1" customHeight="1" spans="1:15">
      <c r="A339" s="506">
        <v>2130305</v>
      </c>
      <c r="B339" s="507" t="s">
        <v>404</v>
      </c>
      <c r="C339" s="508">
        <v>878.91</v>
      </c>
      <c r="D339" s="508"/>
      <c r="E339" s="508">
        <f t="shared" si="110"/>
        <v>878.91</v>
      </c>
      <c r="F339" s="508">
        <v>0</v>
      </c>
      <c r="G339" s="508">
        <v>0</v>
      </c>
      <c r="H339" s="508">
        <v>0</v>
      </c>
      <c r="I339" s="508">
        <v>0</v>
      </c>
      <c r="J339" s="508">
        <f t="shared" si="111"/>
        <v>0</v>
      </c>
      <c r="K339" s="508">
        <v>878.91</v>
      </c>
      <c r="L339" s="508">
        <v>0</v>
      </c>
      <c r="M339" s="508">
        <f t="shared" si="112"/>
        <v>878.91</v>
      </c>
      <c r="N339" s="508">
        <f t="shared" si="115"/>
        <v>0</v>
      </c>
      <c r="O339" s="516"/>
    </row>
    <row r="340" s="487" customFormat="1" ht="32" customHeight="1" spans="1:15">
      <c r="A340" s="506">
        <v>2130306</v>
      </c>
      <c r="B340" s="507" t="s">
        <v>405</v>
      </c>
      <c r="C340" s="508">
        <v>22.2</v>
      </c>
      <c r="D340" s="508"/>
      <c r="E340" s="508">
        <f t="shared" si="110"/>
        <v>22.2</v>
      </c>
      <c r="F340" s="508">
        <v>-7</v>
      </c>
      <c r="G340" s="508">
        <v>0</v>
      </c>
      <c r="H340" s="508">
        <v>0</v>
      </c>
      <c r="I340" s="508">
        <v>0</v>
      </c>
      <c r="J340" s="508">
        <f t="shared" si="111"/>
        <v>0</v>
      </c>
      <c r="K340" s="508">
        <v>15.2</v>
      </c>
      <c r="L340" s="508">
        <v>0</v>
      </c>
      <c r="M340" s="508">
        <f t="shared" si="112"/>
        <v>15.2</v>
      </c>
      <c r="N340" s="508">
        <f t="shared" si="115"/>
        <v>-31.5315315315315</v>
      </c>
      <c r="O340" s="516" t="s">
        <v>406</v>
      </c>
    </row>
    <row r="341" s="487" customFormat="1" customHeight="1" spans="1:15">
      <c r="A341" s="506">
        <v>2130308</v>
      </c>
      <c r="B341" s="507" t="s">
        <v>407</v>
      </c>
      <c r="C341" s="508">
        <v>79</v>
      </c>
      <c r="D341" s="508"/>
      <c r="E341" s="508">
        <f t="shared" si="110"/>
        <v>79</v>
      </c>
      <c r="F341" s="508">
        <v>-23.5</v>
      </c>
      <c r="G341" s="508">
        <v>0</v>
      </c>
      <c r="H341" s="508">
        <v>0</v>
      </c>
      <c r="I341" s="508">
        <v>0</v>
      </c>
      <c r="J341" s="508">
        <f t="shared" si="111"/>
        <v>0</v>
      </c>
      <c r="K341" s="508">
        <v>55.5</v>
      </c>
      <c r="L341" s="508">
        <v>0</v>
      </c>
      <c r="M341" s="508">
        <f t="shared" si="112"/>
        <v>55.5</v>
      </c>
      <c r="N341" s="508">
        <f t="shared" si="115"/>
        <v>-29.746835443038</v>
      </c>
      <c r="O341" s="516" t="s">
        <v>408</v>
      </c>
    </row>
    <row r="342" s="487" customFormat="1" customHeight="1" spans="1:15">
      <c r="A342" s="506">
        <v>2130310</v>
      </c>
      <c r="B342" s="507" t="s">
        <v>409</v>
      </c>
      <c r="C342" s="508">
        <v>35.96</v>
      </c>
      <c r="D342" s="508"/>
      <c r="E342" s="508">
        <f t="shared" si="110"/>
        <v>35.96</v>
      </c>
      <c r="F342" s="508">
        <v>0</v>
      </c>
      <c r="G342" s="508">
        <v>0</v>
      </c>
      <c r="H342" s="508">
        <v>0</v>
      </c>
      <c r="I342" s="508">
        <v>0</v>
      </c>
      <c r="J342" s="508">
        <f t="shared" si="111"/>
        <v>0</v>
      </c>
      <c r="K342" s="508">
        <v>35.96</v>
      </c>
      <c r="L342" s="508">
        <v>0</v>
      </c>
      <c r="M342" s="508">
        <f t="shared" si="112"/>
        <v>35.96</v>
      </c>
      <c r="N342" s="508">
        <f t="shared" si="115"/>
        <v>0</v>
      </c>
      <c r="O342" s="516"/>
    </row>
    <row r="343" s="487" customFormat="1" customHeight="1" spans="1:15">
      <c r="A343" s="506">
        <v>2130311</v>
      </c>
      <c r="B343" s="507" t="s">
        <v>410</v>
      </c>
      <c r="C343" s="508">
        <v>67.41</v>
      </c>
      <c r="D343" s="508"/>
      <c r="E343" s="508">
        <f t="shared" si="110"/>
        <v>67.41</v>
      </c>
      <c r="F343" s="508">
        <v>0</v>
      </c>
      <c r="G343" s="508">
        <v>0</v>
      </c>
      <c r="H343" s="508">
        <v>0</v>
      </c>
      <c r="I343" s="508">
        <v>8.27</v>
      </c>
      <c r="J343" s="508">
        <f t="shared" si="111"/>
        <v>0</v>
      </c>
      <c r="K343" s="508">
        <v>75.68</v>
      </c>
      <c r="L343" s="508">
        <v>0</v>
      </c>
      <c r="M343" s="508">
        <f t="shared" si="112"/>
        <v>75.68</v>
      </c>
      <c r="N343" s="508">
        <f t="shared" si="115"/>
        <v>12.2682094644712</v>
      </c>
      <c r="O343" s="516" t="s">
        <v>72</v>
      </c>
    </row>
    <row r="344" s="487" customFormat="1" customHeight="1" spans="1:15">
      <c r="A344" s="506">
        <v>2130316</v>
      </c>
      <c r="B344" s="507" t="s">
        <v>411</v>
      </c>
      <c r="C344" s="508">
        <v>20</v>
      </c>
      <c r="D344" s="508"/>
      <c r="E344" s="508">
        <f t="shared" si="110"/>
        <v>20</v>
      </c>
      <c r="F344" s="508">
        <v>-20</v>
      </c>
      <c r="G344" s="508">
        <v>0</v>
      </c>
      <c r="H344" s="508">
        <v>0</v>
      </c>
      <c r="I344" s="508">
        <v>0</v>
      </c>
      <c r="J344" s="508">
        <f t="shared" si="111"/>
        <v>0</v>
      </c>
      <c r="K344" s="508">
        <v>0</v>
      </c>
      <c r="L344" s="508">
        <v>0</v>
      </c>
      <c r="M344" s="508">
        <f t="shared" si="112"/>
        <v>0</v>
      </c>
      <c r="N344" s="508">
        <f t="shared" si="115"/>
        <v>-100</v>
      </c>
      <c r="O344" s="516" t="s">
        <v>412</v>
      </c>
    </row>
    <row r="345" s="487" customFormat="1" customHeight="1" spans="1:15">
      <c r="A345" s="506">
        <v>2130317</v>
      </c>
      <c r="B345" s="507" t="s">
        <v>413</v>
      </c>
      <c r="C345" s="508">
        <v>4</v>
      </c>
      <c r="D345" s="508"/>
      <c r="E345" s="508">
        <f t="shared" si="110"/>
        <v>4</v>
      </c>
      <c r="F345" s="508">
        <v>0</v>
      </c>
      <c r="G345" s="508">
        <v>0</v>
      </c>
      <c r="H345" s="508">
        <v>0</v>
      </c>
      <c r="I345" s="508">
        <v>0</v>
      </c>
      <c r="J345" s="508">
        <f t="shared" si="111"/>
        <v>0</v>
      </c>
      <c r="K345" s="508">
        <v>4</v>
      </c>
      <c r="L345" s="508">
        <v>0</v>
      </c>
      <c r="M345" s="508">
        <f t="shared" si="112"/>
        <v>4</v>
      </c>
      <c r="N345" s="508">
        <f t="shared" si="115"/>
        <v>0</v>
      </c>
      <c r="O345" s="516"/>
    </row>
    <row r="346" s="487" customFormat="1" ht="28" customHeight="1" spans="1:15">
      <c r="A346" s="506">
        <v>2130399</v>
      </c>
      <c r="B346" s="507" t="s">
        <v>414</v>
      </c>
      <c r="C346" s="508">
        <v>59</v>
      </c>
      <c r="D346" s="508"/>
      <c r="E346" s="508">
        <f t="shared" si="110"/>
        <v>59</v>
      </c>
      <c r="F346" s="508">
        <v>-5</v>
      </c>
      <c r="G346" s="508">
        <v>0</v>
      </c>
      <c r="H346" s="508">
        <v>0</v>
      </c>
      <c r="I346" s="508">
        <v>0</v>
      </c>
      <c r="J346" s="508">
        <f t="shared" si="111"/>
        <v>110</v>
      </c>
      <c r="K346" s="508">
        <v>54</v>
      </c>
      <c r="L346" s="508">
        <v>110</v>
      </c>
      <c r="M346" s="508">
        <f t="shared" si="112"/>
        <v>164</v>
      </c>
      <c r="N346" s="508">
        <f t="shared" si="115"/>
        <v>177.966101694915</v>
      </c>
      <c r="O346" s="516" t="s">
        <v>415</v>
      </c>
    </row>
    <row r="347" s="487" customFormat="1" customHeight="1" spans="1:15">
      <c r="A347" s="506">
        <v>21305</v>
      </c>
      <c r="B347" s="507" t="s">
        <v>416</v>
      </c>
      <c r="C347" s="508">
        <f t="shared" ref="C347:I347" si="116">C348</f>
        <v>23</v>
      </c>
      <c r="D347" s="508">
        <f t="shared" si="116"/>
        <v>3</v>
      </c>
      <c r="E347" s="508">
        <f t="shared" si="110"/>
        <v>26</v>
      </c>
      <c r="F347" s="508">
        <f t="shared" si="116"/>
        <v>0</v>
      </c>
      <c r="G347" s="508">
        <f t="shared" si="116"/>
        <v>0</v>
      </c>
      <c r="H347" s="508">
        <f t="shared" si="116"/>
        <v>0</v>
      </c>
      <c r="I347" s="508">
        <f t="shared" si="116"/>
        <v>0</v>
      </c>
      <c r="J347" s="508">
        <f t="shared" si="111"/>
        <v>105</v>
      </c>
      <c r="K347" s="508">
        <v>23</v>
      </c>
      <c r="L347" s="508">
        <v>108</v>
      </c>
      <c r="M347" s="508">
        <f t="shared" si="112"/>
        <v>131</v>
      </c>
      <c r="N347" s="508">
        <f t="shared" si="115"/>
        <v>403.846153846154</v>
      </c>
      <c r="O347" s="516"/>
    </row>
    <row r="348" s="487" customFormat="1" customHeight="1" spans="1:15">
      <c r="A348" s="506">
        <v>2130599</v>
      </c>
      <c r="B348" s="507" t="s">
        <v>417</v>
      </c>
      <c r="C348" s="508">
        <v>23</v>
      </c>
      <c r="D348" s="508">
        <v>3</v>
      </c>
      <c r="E348" s="508">
        <f t="shared" si="110"/>
        <v>26</v>
      </c>
      <c r="F348" s="508">
        <v>0</v>
      </c>
      <c r="G348" s="508">
        <v>0</v>
      </c>
      <c r="H348" s="508">
        <v>0</v>
      </c>
      <c r="I348" s="508">
        <v>0</v>
      </c>
      <c r="J348" s="508">
        <f t="shared" si="111"/>
        <v>105</v>
      </c>
      <c r="K348" s="508">
        <v>23</v>
      </c>
      <c r="L348" s="508">
        <v>108</v>
      </c>
      <c r="M348" s="508">
        <f t="shared" si="112"/>
        <v>131</v>
      </c>
      <c r="N348" s="508">
        <f t="shared" si="115"/>
        <v>403.846153846154</v>
      </c>
      <c r="O348" s="516"/>
    </row>
    <row r="349" s="487" customFormat="1" customHeight="1" spans="1:15">
      <c r="A349" s="506">
        <v>21307</v>
      </c>
      <c r="B349" s="507" t="s">
        <v>418</v>
      </c>
      <c r="C349" s="508">
        <f t="shared" ref="C349:I349" si="117">C350+C351+C352</f>
        <v>275</v>
      </c>
      <c r="D349" s="508">
        <f t="shared" si="117"/>
        <v>4465</v>
      </c>
      <c r="E349" s="508">
        <f t="shared" si="110"/>
        <v>4740</v>
      </c>
      <c r="F349" s="508">
        <f t="shared" si="117"/>
        <v>-50</v>
      </c>
      <c r="G349" s="508">
        <f t="shared" si="117"/>
        <v>0</v>
      </c>
      <c r="H349" s="508">
        <f t="shared" si="117"/>
        <v>0</v>
      </c>
      <c r="I349" s="508">
        <f t="shared" si="117"/>
        <v>0</v>
      </c>
      <c r="J349" s="508">
        <f t="shared" si="111"/>
        <v>-4445</v>
      </c>
      <c r="K349" s="508">
        <v>225</v>
      </c>
      <c r="L349" s="508">
        <v>20</v>
      </c>
      <c r="M349" s="508">
        <f t="shared" si="112"/>
        <v>245</v>
      </c>
      <c r="N349" s="508">
        <f t="shared" si="115"/>
        <v>-94.831223628692</v>
      </c>
      <c r="O349" s="516"/>
    </row>
    <row r="350" s="487" customFormat="1" customHeight="1" spans="1:15">
      <c r="A350" s="506">
        <v>2130706</v>
      </c>
      <c r="B350" s="507" t="s">
        <v>419</v>
      </c>
      <c r="C350" s="508">
        <v>200</v>
      </c>
      <c r="D350" s="508"/>
      <c r="E350" s="508">
        <f t="shared" si="110"/>
        <v>200</v>
      </c>
      <c r="F350" s="508">
        <v>0</v>
      </c>
      <c r="G350" s="508">
        <v>0</v>
      </c>
      <c r="H350" s="508">
        <v>0</v>
      </c>
      <c r="I350" s="508">
        <v>0</v>
      </c>
      <c r="J350" s="508">
        <f t="shared" si="111"/>
        <v>0</v>
      </c>
      <c r="K350" s="508">
        <v>200</v>
      </c>
      <c r="L350" s="508">
        <v>0</v>
      </c>
      <c r="M350" s="508">
        <f t="shared" si="112"/>
        <v>200</v>
      </c>
      <c r="N350" s="508">
        <f t="shared" si="115"/>
        <v>0</v>
      </c>
      <c r="O350" s="516"/>
    </row>
    <row r="351" s="487" customFormat="1" ht="32" customHeight="1" spans="1:15">
      <c r="A351" s="506">
        <v>2130707</v>
      </c>
      <c r="B351" s="507" t="s">
        <v>420</v>
      </c>
      <c r="C351" s="508">
        <v>25</v>
      </c>
      <c r="D351" s="508"/>
      <c r="E351" s="508">
        <f t="shared" si="110"/>
        <v>25</v>
      </c>
      <c r="F351" s="508">
        <v>0</v>
      </c>
      <c r="G351" s="508">
        <v>0</v>
      </c>
      <c r="H351" s="508">
        <v>0</v>
      </c>
      <c r="I351" s="508"/>
      <c r="J351" s="508">
        <f t="shared" si="111"/>
        <v>0</v>
      </c>
      <c r="K351" s="508">
        <v>25</v>
      </c>
      <c r="L351" s="508">
        <v>0</v>
      </c>
      <c r="M351" s="508">
        <f t="shared" si="112"/>
        <v>25</v>
      </c>
      <c r="N351" s="508">
        <f t="shared" si="115"/>
        <v>0</v>
      </c>
      <c r="O351" s="516"/>
    </row>
    <row r="352" s="487" customFormat="1" customHeight="1" spans="1:15">
      <c r="A352" s="506">
        <v>2130799</v>
      </c>
      <c r="B352" s="507" t="s">
        <v>421</v>
      </c>
      <c r="C352" s="508">
        <v>50</v>
      </c>
      <c r="D352" s="508">
        <v>4465</v>
      </c>
      <c r="E352" s="508">
        <f t="shared" si="110"/>
        <v>4515</v>
      </c>
      <c r="F352" s="508">
        <v>-50</v>
      </c>
      <c r="G352" s="508">
        <v>0</v>
      </c>
      <c r="H352" s="508">
        <v>0</v>
      </c>
      <c r="I352" s="509"/>
      <c r="J352" s="508">
        <f t="shared" si="111"/>
        <v>-4445</v>
      </c>
      <c r="K352" s="508">
        <v>0</v>
      </c>
      <c r="L352" s="508">
        <v>20</v>
      </c>
      <c r="M352" s="508">
        <f t="shared" si="112"/>
        <v>20</v>
      </c>
      <c r="N352" s="508">
        <f t="shared" si="115"/>
        <v>-99.5570321151717</v>
      </c>
      <c r="O352" s="516" t="s">
        <v>422</v>
      </c>
    </row>
    <row r="353" s="487" customFormat="1" customHeight="1" spans="1:15">
      <c r="A353" s="506">
        <v>21308</v>
      </c>
      <c r="B353" s="507" t="s">
        <v>423</v>
      </c>
      <c r="C353" s="508">
        <f t="shared" ref="C353:I353" si="118">C354+C355</f>
        <v>21.8</v>
      </c>
      <c r="D353" s="508">
        <f t="shared" si="118"/>
        <v>0</v>
      </c>
      <c r="E353" s="508">
        <f t="shared" si="110"/>
        <v>21.8</v>
      </c>
      <c r="F353" s="508">
        <f t="shared" si="118"/>
        <v>0</v>
      </c>
      <c r="G353" s="508">
        <f t="shared" si="118"/>
        <v>0</v>
      </c>
      <c r="H353" s="508">
        <f t="shared" si="118"/>
        <v>0</v>
      </c>
      <c r="I353" s="508">
        <f t="shared" si="118"/>
        <v>0</v>
      </c>
      <c r="J353" s="508">
        <f t="shared" si="111"/>
        <v>0</v>
      </c>
      <c r="K353" s="508">
        <v>21.8</v>
      </c>
      <c r="L353" s="508">
        <v>0</v>
      </c>
      <c r="M353" s="508">
        <f t="shared" si="112"/>
        <v>21.8</v>
      </c>
      <c r="N353" s="508">
        <f t="shared" si="115"/>
        <v>0</v>
      </c>
      <c r="O353" s="516"/>
    </row>
    <row r="354" s="487" customFormat="1" customHeight="1" spans="1:15">
      <c r="A354" s="506">
        <v>2130803</v>
      </c>
      <c r="B354" s="507" t="s">
        <v>424</v>
      </c>
      <c r="C354" s="508">
        <v>12.8</v>
      </c>
      <c r="D354" s="508"/>
      <c r="E354" s="508">
        <f t="shared" si="110"/>
        <v>12.8</v>
      </c>
      <c r="F354" s="508">
        <v>0</v>
      </c>
      <c r="G354" s="508">
        <v>0</v>
      </c>
      <c r="H354" s="508">
        <v>0</v>
      </c>
      <c r="I354" s="508">
        <v>0</v>
      </c>
      <c r="J354" s="508">
        <f t="shared" si="111"/>
        <v>0</v>
      </c>
      <c r="K354" s="508">
        <v>12.8</v>
      </c>
      <c r="L354" s="508">
        <v>0</v>
      </c>
      <c r="M354" s="508">
        <f t="shared" si="112"/>
        <v>12.8</v>
      </c>
      <c r="N354" s="508">
        <f t="shared" si="115"/>
        <v>0</v>
      </c>
      <c r="O354" s="516"/>
    </row>
    <row r="355" s="487" customFormat="1" customHeight="1" spans="1:15">
      <c r="A355" s="506">
        <v>2130804</v>
      </c>
      <c r="B355" s="507" t="s">
        <v>425</v>
      </c>
      <c r="C355" s="508">
        <v>9</v>
      </c>
      <c r="D355" s="508"/>
      <c r="E355" s="508">
        <f t="shared" si="110"/>
        <v>9</v>
      </c>
      <c r="F355" s="508">
        <v>0</v>
      </c>
      <c r="G355" s="508">
        <v>0</v>
      </c>
      <c r="H355" s="508">
        <v>0</v>
      </c>
      <c r="I355" s="508">
        <v>0</v>
      </c>
      <c r="J355" s="508">
        <f t="shared" si="111"/>
        <v>0</v>
      </c>
      <c r="K355" s="508">
        <v>9</v>
      </c>
      <c r="L355" s="508">
        <v>0</v>
      </c>
      <c r="M355" s="508">
        <f t="shared" si="112"/>
        <v>9</v>
      </c>
      <c r="N355" s="508">
        <f t="shared" si="115"/>
        <v>0</v>
      </c>
      <c r="O355" s="517"/>
    </row>
    <row r="356" s="487" customFormat="1" customHeight="1" spans="1:15">
      <c r="A356" s="506">
        <v>21399</v>
      </c>
      <c r="B356" s="507" t="s">
        <v>426</v>
      </c>
      <c r="C356" s="508">
        <f t="shared" ref="C356:I356" si="119">C357</f>
        <v>6250.96</v>
      </c>
      <c r="D356" s="508">
        <f t="shared" si="119"/>
        <v>0</v>
      </c>
      <c r="E356" s="508">
        <f t="shared" si="110"/>
        <v>6250.96</v>
      </c>
      <c r="F356" s="508">
        <f t="shared" si="119"/>
        <v>1644.07</v>
      </c>
      <c r="G356" s="508">
        <f t="shared" si="119"/>
        <v>0</v>
      </c>
      <c r="H356" s="508">
        <f t="shared" si="119"/>
        <v>0</v>
      </c>
      <c r="I356" s="508">
        <f t="shared" si="119"/>
        <v>11.94</v>
      </c>
      <c r="J356" s="508">
        <f t="shared" si="111"/>
        <v>6094</v>
      </c>
      <c r="K356" s="508">
        <v>7906.97</v>
      </c>
      <c r="L356" s="508">
        <v>6094</v>
      </c>
      <c r="M356" s="508">
        <f t="shared" si="112"/>
        <v>14000.97</v>
      </c>
      <c r="N356" s="508">
        <f t="shared" si="115"/>
        <v>123.981116500506</v>
      </c>
      <c r="O356" s="516"/>
    </row>
    <row r="357" s="487" customFormat="1" ht="71" customHeight="1" spans="1:15">
      <c r="A357" s="506">
        <v>2139999</v>
      </c>
      <c r="B357" s="507" t="s">
        <v>426</v>
      </c>
      <c r="C357" s="508">
        <v>6250.96</v>
      </c>
      <c r="D357" s="508"/>
      <c r="E357" s="508">
        <f t="shared" si="110"/>
        <v>6250.96</v>
      </c>
      <c r="F357" s="508">
        <v>1644.07</v>
      </c>
      <c r="G357" s="508">
        <v>0</v>
      </c>
      <c r="H357" s="508">
        <v>0</v>
      </c>
      <c r="I357" s="508">
        <v>11.94</v>
      </c>
      <c r="J357" s="508">
        <f t="shared" si="111"/>
        <v>6094</v>
      </c>
      <c r="K357" s="508">
        <v>7906.97</v>
      </c>
      <c r="L357" s="508">
        <v>6094</v>
      </c>
      <c r="M357" s="508">
        <f t="shared" si="112"/>
        <v>14000.97</v>
      </c>
      <c r="N357" s="508">
        <f t="shared" si="115"/>
        <v>123.981116500506</v>
      </c>
      <c r="O357" s="516" t="s">
        <v>427</v>
      </c>
    </row>
    <row r="358" s="487" customFormat="1" customHeight="1" spans="1:15">
      <c r="A358" s="506">
        <v>214</v>
      </c>
      <c r="B358" s="507" t="s">
        <v>428</v>
      </c>
      <c r="C358" s="508">
        <f t="shared" ref="C358:I358" si="120">C359</f>
        <v>55.28</v>
      </c>
      <c r="D358" s="508">
        <f>D359+D364</f>
        <v>4073</v>
      </c>
      <c r="E358" s="508">
        <f t="shared" si="110"/>
        <v>4128.28</v>
      </c>
      <c r="F358" s="508">
        <f t="shared" si="120"/>
        <v>2.86</v>
      </c>
      <c r="G358" s="508">
        <f t="shared" si="120"/>
        <v>0</v>
      </c>
      <c r="H358" s="508">
        <f t="shared" si="120"/>
        <v>0</v>
      </c>
      <c r="I358" s="508">
        <f t="shared" si="120"/>
        <v>6.36</v>
      </c>
      <c r="J358" s="508">
        <f t="shared" si="111"/>
        <v>253</v>
      </c>
      <c r="K358" s="508">
        <v>64.5</v>
      </c>
      <c r="L358" s="508">
        <v>4326</v>
      </c>
      <c r="M358" s="508">
        <f t="shared" si="112"/>
        <v>4390.5</v>
      </c>
      <c r="N358" s="508">
        <f t="shared" si="115"/>
        <v>6.35179784316956</v>
      </c>
      <c r="O358" s="516"/>
    </row>
    <row r="359" s="487" customFormat="1" customHeight="1" spans="1:15">
      <c r="A359" s="506">
        <v>21401</v>
      </c>
      <c r="B359" s="507" t="s">
        <v>429</v>
      </c>
      <c r="C359" s="508">
        <f t="shared" ref="C359:I359" si="121">C361</f>
        <v>55.28</v>
      </c>
      <c r="D359" s="508">
        <f t="shared" si="121"/>
        <v>0</v>
      </c>
      <c r="E359" s="508">
        <f t="shared" si="110"/>
        <v>55.28</v>
      </c>
      <c r="F359" s="508">
        <f t="shared" si="121"/>
        <v>2.86</v>
      </c>
      <c r="G359" s="508">
        <f t="shared" si="121"/>
        <v>0</v>
      </c>
      <c r="H359" s="508">
        <f t="shared" si="121"/>
        <v>0</v>
      </c>
      <c r="I359" s="508">
        <f t="shared" si="121"/>
        <v>6.36</v>
      </c>
      <c r="J359" s="508">
        <f t="shared" si="111"/>
        <v>216</v>
      </c>
      <c r="K359" s="508">
        <v>64.5</v>
      </c>
      <c r="L359" s="508">
        <v>216</v>
      </c>
      <c r="M359" s="508">
        <f t="shared" si="112"/>
        <v>280.5</v>
      </c>
      <c r="N359" s="508">
        <f t="shared" si="115"/>
        <v>407.416787264834</v>
      </c>
      <c r="O359" s="516"/>
    </row>
    <row r="360" s="487" customFormat="1" customHeight="1" spans="1:15">
      <c r="A360" s="506">
        <v>2140104</v>
      </c>
      <c r="B360" s="507" t="s">
        <v>430</v>
      </c>
      <c r="C360" s="508"/>
      <c r="D360" s="508"/>
      <c r="E360" s="508">
        <f t="shared" si="110"/>
        <v>0</v>
      </c>
      <c r="F360" s="508"/>
      <c r="G360" s="508"/>
      <c r="H360" s="508"/>
      <c r="I360" s="508"/>
      <c r="J360" s="508">
        <f t="shared" si="111"/>
        <v>216</v>
      </c>
      <c r="K360" s="509"/>
      <c r="L360" s="509">
        <v>216</v>
      </c>
      <c r="M360" s="508">
        <f t="shared" si="112"/>
        <v>216</v>
      </c>
      <c r="N360" s="508">
        <v>100</v>
      </c>
      <c r="O360" s="516"/>
    </row>
    <row r="361" s="487" customFormat="1" customHeight="1" spans="1:15">
      <c r="A361" s="506">
        <v>2140199</v>
      </c>
      <c r="B361" s="507" t="s">
        <v>431</v>
      </c>
      <c r="C361" s="508">
        <v>55.28</v>
      </c>
      <c r="D361" s="508"/>
      <c r="E361" s="508">
        <f t="shared" si="110"/>
        <v>55.28</v>
      </c>
      <c r="F361" s="508">
        <v>2.86</v>
      </c>
      <c r="G361" s="508">
        <v>0</v>
      </c>
      <c r="H361" s="508">
        <v>0</v>
      </c>
      <c r="I361" s="508">
        <v>6.36</v>
      </c>
      <c r="J361" s="508">
        <f t="shared" si="111"/>
        <v>0</v>
      </c>
      <c r="K361" s="508">
        <v>64.5</v>
      </c>
      <c r="L361" s="508">
        <v>0</v>
      </c>
      <c r="M361" s="508">
        <f t="shared" si="112"/>
        <v>64.5</v>
      </c>
      <c r="N361" s="508">
        <f t="shared" si="115"/>
        <v>16.6787264833575</v>
      </c>
      <c r="O361" s="516" t="s">
        <v>72</v>
      </c>
    </row>
    <row r="362" s="487" customFormat="1" ht="32" customHeight="1" spans="1:15">
      <c r="A362" s="506">
        <v>21404</v>
      </c>
      <c r="B362" s="507" t="s">
        <v>432</v>
      </c>
      <c r="C362" s="508"/>
      <c r="D362" s="508"/>
      <c r="E362" s="508">
        <f t="shared" si="110"/>
        <v>0</v>
      </c>
      <c r="F362" s="508"/>
      <c r="G362" s="508"/>
      <c r="H362" s="508"/>
      <c r="I362" s="508"/>
      <c r="J362" s="508">
        <f t="shared" si="111"/>
        <v>37</v>
      </c>
      <c r="K362" s="508"/>
      <c r="L362" s="508">
        <v>37</v>
      </c>
      <c r="M362" s="508">
        <f t="shared" si="112"/>
        <v>37</v>
      </c>
      <c r="N362" s="508">
        <v>100</v>
      </c>
      <c r="O362" s="516"/>
    </row>
    <row r="363" s="487" customFormat="1" customHeight="1" spans="1:15">
      <c r="A363" s="506">
        <v>2140403</v>
      </c>
      <c r="B363" s="507" t="s">
        <v>433</v>
      </c>
      <c r="C363" s="508"/>
      <c r="D363" s="508"/>
      <c r="E363" s="508">
        <f t="shared" si="110"/>
        <v>0</v>
      </c>
      <c r="F363" s="508"/>
      <c r="G363" s="508"/>
      <c r="H363" s="509"/>
      <c r="I363" s="508"/>
      <c r="J363" s="508">
        <f t="shared" si="111"/>
        <v>37</v>
      </c>
      <c r="K363" s="508"/>
      <c r="L363" s="508">
        <v>37</v>
      </c>
      <c r="M363" s="508">
        <f t="shared" si="112"/>
        <v>37</v>
      </c>
      <c r="N363" s="508">
        <v>100</v>
      </c>
      <c r="O363" s="516"/>
    </row>
    <row r="364" s="487" customFormat="1" customHeight="1" spans="1:15">
      <c r="A364" s="506">
        <v>21406</v>
      </c>
      <c r="B364" s="507" t="s">
        <v>434</v>
      </c>
      <c r="C364" s="508"/>
      <c r="D364" s="508">
        <f>+D365</f>
        <v>4073</v>
      </c>
      <c r="E364" s="508">
        <f t="shared" si="110"/>
        <v>4073</v>
      </c>
      <c r="F364" s="508"/>
      <c r="G364" s="508"/>
      <c r="H364" s="508"/>
      <c r="I364" s="508"/>
      <c r="J364" s="508">
        <f t="shared" si="111"/>
        <v>0</v>
      </c>
      <c r="K364" s="509"/>
      <c r="L364" s="509">
        <v>4073</v>
      </c>
      <c r="M364" s="508">
        <f t="shared" si="112"/>
        <v>4073</v>
      </c>
      <c r="N364" s="508">
        <f t="shared" si="115"/>
        <v>0</v>
      </c>
      <c r="O364" s="516"/>
    </row>
    <row r="365" s="487" customFormat="1" ht="32" customHeight="1" spans="1:15">
      <c r="A365" s="506">
        <v>2140601</v>
      </c>
      <c r="B365" s="507" t="s">
        <v>435</v>
      </c>
      <c r="C365" s="508"/>
      <c r="D365" s="508">
        <v>4073</v>
      </c>
      <c r="E365" s="508">
        <f t="shared" si="110"/>
        <v>4073</v>
      </c>
      <c r="F365" s="508"/>
      <c r="G365" s="508"/>
      <c r="H365" s="508"/>
      <c r="I365" s="508"/>
      <c r="J365" s="508">
        <f t="shared" si="111"/>
        <v>0</v>
      </c>
      <c r="K365" s="508"/>
      <c r="L365" s="508">
        <v>4073</v>
      </c>
      <c r="M365" s="508">
        <f t="shared" si="112"/>
        <v>4073</v>
      </c>
      <c r="N365" s="508">
        <f t="shared" si="115"/>
        <v>0</v>
      </c>
      <c r="O365" s="516"/>
    </row>
    <row r="366" s="487" customFormat="1" customHeight="1" spans="1:15">
      <c r="A366" s="506">
        <v>215</v>
      </c>
      <c r="B366" s="507" t="s">
        <v>436</v>
      </c>
      <c r="C366" s="508">
        <f t="shared" ref="C366:I366" si="122">C367</f>
        <v>715.6</v>
      </c>
      <c r="D366" s="508">
        <f t="shared" si="122"/>
        <v>446</v>
      </c>
      <c r="E366" s="508">
        <f t="shared" si="110"/>
        <v>1161.6</v>
      </c>
      <c r="F366" s="508">
        <f t="shared" si="122"/>
        <v>9.26</v>
      </c>
      <c r="G366" s="508">
        <f t="shared" si="122"/>
        <v>0</v>
      </c>
      <c r="H366" s="508">
        <f t="shared" si="122"/>
        <v>-485.23</v>
      </c>
      <c r="I366" s="508">
        <f t="shared" si="122"/>
        <v>26.65</v>
      </c>
      <c r="J366" s="508">
        <f t="shared" si="111"/>
        <v>503</v>
      </c>
      <c r="K366" s="508">
        <v>266.28</v>
      </c>
      <c r="L366" s="508">
        <v>949</v>
      </c>
      <c r="M366" s="508">
        <f t="shared" si="112"/>
        <v>1215.28</v>
      </c>
      <c r="N366" s="508">
        <f t="shared" si="115"/>
        <v>4.62121212121213</v>
      </c>
      <c r="O366" s="516"/>
    </row>
    <row r="367" s="487" customFormat="1" customHeight="1" spans="1:15">
      <c r="A367" s="506">
        <v>21505</v>
      </c>
      <c r="B367" s="507" t="s">
        <v>437</v>
      </c>
      <c r="C367" s="508">
        <f t="shared" ref="C367:I367" si="123">C368+C370</f>
        <v>715.6</v>
      </c>
      <c r="D367" s="508">
        <f>D368+D370+D369</f>
        <v>446</v>
      </c>
      <c r="E367" s="508">
        <f t="shared" si="110"/>
        <v>1161.6</v>
      </c>
      <c r="F367" s="508">
        <f t="shared" si="123"/>
        <v>9.26</v>
      </c>
      <c r="G367" s="508">
        <f t="shared" si="123"/>
        <v>0</v>
      </c>
      <c r="H367" s="508">
        <f t="shared" si="123"/>
        <v>-485.23</v>
      </c>
      <c r="I367" s="508">
        <f t="shared" si="123"/>
        <v>26.65</v>
      </c>
      <c r="J367" s="508">
        <f t="shared" si="111"/>
        <v>503</v>
      </c>
      <c r="K367" s="508">
        <v>266.28</v>
      </c>
      <c r="L367" s="508">
        <v>949</v>
      </c>
      <c r="M367" s="508">
        <f t="shared" si="112"/>
        <v>1215.28</v>
      </c>
      <c r="N367" s="508">
        <f t="shared" si="115"/>
        <v>4.62121212121213</v>
      </c>
      <c r="O367" s="517"/>
    </row>
    <row r="368" s="487" customFormat="1" customHeight="1" spans="1:15">
      <c r="A368" s="506">
        <v>2150501</v>
      </c>
      <c r="B368" s="507" t="s">
        <v>71</v>
      </c>
      <c r="C368" s="508">
        <v>208.37</v>
      </c>
      <c r="D368" s="508"/>
      <c r="E368" s="508">
        <f t="shared" si="110"/>
        <v>208.37</v>
      </c>
      <c r="F368" s="508">
        <v>9.26</v>
      </c>
      <c r="G368" s="508">
        <v>0</v>
      </c>
      <c r="H368" s="508">
        <v>0</v>
      </c>
      <c r="I368" s="508">
        <v>26.65</v>
      </c>
      <c r="J368" s="508">
        <f t="shared" si="111"/>
        <v>0</v>
      </c>
      <c r="K368" s="508">
        <v>244.28</v>
      </c>
      <c r="L368" s="508">
        <v>0</v>
      </c>
      <c r="M368" s="508">
        <f t="shared" si="112"/>
        <v>244.28</v>
      </c>
      <c r="N368" s="508">
        <f t="shared" ref="N368:N399" si="124">(M368-E368)/E368*100</f>
        <v>17.2337668570332</v>
      </c>
      <c r="O368" s="516" t="s">
        <v>72</v>
      </c>
    </row>
    <row r="369" s="487" customFormat="1" customHeight="1" spans="1:15">
      <c r="A369" s="506">
        <v>2150510</v>
      </c>
      <c r="B369" s="507" t="s">
        <v>438</v>
      </c>
      <c r="C369" s="508"/>
      <c r="D369" s="508">
        <v>446</v>
      </c>
      <c r="E369" s="508">
        <f t="shared" si="110"/>
        <v>446</v>
      </c>
      <c r="F369" s="508"/>
      <c r="G369" s="508"/>
      <c r="H369" s="508"/>
      <c r="I369" s="508"/>
      <c r="J369" s="508">
        <f t="shared" si="111"/>
        <v>257</v>
      </c>
      <c r="K369" s="509"/>
      <c r="L369" s="509">
        <v>703</v>
      </c>
      <c r="M369" s="508">
        <f t="shared" si="112"/>
        <v>703</v>
      </c>
      <c r="N369" s="508">
        <f t="shared" si="124"/>
        <v>57.6233183856502</v>
      </c>
      <c r="O369" s="516"/>
    </row>
    <row r="370" s="487" customFormat="1" ht="32" customHeight="1" spans="1:15">
      <c r="A370" s="506">
        <v>2150599</v>
      </c>
      <c r="B370" s="507" t="s">
        <v>439</v>
      </c>
      <c r="C370" s="508">
        <v>507.23</v>
      </c>
      <c r="D370" s="508"/>
      <c r="E370" s="508">
        <f t="shared" si="110"/>
        <v>507.23</v>
      </c>
      <c r="F370" s="508">
        <v>0</v>
      </c>
      <c r="G370" s="508">
        <v>0</v>
      </c>
      <c r="H370" s="508">
        <v>-485.23</v>
      </c>
      <c r="I370" s="508">
        <v>0</v>
      </c>
      <c r="J370" s="508">
        <f t="shared" si="111"/>
        <v>246</v>
      </c>
      <c r="K370" s="508">
        <v>22</v>
      </c>
      <c r="L370" s="508">
        <v>246</v>
      </c>
      <c r="M370" s="508">
        <f t="shared" si="112"/>
        <v>268</v>
      </c>
      <c r="N370" s="508">
        <f t="shared" si="124"/>
        <v>-47.1640084379867</v>
      </c>
      <c r="O370" s="516" t="s">
        <v>440</v>
      </c>
    </row>
    <row r="371" s="487" customFormat="1" customHeight="1" spans="1:15">
      <c r="A371" s="506">
        <v>216</v>
      </c>
      <c r="B371" s="507" t="s">
        <v>441</v>
      </c>
      <c r="C371" s="508">
        <f t="shared" ref="C371:I371" si="125">C372+C374+C376</f>
        <v>629.48</v>
      </c>
      <c r="D371" s="508">
        <f t="shared" si="125"/>
        <v>110</v>
      </c>
      <c r="E371" s="508">
        <f t="shared" si="110"/>
        <v>739.48</v>
      </c>
      <c r="F371" s="508">
        <f t="shared" si="125"/>
        <v>115.69</v>
      </c>
      <c r="G371" s="508">
        <f t="shared" si="125"/>
        <v>0</v>
      </c>
      <c r="H371" s="508">
        <f t="shared" si="125"/>
        <v>0</v>
      </c>
      <c r="I371" s="508">
        <f t="shared" si="125"/>
        <v>-35.74</v>
      </c>
      <c r="J371" s="508">
        <f t="shared" si="111"/>
        <v>837</v>
      </c>
      <c r="K371" s="508">
        <v>709.43</v>
      </c>
      <c r="L371" s="508">
        <v>947</v>
      </c>
      <c r="M371" s="508">
        <f t="shared" si="112"/>
        <v>1656.43</v>
      </c>
      <c r="N371" s="508">
        <f t="shared" si="124"/>
        <v>123.999296803159</v>
      </c>
      <c r="O371" s="516"/>
    </row>
    <row r="372" s="487" customFormat="1" customHeight="1" spans="1:15">
      <c r="A372" s="506">
        <v>21602</v>
      </c>
      <c r="B372" s="507" t="s">
        <v>442</v>
      </c>
      <c r="C372" s="508">
        <f t="shared" ref="C372:I372" si="126">C373</f>
        <v>95.16</v>
      </c>
      <c r="D372" s="508">
        <f t="shared" si="126"/>
        <v>0</v>
      </c>
      <c r="E372" s="508">
        <f t="shared" si="110"/>
        <v>95.16</v>
      </c>
      <c r="F372" s="508">
        <f t="shared" si="126"/>
        <v>3.81</v>
      </c>
      <c r="G372" s="508">
        <f t="shared" si="126"/>
        <v>0</v>
      </c>
      <c r="H372" s="508">
        <f t="shared" si="126"/>
        <v>0</v>
      </c>
      <c r="I372" s="508">
        <f t="shared" si="126"/>
        <v>25.69</v>
      </c>
      <c r="J372" s="508">
        <f t="shared" si="111"/>
        <v>840</v>
      </c>
      <c r="K372" s="508">
        <v>124.66</v>
      </c>
      <c r="L372" s="508">
        <v>840</v>
      </c>
      <c r="M372" s="508">
        <f t="shared" si="112"/>
        <v>964.66</v>
      </c>
      <c r="N372" s="508">
        <f t="shared" si="124"/>
        <v>913.724253888188</v>
      </c>
      <c r="O372" s="516"/>
    </row>
    <row r="373" s="487" customFormat="1" customHeight="1" spans="1:15">
      <c r="A373" s="506">
        <v>2160299</v>
      </c>
      <c r="B373" s="507" t="s">
        <v>443</v>
      </c>
      <c r="C373" s="508">
        <v>95.16</v>
      </c>
      <c r="D373" s="508"/>
      <c r="E373" s="508">
        <f t="shared" si="110"/>
        <v>95.16</v>
      </c>
      <c r="F373" s="508">
        <v>3.81</v>
      </c>
      <c r="G373" s="508">
        <v>0</v>
      </c>
      <c r="H373" s="508">
        <v>0</v>
      </c>
      <c r="I373" s="508">
        <v>25.69</v>
      </c>
      <c r="J373" s="508">
        <f t="shared" si="111"/>
        <v>840</v>
      </c>
      <c r="K373" s="508">
        <v>124.66</v>
      </c>
      <c r="L373" s="508">
        <v>840</v>
      </c>
      <c r="M373" s="508">
        <f t="shared" si="112"/>
        <v>964.66</v>
      </c>
      <c r="N373" s="508">
        <f t="shared" si="124"/>
        <v>913.724253888188</v>
      </c>
      <c r="O373" s="516" t="s">
        <v>72</v>
      </c>
    </row>
    <row r="374" s="487" customFormat="1" customHeight="1" spans="1:15">
      <c r="A374" s="506">
        <v>21606</v>
      </c>
      <c r="B374" s="507" t="s">
        <v>444</v>
      </c>
      <c r="C374" s="508">
        <f t="shared" ref="C374:I374" si="127">C375</f>
        <v>174.32</v>
      </c>
      <c r="D374" s="508">
        <f t="shared" si="127"/>
        <v>0</v>
      </c>
      <c r="E374" s="508">
        <f t="shared" si="110"/>
        <v>174.32</v>
      </c>
      <c r="F374" s="508">
        <f t="shared" si="127"/>
        <v>0</v>
      </c>
      <c r="G374" s="508">
        <f t="shared" si="127"/>
        <v>0</v>
      </c>
      <c r="H374" s="508">
        <f t="shared" si="127"/>
        <v>0</v>
      </c>
      <c r="I374" s="508">
        <f t="shared" si="127"/>
        <v>0</v>
      </c>
      <c r="J374" s="508">
        <f t="shared" si="111"/>
        <v>107</v>
      </c>
      <c r="K374" s="508">
        <v>174.32</v>
      </c>
      <c r="L374" s="508">
        <v>107</v>
      </c>
      <c r="M374" s="508">
        <f t="shared" si="112"/>
        <v>281.32</v>
      </c>
      <c r="N374" s="508">
        <f t="shared" si="124"/>
        <v>61.3813675998164</v>
      </c>
      <c r="O374" s="516"/>
    </row>
    <row r="375" s="487" customFormat="1" customHeight="1" spans="1:15">
      <c r="A375" s="506">
        <v>2160699</v>
      </c>
      <c r="B375" s="507" t="s">
        <v>445</v>
      </c>
      <c r="C375" s="508">
        <v>174.32</v>
      </c>
      <c r="D375" s="508"/>
      <c r="E375" s="508">
        <f t="shared" si="110"/>
        <v>174.32</v>
      </c>
      <c r="F375" s="508">
        <v>0</v>
      </c>
      <c r="G375" s="508">
        <v>0</v>
      </c>
      <c r="H375" s="508">
        <v>0</v>
      </c>
      <c r="I375" s="508">
        <v>0</v>
      </c>
      <c r="J375" s="508">
        <f t="shared" si="111"/>
        <v>107</v>
      </c>
      <c r="K375" s="508">
        <v>174.32</v>
      </c>
      <c r="L375" s="508">
        <v>107</v>
      </c>
      <c r="M375" s="508">
        <f t="shared" si="112"/>
        <v>281.32</v>
      </c>
      <c r="N375" s="508">
        <f t="shared" si="124"/>
        <v>61.3813675998164</v>
      </c>
      <c r="O375" s="517"/>
    </row>
    <row r="376" s="487" customFormat="1" customHeight="1" spans="1:15">
      <c r="A376" s="506">
        <v>21699</v>
      </c>
      <c r="B376" s="507" t="s">
        <v>446</v>
      </c>
      <c r="C376" s="508">
        <f t="shared" ref="C376:I376" si="128">C377</f>
        <v>360</v>
      </c>
      <c r="D376" s="508">
        <f t="shared" si="128"/>
        <v>110</v>
      </c>
      <c r="E376" s="508">
        <f t="shared" si="110"/>
        <v>470</v>
      </c>
      <c r="F376" s="508">
        <f t="shared" si="128"/>
        <v>111.88</v>
      </c>
      <c r="G376" s="508">
        <f t="shared" si="128"/>
        <v>0</v>
      </c>
      <c r="H376" s="508">
        <f t="shared" si="128"/>
        <v>0</v>
      </c>
      <c r="I376" s="508">
        <f t="shared" si="128"/>
        <v>-61.43</v>
      </c>
      <c r="J376" s="508">
        <f t="shared" si="111"/>
        <v>-110</v>
      </c>
      <c r="K376" s="508">
        <v>410.45</v>
      </c>
      <c r="L376" s="508">
        <v>0</v>
      </c>
      <c r="M376" s="508">
        <f t="shared" si="112"/>
        <v>410.45</v>
      </c>
      <c r="N376" s="508">
        <f t="shared" si="124"/>
        <v>-12.6702127659574</v>
      </c>
      <c r="O376" s="516"/>
    </row>
    <row r="377" s="487" customFormat="1" ht="105" customHeight="1" spans="1:15">
      <c r="A377" s="506">
        <v>2169999</v>
      </c>
      <c r="B377" s="507" t="s">
        <v>446</v>
      </c>
      <c r="C377" s="508">
        <v>360</v>
      </c>
      <c r="D377" s="508">
        <v>110</v>
      </c>
      <c r="E377" s="508">
        <f t="shared" si="110"/>
        <v>470</v>
      </c>
      <c r="F377" s="508">
        <v>111.88</v>
      </c>
      <c r="G377" s="508">
        <v>0</v>
      </c>
      <c r="H377" s="508">
        <v>0</v>
      </c>
      <c r="I377" s="508">
        <v>-61.43</v>
      </c>
      <c r="J377" s="508">
        <f t="shared" si="111"/>
        <v>-110</v>
      </c>
      <c r="K377" s="508">
        <v>410.45</v>
      </c>
      <c r="L377" s="508">
        <v>0</v>
      </c>
      <c r="M377" s="508">
        <f t="shared" si="112"/>
        <v>410.45</v>
      </c>
      <c r="N377" s="508">
        <f t="shared" si="124"/>
        <v>-12.6702127659574</v>
      </c>
      <c r="O377" s="516" t="s">
        <v>447</v>
      </c>
    </row>
    <row r="378" s="487" customFormat="1" customHeight="1" spans="1:15">
      <c r="A378" s="506">
        <v>217</v>
      </c>
      <c r="B378" s="507" t="s">
        <v>448</v>
      </c>
      <c r="C378" s="508">
        <f t="shared" ref="C378:I378" si="129">C379</f>
        <v>5</v>
      </c>
      <c r="D378" s="508">
        <f t="shared" si="129"/>
        <v>5</v>
      </c>
      <c r="E378" s="508">
        <f t="shared" si="110"/>
        <v>10</v>
      </c>
      <c r="F378" s="508">
        <f t="shared" si="129"/>
        <v>0</v>
      </c>
      <c r="G378" s="508">
        <f t="shared" si="129"/>
        <v>0</v>
      </c>
      <c r="H378" s="508">
        <f t="shared" si="129"/>
        <v>0</v>
      </c>
      <c r="I378" s="508">
        <f t="shared" si="129"/>
        <v>0</v>
      </c>
      <c r="J378" s="508">
        <f t="shared" si="111"/>
        <v>9</v>
      </c>
      <c r="K378" s="508">
        <v>5</v>
      </c>
      <c r="L378" s="508">
        <v>14</v>
      </c>
      <c r="M378" s="508">
        <f t="shared" si="112"/>
        <v>19</v>
      </c>
      <c r="N378" s="508">
        <f t="shared" si="124"/>
        <v>90</v>
      </c>
      <c r="O378" s="516"/>
    </row>
    <row r="379" s="487" customFormat="1" customHeight="1" spans="1:15">
      <c r="A379" s="506">
        <v>21799</v>
      </c>
      <c r="B379" s="507" t="s">
        <v>449</v>
      </c>
      <c r="C379" s="508">
        <f t="shared" ref="C379:I379" si="130">C380</f>
        <v>5</v>
      </c>
      <c r="D379" s="508">
        <f t="shared" si="130"/>
        <v>5</v>
      </c>
      <c r="E379" s="508">
        <f t="shared" si="110"/>
        <v>10</v>
      </c>
      <c r="F379" s="508">
        <f t="shared" si="130"/>
        <v>0</v>
      </c>
      <c r="G379" s="508">
        <f t="shared" si="130"/>
        <v>0</v>
      </c>
      <c r="H379" s="508">
        <f t="shared" si="130"/>
        <v>0</v>
      </c>
      <c r="I379" s="508">
        <f t="shared" si="130"/>
        <v>0</v>
      </c>
      <c r="J379" s="508">
        <f t="shared" si="111"/>
        <v>9</v>
      </c>
      <c r="K379" s="508">
        <v>5</v>
      </c>
      <c r="L379" s="508">
        <v>14</v>
      </c>
      <c r="M379" s="508">
        <f t="shared" si="112"/>
        <v>19</v>
      </c>
      <c r="N379" s="508">
        <f t="shared" si="124"/>
        <v>90</v>
      </c>
      <c r="O379" s="516"/>
    </row>
    <row r="380" s="487" customFormat="1" customHeight="1" spans="1:15">
      <c r="A380" s="506">
        <v>2179901</v>
      </c>
      <c r="B380" s="507" t="s">
        <v>449</v>
      </c>
      <c r="C380" s="508">
        <v>5</v>
      </c>
      <c r="D380" s="508">
        <v>5</v>
      </c>
      <c r="E380" s="508">
        <f t="shared" si="110"/>
        <v>10</v>
      </c>
      <c r="F380" s="508">
        <v>0</v>
      </c>
      <c r="G380" s="508">
        <v>0</v>
      </c>
      <c r="H380" s="508">
        <v>0</v>
      </c>
      <c r="I380" s="508">
        <v>0</v>
      </c>
      <c r="J380" s="508">
        <f t="shared" si="111"/>
        <v>0</v>
      </c>
      <c r="K380" s="508">
        <v>5</v>
      </c>
      <c r="L380" s="508">
        <v>5</v>
      </c>
      <c r="M380" s="508">
        <f t="shared" si="112"/>
        <v>10</v>
      </c>
      <c r="N380" s="508">
        <f t="shared" si="124"/>
        <v>0</v>
      </c>
      <c r="O380" s="516"/>
    </row>
    <row r="381" s="487" customFormat="1" customHeight="1" spans="1:15">
      <c r="A381" s="506">
        <v>2179902</v>
      </c>
      <c r="B381" s="507" t="s">
        <v>450</v>
      </c>
      <c r="C381" s="508"/>
      <c r="D381" s="508"/>
      <c r="E381" s="508">
        <f t="shared" si="110"/>
        <v>0</v>
      </c>
      <c r="F381" s="508"/>
      <c r="G381" s="508"/>
      <c r="H381" s="508"/>
      <c r="I381" s="508"/>
      <c r="J381" s="508">
        <f t="shared" si="111"/>
        <v>9</v>
      </c>
      <c r="K381" s="509"/>
      <c r="L381" s="509">
        <v>9</v>
      </c>
      <c r="M381" s="508">
        <f t="shared" si="112"/>
        <v>9</v>
      </c>
      <c r="N381" s="508">
        <v>100</v>
      </c>
      <c r="O381" s="516"/>
    </row>
    <row r="382" s="487" customFormat="1" customHeight="1" spans="1:15">
      <c r="A382" s="506">
        <v>220</v>
      </c>
      <c r="B382" s="507" t="s">
        <v>451</v>
      </c>
      <c r="C382" s="508">
        <f t="shared" ref="C382:I382" si="131">C383+C389</f>
        <v>2202.01</v>
      </c>
      <c r="D382" s="508">
        <f t="shared" si="131"/>
        <v>0</v>
      </c>
      <c r="E382" s="508">
        <f t="shared" si="110"/>
        <v>2202.01</v>
      </c>
      <c r="F382" s="508">
        <f t="shared" si="131"/>
        <v>37.87</v>
      </c>
      <c r="G382" s="508">
        <f t="shared" si="131"/>
        <v>-158</v>
      </c>
      <c r="H382" s="508">
        <f t="shared" si="131"/>
        <v>0</v>
      </c>
      <c r="I382" s="508">
        <f t="shared" si="131"/>
        <v>181</v>
      </c>
      <c r="J382" s="508">
        <f t="shared" si="111"/>
        <v>0</v>
      </c>
      <c r="K382" s="508">
        <v>2262.88</v>
      </c>
      <c r="L382" s="508">
        <v>0</v>
      </c>
      <c r="M382" s="508">
        <f t="shared" si="112"/>
        <v>2262.88</v>
      </c>
      <c r="N382" s="508">
        <f t="shared" si="124"/>
        <v>2.76429262355756</v>
      </c>
      <c r="O382" s="516"/>
    </row>
    <row r="383" s="487" customFormat="1" customHeight="1" spans="1:15">
      <c r="A383" s="506">
        <v>22001</v>
      </c>
      <c r="B383" s="507" t="s">
        <v>452</v>
      </c>
      <c r="C383" s="508">
        <f t="shared" ref="C383:I383" si="132">C384+C385+C386+C387+C388</f>
        <v>2153.94</v>
      </c>
      <c r="D383" s="508">
        <f t="shared" si="132"/>
        <v>0</v>
      </c>
      <c r="E383" s="508">
        <f t="shared" si="110"/>
        <v>2153.94</v>
      </c>
      <c r="F383" s="508">
        <f t="shared" si="132"/>
        <v>37.87</v>
      </c>
      <c r="G383" s="508">
        <f t="shared" si="132"/>
        <v>-140</v>
      </c>
      <c r="H383" s="508">
        <f t="shared" si="132"/>
        <v>0</v>
      </c>
      <c r="I383" s="508">
        <f t="shared" si="132"/>
        <v>181</v>
      </c>
      <c r="J383" s="508">
        <f t="shared" si="111"/>
        <v>0</v>
      </c>
      <c r="K383" s="508">
        <v>2232.81</v>
      </c>
      <c r="L383" s="508">
        <v>0</v>
      </c>
      <c r="M383" s="508">
        <f t="shared" si="112"/>
        <v>2232.81</v>
      </c>
      <c r="N383" s="508">
        <f t="shared" si="124"/>
        <v>3.66166188473216</v>
      </c>
      <c r="O383" s="517"/>
    </row>
    <row r="384" s="487" customFormat="1" customHeight="1" spans="1:15">
      <c r="A384" s="506">
        <v>2200101</v>
      </c>
      <c r="B384" s="507" t="s">
        <v>71</v>
      </c>
      <c r="C384" s="508">
        <v>554.6</v>
      </c>
      <c r="D384" s="508"/>
      <c r="E384" s="508">
        <f t="shared" si="110"/>
        <v>554.6</v>
      </c>
      <c r="F384" s="508">
        <v>23.57</v>
      </c>
      <c r="G384" s="508">
        <v>0</v>
      </c>
      <c r="H384" s="508">
        <v>0</v>
      </c>
      <c r="I384" s="508">
        <v>146.05</v>
      </c>
      <c r="J384" s="508">
        <f t="shared" si="111"/>
        <v>0</v>
      </c>
      <c r="K384" s="508">
        <v>724.22</v>
      </c>
      <c r="L384" s="508">
        <v>0</v>
      </c>
      <c r="M384" s="508">
        <f t="shared" si="112"/>
        <v>724.22</v>
      </c>
      <c r="N384" s="508">
        <f t="shared" si="124"/>
        <v>30.5842048323116</v>
      </c>
      <c r="O384" s="516" t="s">
        <v>72</v>
      </c>
    </row>
    <row r="385" s="487" customFormat="1" customHeight="1" spans="1:15">
      <c r="A385" s="506">
        <v>2200114</v>
      </c>
      <c r="B385" s="507" t="s">
        <v>453</v>
      </c>
      <c r="C385" s="508">
        <v>695</v>
      </c>
      <c r="D385" s="508"/>
      <c r="E385" s="508">
        <f t="shared" si="110"/>
        <v>695</v>
      </c>
      <c r="F385" s="508">
        <v>0</v>
      </c>
      <c r="G385" s="508">
        <v>-25</v>
      </c>
      <c r="H385" s="508">
        <v>0</v>
      </c>
      <c r="I385" s="508">
        <v>0</v>
      </c>
      <c r="J385" s="508">
        <f t="shared" si="111"/>
        <v>0</v>
      </c>
      <c r="K385" s="508">
        <v>670</v>
      </c>
      <c r="L385" s="508">
        <v>0</v>
      </c>
      <c r="M385" s="508">
        <f t="shared" si="112"/>
        <v>670</v>
      </c>
      <c r="N385" s="508">
        <f t="shared" si="124"/>
        <v>-3.59712230215827</v>
      </c>
      <c r="O385" s="516" t="s">
        <v>154</v>
      </c>
    </row>
    <row r="386" s="487" customFormat="1" customHeight="1" spans="1:15">
      <c r="A386" s="506">
        <v>2200120</v>
      </c>
      <c r="B386" s="507" t="s">
        <v>454</v>
      </c>
      <c r="C386" s="508">
        <v>169.78</v>
      </c>
      <c r="D386" s="508"/>
      <c r="E386" s="508">
        <f t="shared" si="110"/>
        <v>169.78</v>
      </c>
      <c r="F386" s="508">
        <v>0</v>
      </c>
      <c r="G386" s="508">
        <v>-110</v>
      </c>
      <c r="H386" s="508">
        <v>0</v>
      </c>
      <c r="I386" s="508">
        <v>0</v>
      </c>
      <c r="J386" s="508">
        <f t="shared" si="111"/>
        <v>0</v>
      </c>
      <c r="K386" s="508">
        <v>59.78</v>
      </c>
      <c r="L386" s="508">
        <v>0</v>
      </c>
      <c r="M386" s="508">
        <f t="shared" si="112"/>
        <v>59.78</v>
      </c>
      <c r="N386" s="508">
        <f t="shared" si="124"/>
        <v>-64.7897278831429</v>
      </c>
      <c r="O386" s="516" t="s">
        <v>154</v>
      </c>
    </row>
    <row r="387" s="487" customFormat="1" customHeight="1" spans="1:15">
      <c r="A387" s="506">
        <v>2200150</v>
      </c>
      <c r="B387" s="507" t="s">
        <v>105</v>
      </c>
      <c r="C387" s="508">
        <v>24.18</v>
      </c>
      <c r="D387" s="508"/>
      <c r="E387" s="508">
        <f t="shared" si="110"/>
        <v>24.18</v>
      </c>
      <c r="F387" s="508">
        <v>1.43</v>
      </c>
      <c r="G387" s="508">
        <v>0</v>
      </c>
      <c r="H387" s="508">
        <v>0</v>
      </c>
      <c r="I387" s="508">
        <v>2.85</v>
      </c>
      <c r="J387" s="508">
        <f t="shared" si="111"/>
        <v>0</v>
      </c>
      <c r="K387" s="508">
        <v>28.46</v>
      </c>
      <c r="L387" s="508">
        <v>0</v>
      </c>
      <c r="M387" s="508">
        <f t="shared" si="112"/>
        <v>28.46</v>
      </c>
      <c r="N387" s="508">
        <f t="shared" si="124"/>
        <v>17.7005789909016</v>
      </c>
      <c r="O387" s="516" t="s">
        <v>72</v>
      </c>
    </row>
    <row r="388" s="487" customFormat="1" ht="32" customHeight="1" spans="1:15">
      <c r="A388" s="506">
        <v>2200199</v>
      </c>
      <c r="B388" s="507" t="s">
        <v>455</v>
      </c>
      <c r="C388" s="508">
        <v>710.38</v>
      </c>
      <c r="D388" s="508"/>
      <c r="E388" s="508">
        <f t="shared" si="110"/>
        <v>710.38</v>
      </c>
      <c r="F388" s="508">
        <v>12.87</v>
      </c>
      <c r="G388" s="508">
        <v>-5</v>
      </c>
      <c r="H388" s="508">
        <v>0</v>
      </c>
      <c r="I388" s="508">
        <v>32.1</v>
      </c>
      <c r="J388" s="508">
        <f t="shared" si="111"/>
        <v>0</v>
      </c>
      <c r="K388" s="508">
        <v>750.35</v>
      </c>
      <c r="L388" s="508">
        <v>0</v>
      </c>
      <c r="M388" s="508">
        <f t="shared" si="112"/>
        <v>750.35</v>
      </c>
      <c r="N388" s="508">
        <f t="shared" si="124"/>
        <v>5.62656606323377</v>
      </c>
      <c r="O388" s="516" t="s">
        <v>72</v>
      </c>
    </row>
    <row r="389" s="487" customFormat="1" ht="32" customHeight="1" spans="1:15">
      <c r="A389" s="506">
        <v>22099</v>
      </c>
      <c r="B389" s="507" t="s">
        <v>456</v>
      </c>
      <c r="C389" s="508">
        <f t="shared" ref="C389:I389" si="133">C390</f>
        <v>48.07</v>
      </c>
      <c r="D389" s="508">
        <f t="shared" si="133"/>
        <v>0</v>
      </c>
      <c r="E389" s="508">
        <f t="shared" si="110"/>
        <v>48.07</v>
      </c>
      <c r="F389" s="508">
        <f t="shared" si="133"/>
        <v>0</v>
      </c>
      <c r="G389" s="508">
        <f t="shared" si="133"/>
        <v>-18</v>
      </c>
      <c r="H389" s="508">
        <f t="shared" si="133"/>
        <v>0</v>
      </c>
      <c r="I389" s="508">
        <f t="shared" si="133"/>
        <v>0</v>
      </c>
      <c r="J389" s="508">
        <f t="shared" si="111"/>
        <v>0</v>
      </c>
      <c r="K389" s="508">
        <v>30.07</v>
      </c>
      <c r="L389" s="508">
        <v>0</v>
      </c>
      <c r="M389" s="508">
        <f t="shared" si="112"/>
        <v>30.07</v>
      </c>
      <c r="N389" s="508">
        <f t="shared" si="124"/>
        <v>-37.4453921364677</v>
      </c>
      <c r="O389" s="516"/>
    </row>
    <row r="390" s="487" customFormat="1" ht="32" customHeight="1" spans="1:15">
      <c r="A390" s="506">
        <v>2209901</v>
      </c>
      <c r="B390" s="507" t="s">
        <v>456</v>
      </c>
      <c r="C390" s="508">
        <v>48.07</v>
      </c>
      <c r="D390" s="508"/>
      <c r="E390" s="508">
        <f t="shared" ref="E390:E434" si="134">C390+D390</f>
        <v>48.07</v>
      </c>
      <c r="F390" s="508">
        <v>0</v>
      </c>
      <c r="G390" s="508">
        <v>-18</v>
      </c>
      <c r="H390" s="508">
        <v>0</v>
      </c>
      <c r="I390" s="508">
        <v>0</v>
      </c>
      <c r="J390" s="508">
        <f t="shared" ref="J390:J434" si="135">L390-D390</f>
        <v>0</v>
      </c>
      <c r="K390" s="508">
        <v>30.07</v>
      </c>
      <c r="L390" s="508">
        <v>0</v>
      </c>
      <c r="M390" s="508">
        <f t="shared" ref="M390:M434" si="136">K390+L390</f>
        <v>30.07</v>
      </c>
      <c r="N390" s="508">
        <f t="shared" si="124"/>
        <v>-37.4453921364677</v>
      </c>
      <c r="O390" s="516" t="s">
        <v>154</v>
      </c>
    </row>
    <row r="391" s="487" customFormat="1" customHeight="1" spans="1:15">
      <c r="A391" s="506">
        <v>221</v>
      </c>
      <c r="B391" s="507" t="s">
        <v>457</v>
      </c>
      <c r="C391" s="508">
        <f t="shared" ref="C391:I391" si="137">C392+C395</f>
        <v>1513.79</v>
      </c>
      <c r="D391" s="508">
        <f t="shared" si="137"/>
        <v>11</v>
      </c>
      <c r="E391" s="508">
        <f t="shared" si="134"/>
        <v>1524.79</v>
      </c>
      <c r="F391" s="508">
        <f t="shared" si="137"/>
        <v>301.22</v>
      </c>
      <c r="G391" s="508">
        <f t="shared" si="137"/>
        <v>0</v>
      </c>
      <c r="H391" s="508">
        <f t="shared" si="137"/>
        <v>0</v>
      </c>
      <c r="I391" s="508">
        <f t="shared" si="137"/>
        <v>14.04</v>
      </c>
      <c r="J391" s="508">
        <f t="shared" si="135"/>
        <v>0</v>
      </c>
      <c r="K391" s="508">
        <v>1829.05</v>
      </c>
      <c r="L391" s="508">
        <v>11</v>
      </c>
      <c r="M391" s="508">
        <f t="shared" si="136"/>
        <v>1840.05</v>
      </c>
      <c r="N391" s="508">
        <f t="shared" si="124"/>
        <v>20.6756340217341</v>
      </c>
      <c r="O391" s="516"/>
    </row>
    <row r="392" s="487" customFormat="1" customHeight="1" spans="1:15">
      <c r="A392" s="506">
        <v>22101</v>
      </c>
      <c r="B392" s="507" t="s">
        <v>458</v>
      </c>
      <c r="C392" s="508">
        <f t="shared" ref="C392:I392" si="138">C393+C394</f>
        <v>13.89</v>
      </c>
      <c r="D392" s="508">
        <f t="shared" si="138"/>
        <v>11</v>
      </c>
      <c r="E392" s="508">
        <f t="shared" si="134"/>
        <v>24.89</v>
      </c>
      <c r="F392" s="508">
        <f t="shared" si="138"/>
        <v>261.6</v>
      </c>
      <c r="G392" s="508">
        <f t="shared" si="138"/>
        <v>0</v>
      </c>
      <c r="H392" s="508">
        <f t="shared" si="138"/>
        <v>0</v>
      </c>
      <c r="I392" s="508">
        <f t="shared" si="138"/>
        <v>0</v>
      </c>
      <c r="J392" s="508">
        <f t="shared" si="135"/>
        <v>0</v>
      </c>
      <c r="K392" s="508">
        <v>275.49</v>
      </c>
      <c r="L392" s="508">
        <v>11</v>
      </c>
      <c r="M392" s="508">
        <f t="shared" si="136"/>
        <v>286.49</v>
      </c>
      <c r="N392" s="508">
        <f t="shared" si="124"/>
        <v>1051.02450783447</v>
      </c>
      <c r="O392" s="516"/>
    </row>
    <row r="393" s="487" customFormat="1" ht="32" customHeight="1" spans="1:15">
      <c r="A393" s="506">
        <v>2210106</v>
      </c>
      <c r="B393" s="507" t="s">
        <v>459</v>
      </c>
      <c r="C393" s="508">
        <v>13.89</v>
      </c>
      <c r="D393" s="508"/>
      <c r="E393" s="508">
        <f t="shared" si="134"/>
        <v>13.89</v>
      </c>
      <c r="F393" s="508">
        <v>11.6</v>
      </c>
      <c r="G393" s="508">
        <v>0</v>
      </c>
      <c r="H393" s="508">
        <v>0</v>
      </c>
      <c r="I393" s="508">
        <v>0</v>
      </c>
      <c r="J393" s="508">
        <f t="shared" si="135"/>
        <v>0</v>
      </c>
      <c r="K393" s="508">
        <v>25.49</v>
      </c>
      <c r="L393" s="508">
        <v>0</v>
      </c>
      <c r="M393" s="508">
        <f t="shared" si="136"/>
        <v>25.49</v>
      </c>
      <c r="N393" s="508">
        <f t="shared" si="124"/>
        <v>83.5133189344852</v>
      </c>
      <c r="O393" s="516" t="s">
        <v>460</v>
      </c>
    </row>
    <row r="394" s="487" customFormat="1" customHeight="1" spans="1:15">
      <c r="A394" s="506" t="s">
        <v>461</v>
      </c>
      <c r="B394" s="507" t="s">
        <v>462</v>
      </c>
      <c r="C394" s="508">
        <v>0</v>
      </c>
      <c r="D394" s="508">
        <v>11</v>
      </c>
      <c r="E394" s="508">
        <f t="shared" si="134"/>
        <v>11</v>
      </c>
      <c r="F394" s="508">
        <v>250</v>
      </c>
      <c r="G394" s="508">
        <v>0</v>
      </c>
      <c r="H394" s="508">
        <v>0</v>
      </c>
      <c r="I394" s="508">
        <v>0</v>
      </c>
      <c r="J394" s="508">
        <f t="shared" si="135"/>
        <v>0</v>
      </c>
      <c r="K394" s="508">
        <v>250</v>
      </c>
      <c r="L394" s="508">
        <v>11</v>
      </c>
      <c r="M394" s="508">
        <f t="shared" si="136"/>
        <v>261</v>
      </c>
      <c r="N394" s="508">
        <f t="shared" si="124"/>
        <v>2272.72727272727</v>
      </c>
      <c r="O394" s="516" t="s">
        <v>463</v>
      </c>
    </row>
    <row r="395" s="487" customFormat="1" customHeight="1" spans="1:15">
      <c r="A395" s="506">
        <v>22102</v>
      </c>
      <c r="B395" s="507" t="s">
        <v>464</v>
      </c>
      <c r="C395" s="508">
        <f t="shared" ref="C395:I395" si="139">C396</f>
        <v>1499.9</v>
      </c>
      <c r="D395" s="508">
        <f t="shared" si="139"/>
        <v>0</v>
      </c>
      <c r="E395" s="508">
        <f t="shared" si="134"/>
        <v>1499.9</v>
      </c>
      <c r="F395" s="508">
        <f t="shared" si="139"/>
        <v>39.62</v>
      </c>
      <c r="G395" s="508">
        <f t="shared" si="139"/>
        <v>0</v>
      </c>
      <c r="H395" s="508">
        <f t="shared" si="139"/>
        <v>0</v>
      </c>
      <c r="I395" s="508">
        <f t="shared" si="139"/>
        <v>14.04</v>
      </c>
      <c r="J395" s="508">
        <f t="shared" si="135"/>
        <v>0</v>
      </c>
      <c r="K395" s="508">
        <v>1553.56</v>
      </c>
      <c r="L395" s="508">
        <v>0</v>
      </c>
      <c r="M395" s="508">
        <f t="shared" si="136"/>
        <v>1553.56</v>
      </c>
      <c r="N395" s="508">
        <f t="shared" si="124"/>
        <v>3.57757183812253</v>
      </c>
      <c r="O395" s="516"/>
    </row>
    <row r="396" s="487" customFormat="1" customHeight="1" spans="1:15">
      <c r="A396" s="506">
        <v>2210201</v>
      </c>
      <c r="B396" s="507" t="s">
        <v>465</v>
      </c>
      <c r="C396" s="508">
        <v>1499.9</v>
      </c>
      <c r="D396" s="508"/>
      <c r="E396" s="508">
        <f t="shared" si="134"/>
        <v>1499.9</v>
      </c>
      <c r="F396" s="508">
        <v>39.62</v>
      </c>
      <c r="G396" s="508">
        <v>0</v>
      </c>
      <c r="H396" s="508">
        <v>0</v>
      </c>
      <c r="I396" s="508">
        <v>14.04</v>
      </c>
      <c r="J396" s="508">
        <f t="shared" si="135"/>
        <v>0</v>
      </c>
      <c r="K396" s="508">
        <v>1553.56</v>
      </c>
      <c r="L396" s="508">
        <v>0</v>
      </c>
      <c r="M396" s="508">
        <f t="shared" si="136"/>
        <v>1553.56</v>
      </c>
      <c r="N396" s="508">
        <f t="shared" si="124"/>
        <v>3.57757183812253</v>
      </c>
      <c r="O396" s="516" t="s">
        <v>72</v>
      </c>
    </row>
    <row r="397" s="487" customFormat="1" customHeight="1" spans="1:15">
      <c r="A397" s="506">
        <v>222</v>
      </c>
      <c r="B397" s="507" t="s">
        <v>466</v>
      </c>
      <c r="C397" s="508">
        <f t="shared" ref="C397:I397" si="140">C398+C401+C403</f>
        <v>523.61</v>
      </c>
      <c r="D397" s="508">
        <f t="shared" si="140"/>
        <v>0</v>
      </c>
      <c r="E397" s="508">
        <f t="shared" si="134"/>
        <v>523.61</v>
      </c>
      <c r="F397" s="508">
        <f t="shared" si="140"/>
        <v>7.61</v>
      </c>
      <c r="G397" s="508">
        <f t="shared" si="140"/>
        <v>0</v>
      </c>
      <c r="H397" s="508">
        <f t="shared" si="140"/>
        <v>0</v>
      </c>
      <c r="I397" s="508">
        <f t="shared" si="140"/>
        <v>108</v>
      </c>
      <c r="J397" s="508">
        <f t="shared" si="135"/>
        <v>0</v>
      </c>
      <c r="K397" s="508">
        <v>639.22</v>
      </c>
      <c r="L397" s="508">
        <v>0</v>
      </c>
      <c r="M397" s="508">
        <f t="shared" si="136"/>
        <v>639.22</v>
      </c>
      <c r="N397" s="508">
        <f t="shared" si="124"/>
        <v>22.0794102480854</v>
      </c>
      <c r="O397" s="517"/>
    </row>
    <row r="398" s="487" customFormat="1" customHeight="1" spans="1:15">
      <c r="A398" s="506">
        <v>22201</v>
      </c>
      <c r="B398" s="507" t="s">
        <v>467</v>
      </c>
      <c r="C398" s="508">
        <f t="shared" ref="C398:I398" si="141">C399+C400</f>
        <v>521.61</v>
      </c>
      <c r="D398" s="508">
        <f t="shared" si="141"/>
        <v>0</v>
      </c>
      <c r="E398" s="508">
        <f t="shared" si="134"/>
        <v>521.61</v>
      </c>
      <c r="F398" s="508">
        <f t="shared" si="141"/>
        <v>0</v>
      </c>
      <c r="G398" s="508">
        <f t="shared" si="141"/>
        <v>0</v>
      </c>
      <c r="H398" s="508">
        <f t="shared" si="141"/>
        <v>0</v>
      </c>
      <c r="I398" s="508">
        <f t="shared" si="141"/>
        <v>0</v>
      </c>
      <c r="J398" s="508">
        <f t="shared" si="135"/>
        <v>0</v>
      </c>
      <c r="K398" s="508">
        <v>521.61</v>
      </c>
      <c r="L398" s="508">
        <v>0</v>
      </c>
      <c r="M398" s="508">
        <f t="shared" si="136"/>
        <v>521.61</v>
      </c>
      <c r="N398" s="508">
        <f t="shared" si="124"/>
        <v>0</v>
      </c>
      <c r="O398" s="517">
        <f>O399+O400</f>
        <v>0</v>
      </c>
    </row>
    <row r="399" s="487" customFormat="1" customHeight="1" spans="1:15">
      <c r="A399" s="506">
        <v>2220115</v>
      </c>
      <c r="B399" s="507" t="s">
        <v>468</v>
      </c>
      <c r="C399" s="508">
        <v>434</v>
      </c>
      <c r="D399" s="508"/>
      <c r="E399" s="508">
        <f t="shared" si="134"/>
        <v>434</v>
      </c>
      <c r="F399" s="508">
        <v>0</v>
      </c>
      <c r="G399" s="508">
        <v>0</v>
      </c>
      <c r="H399" s="508">
        <v>0</v>
      </c>
      <c r="I399" s="508">
        <v>0</v>
      </c>
      <c r="J399" s="508">
        <f t="shared" si="135"/>
        <v>0</v>
      </c>
      <c r="K399" s="508">
        <v>434</v>
      </c>
      <c r="L399" s="508">
        <v>0</v>
      </c>
      <c r="M399" s="508">
        <f t="shared" si="136"/>
        <v>434</v>
      </c>
      <c r="N399" s="508">
        <f t="shared" si="124"/>
        <v>0</v>
      </c>
      <c r="O399" s="517">
        <v>0</v>
      </c>
    </row>
    <row r="400" s="487" customFormat="1" customHeight="1" spans="1:15">
      <c r="A400" s="506">
        <v>2220199</v>
      </c>
      <c r="B400" s="507" t="s">
        <v>469</v>
      </c>
      <c r="C400" s="508">
        <v>87.61</v>
      </c>
      <c r="D400" s="508"/>
      <c r="E400" s="508">
        <f t="shared" si="134"/>
        <v>87.61</v>
      </c>
      <c r="F400" s="508">
        <v>0</v>
      </c>
      <c r="G400" s="508">
        <v>0</v>
      </c>
      <c r="H400" s="508">
        <v>0</v>
      </c>
      <c r="I400" s="508">
        <v>0</v>
      </c>
      <c r="J400" s="508">
        <f t="shared" si="135"/>
        <v>0</v>
      </c>
      <c r="K400" s="508">
        <v>87.61</v>
      </c>
      <c r="L400" s="508">
        <v>0</v>
      </c>
      <c r="M400" s="508">
        <f t="shared" si="136"/>
        <v>87.61</v>
      </c>
      <c r="N400" s="508">
        <f t="shared" ref="N400:N434" si="142">(M400-E400)/E400*100</f>
        <v>0</v>
      </c>
      <c r="O400" s="517">
        <v>0</v>
      </c>
    </row>
    <row r="401" s="487" customFormat="1" ht="59" customHeight="1" spans="1:15">
      <c r="A401" s="506">
        <v>22204</v>
      </c>
      <c r="B401" s="507" t="s">
        <v>470</v>
      </c>
      <c r="C401" s="508">
        <f t="shared" ref="C401:I401" si="143">C402</f>
        <v>0</v>
      </c>
      <c r="D401" s="508">
        <f t="shared" si="143"/>
        <v>0</v>
      </c>
      <c r="E401" s="508">
        <f t="shared" si="134"/>
        <v>0</v>
      </c>
      <c r="F401" s="508">
        <f t="shared" si="143"/>
        <v>7.61</v>
      </c>
      <c r="G401" s="508">
        <f t="shared" si="143"/>
        <v>0</v>
      </c>
      <c r="H401" s="508">
        <f t="shared" si="143"/>
        <v>0</v>
      </c>
      <c r="I401" s="508">
        <f t="shared" si="143"/>
        <v>78</v>
      </c>
      <c r="J401" s="508">
        <f t="shared" si="135"/>
        <v>0</v>
      </c>
      <c r="K401" s="508">
        <v>85.61</v>
      </c>
      <c r="L401" s="508">
        <v>0</v>
      </c>
      <c r="M401" s="508">
        <f t="shared" si="136"/>
        <v>85.61</v>
      </c>
      <c r="N401" s="508">
        <v>100</v>
      </c>
      <c r="O401" s="516" t="str">
        <f>O402</f>
        <v>基本经费调整，预留经费调剂用于新型冠状病毒感染的肺炎疫情防控粮食应急保供补贴资金</v>
      </c>
    </row>
    <row r="402" s="487" customFormat="1" ht="59" customHeight="1" spans="1:15">
      <c r="A402" s="506">
        <v>2220401</v>
      </c>
      <c r="B402" s="507" t="s">
        <v>471</v>
      </c>
      <c r="C402" s="508">
        <v>0</v>
      </c>
      <c r="D402" s="508"/>
      <c r="E402" s="508">
        <f t="shared" si="134"/>
        <v>0</v>
      </c>
      <c r="F402" s="508">
        <v>7.61</v>
      </c>
      <c r="G402" s="508">
        <v>0</v>
      </c>
      <c r="H402" s="508">
        <v>0</v>
      </c>
      <c r="I402" s="508">
        <v>78</v>
      </c>
      <c r="J402" s="508">
        <f t="shared" si="135"/>
        <v>0</v>
      </c>
      <c r="K402" s="508">
        <v>85.61</v>
      </c>
      <c r="L402" s="508">
        <v>0</v>
      </c>
      <c r="M402" s="508">
        <f t="shared" si="136"/>
        <v>85.61</v>
      </c>
      <c r="N402" s="508">
        <v>100</v>
      </c>
      <c r="O402" s="516" t="s">
        <v>472</v>
      </c>
    </row>
    <row r="403" s="487" customFormat="1" customHeight="1" spans="1:15">
      <c r="A403" s="506">
        <v>22205</v>
      </c>
      <c r="B403" s="507" t="s">
        <v>473</v>
      </c>
      <c r="C403" s="508">
        <f t="shared" ref="C403:I403" si="144">C404+C405</f>
        <v>2</v>
      </c>
      <c r="D403" s="508">
        <f t="shared" si="144"/>
        <v>0</v>
      </c>
      <c r="E403" s="508">
        <f t="shared" si="134"/>
        <v>2</v>
      </c>
      <c r="F403" s="508">
        <f t="shared" si="144"/>
        <v>0</v>
      </c>
      <c r="G403" s="508">
        <f t="shared" si="144"/>
        <v>0</v>
      </c>
      <c r="H403" s="508">
        <f t="shared" si="144"/>
        <v>0</v>
      </c>
      <c r="I403" s="508">
        <f t="shared" si="144"/>
        <v>30</v>
      </c>
      <c r="J403" s="508">
        <f t="shared" si="135"/>
        <v>0</v>
      </c>
      <c r="K403" s="508">
        <v>32</v>
      </c>
      <c r="L403" s="508">
        <v>0</v>
      </c>
      <c r="M403" s="508">
        <f t="shared" si="136"/>
        <v>32</v>
      </c>
      <c r="N403" s="508">
        <f>(M403-E403)/E403*100</f>
        <v>1500</v>
      </c>
      <c r="O403" s="517"/>
    </row>
    <row r="404" s="487" customFormat="1" ht="46" customHeight="1" spans="1:15">
      <c r="A404" s="506">
        <v>2220503</v>
      </c>
      <c r="B404" s="507" t="s">
        <v>474</v>
      </c>
      <c r="C404" s="508">
        <v>0</v>
      </c>
      <c r="D404" s="508"/>
      <c r="E404" s="508">
        <f t="shared" si="134"/>
        <v>0</v>
      </c>
      <c r="F404" s="508">
        <v>0</v>
      </c>
      <c r="G404" s="508">
        <v>0</v>
      </c>
      <c r="H404" s="508">
        <v>0</v>
      </c>
      <c r="I404" s="508">
        <v>30</v>
      </c>
      <c r="J404" s="508">
        <f t="shared" si="135"/>
        <v>0</v>
      </c>
      <c r="K404" s="508">
        <v>30</v>
      </c>
      <c r="L404" s="508">
        <v>0</v>
      </c>
      <c r="M404" s="508">
        <f t="shared" si="136"/>
        <v>30</v>
      </c>
      <c r="N404" s="508">
        <v>100</v>
      </c>
      <c r="O404" s="516" t="s">
        <v>475</v>
      </c>
    </row>
    <row r="405" s="487" customFormat="1" customHeight="1" spans="1:15">
      <c r="A405" s="506">
        <v>2220509</v>
      </c>
      <c r="B405" s="507" t="s">
        <v>476</v>
      </c>
      <c r="C405" s="508">
        <v>2</v>
      </c>
      <c r="D405" s="508"/>
      <c r="E405" s="508">
        <f t="shared" si="134"/>
        <v>2</v>
      </c>
      <c r="F405" s="508">
        <v>0</v>
      </c>
      <c r="G405" s="508">
        <v>0</v>
      </c>
      <c r="H405" s="508">
        <v>0</v>
      </c>
      <c r="I405" s="508">
        <v>0</v>
      </c>
      <c r="J405" s="508">
        <f t="shared" si="135"/>
        <v>0</v>
      </c>
      <c r="K405" s="508">
        <v>2</v>
      </c>
      <c r="L405" s="508">
        <v>0</v>
      </c>
      <c r="M405" s="508">
        <f t="shared" si="136"/>
        <v>2</v>
      </c>
      <c r="N405" s="508">
        <f t="shared" si="142"/>
        <v>0</v>
      </c>
      <c r="O405" s="517">
        <v>0</v>
      </c>
    </row>
    <row r="406" s="487" customFormat="1" customHeight="1" spans="1:15">
      <c r="A406" s="506">
        <v>224</v>
      </c>
      <c r="B406" s="507" t="s">
        <v>477</v>
      </c>
      <c r="C406" s="508">
        <f t="shared" ref="C406:I406" si="145">C407+C412+C414+C416+C418</f>
        <v>1459.63</v>
      </c>
      <c r="D406" s="508">
        <f t="shared" si="145"/>
        <v>30</v>
      </c>
      <c r="E406" s="508">
        <f t="shared" si="134"/>
        <v>1489.63</v>
      </c>
      <c r="F406" s="508">
        <f t="shared" si="145"/>
        <v>150.81</v>
      </c>
      <c r="G406" s="508">
        <f t="shared" si="145"/>
        <v>-100</v>
      </c>
      <c r="H406" s="508">
        <f t="shared" si="145"/>
        <v>0</v>
      </c>
      <c r="I406" s="508">
        <f t="shared" si="145"/>
        <v>73.3</v>
      </c>
      <c r="J406" s="508">
        <f t="shared" si="135"/>
        <v>1630</v>
      </c>
      <c r="K406" s="508">
        <v>1583.74</v>
      </c>
      <c r="L406" s="508">
        <v>1660</v>
      </c>
      <c r="M406" s="508">
        <f t="shared" si="136"/>
        <v>3243.74</v>
      </c>
      <c r="N406" s="508">
        <f t="shared" si="142"/>
        <v>117.754744466747</v>
      </c>
      <c r="O406" s="517"/>
    </row>
    <row r="407" s="487" customFormat="1" customHeight="1" spans="1:15">
      <c r="A407" s="506">
        <v>22401</v>
      </c>
      <c r="B407" s="507" t="s">
        <v>478</v>
      </c>
      <c r="C407" s="508">
        <f t="shared" ref="C407:I407" si="146">C408+C409+C410+C411</f>
        <v>970.37</v>
      </c>
      <c r="D407" s="508">
        <f t="shared" si="146"/>
        <v>0</v>
      </c>
      <c r="E407" s="508">
        <f t="shared" si="134"/>
        <v>970.37</v>
      </c>
      <c r="F407" s="508">
        <f t="shared" si="146"/>
        <v>93.34</v>
      </c>
      <c r="G407" s="508">
        <f t="shared" si="146"/>
        <v>0</v>
      </c>
      <c r="H407" s="508">
        <f t="shared" si="146"/>
        <v>0</v>
      </c>
      <c r="I407" s="508">
        <f t="shared" si="146"/>
        <v>63.3</v>
      </c>
      <c r="J407" s="508">
        <f t="shared" si="135"/>
        <v>1630</v>
      </c>
      <c r="K407" s="508">
        <v>1127.01</v>
      </c>
      <c r="L407" s="508">
        <v>1630</v>
      </c>
      <c r="M407" s="508">
        <f t="shared" si="136"/>
        <v>2757.01</v>
      </c>
      <c r="N407" s="508">
        <f t="shared" si="142"/>
        <v>184.11945958758</v>
      </c>
      <c r="O407" s="517"/>
    </row>
    <row r="408" s="487" customFormat="1" customHeight="1" spans="1:15">
      <c r="A408" s="506">
        <v>2240101</v>
      </c>
      <c r="B408" s="507" t="s">
        <v>71</v>
      </c>
      <c r="C408" s="508">
        <v>224.37</v>
      </c>
      <c r="D408" s="508"/>
      <c r="E408" s="508">
        <f t="shared" si="134"/>
        <v>224.37</v>
      </c>
      <c r="F408" s="508">
        <v>6.21</v>
      </c>
      <c r="G408" s="508">
        <v>0</v>
      </c>
      <c r="H408" s="508">
        <v>0</v>
      </c>
      <c r="I408" s="508">
        <v>60.37</v>
      </c>
      <c r="J408" s="508">
        <f t="shared" si="135"/>
        <v>0</v>
      </c>
      <c r="K408" s="508">
        <v>290.95</v>
      </c>
      <c r="L408" s="508">
        <v>0</v>
      </c>
      <c r="M408" s="508">
        <f t="shared" si="136"/>
        <v>290.95</v>
      </c>
      <c r="N408" s="508">
        <f t="shared" si="142"/>
        <v>29.6741988679413</v>
      </c>
      <c r="O408" s="516" t="s">
        <v>72</v>
      </c>
    </row>
    <row r="409" s="487" customFormat="1" customHeight="1" spans="1:15">
      <c r="A409" s="506">
        <v>2240106</v>
      </c>
      <c r="B409" s="507" t="s">
        <v>479</v>
      </c>
      <c r="C409" s="508">
        <v>156.9</v>
      </c>
      <c r="D409" s="508"/>
      <c r="E409" s="508">
        <f t="shared" si="134"/>
        <v>156.9</v>
      </c>
      <c r="F409" s="508">
        <v>0</v>
      </c>
      <c r="G409" s="508">
        <v>0</v>
      </c>
      <c r="H409" s="508">
        <v>0</v>
      </c>
      <c r="I409" s="508">
        <v>0</v>
      </c>
      <c r="J409" s="508">
        <f t="shared" si="135"/>
        <v>0</v>
      </c>
      <c r="K409" s="508">
        <v>156.9</v>
      </c>
      <c r="L409" s="508">
        <v>0</v>
      </c>
      <c r="M409" s="508">
        <f t="shared" si="136"/>
        <v>156.9</v>
      </c>
      <c r="N409" s="508">
        <f t="shared" si="142"/>
        <v>0</v>
      </c>
      <c r="O409" s="517">
        <v>0</v>
      </c>
    </row>
    <row r="410" s="487" customFormat="1" customHeight="1" spans="1:15">
      <c r="A410" s="506">
        <v>2240150</v>
      </c>
      <c r="B410" s="507" t="s">
        <v>105</v>
      </c>
      <c r="C410" s="508">
        <v>0</v>
      </c>
      <c r="D410" s="508"/>
      <c r="E410" s="508">
        <f t="shared" si="134"/>
        <v>0</v>
      </c>
      <c r="F410" s="508">
        <v>2.89</v>
      </c>
      <c r="G410" s="508">
        <v>0</v>
      </c>
      <c r="H410" s="508">
        <v>0</v>
      </c>
      <c r="I410" s="508">
        <v>2.93</v>
      </c>
      <c r="J410" s="508">
        <f t="shared" si="135"/>
        <v>0</v>
      </c>
      <c r="K410" s="508">
        <v>5.82</v>
      </c>
      <c r="L410" s="508">
        <v>0</v>
      </c>
      <c r="M410" s="508">
        <f t="shared" si="136"/>
        <v>5.82</v>
      </c>
      <c r="N410" s="508">
        <v>100</v>
      </c>
      <c r="O410" s="516" t="s">
        <v>72</v>
      </c>
    </row>
    <row r="411" s="487" customFormat="1" ht="68" customHeight="1" spans="1:15">
      <c r="A411" s="506">
        <v>2240199</v>
      </c>
      <c r="B411" s="507" t="s">
        <v>480</v>
      </c>
      <c r="C411" s="508">
        <v>589.1</v>
      </c>
      <c r="D411" s="508"/>
      <c r="E411" s="508">
        <f t="shared" si="134"/>
        <v>589.1</v>
      </c>
      <c r="F411" s="508">
        <v>84.24</v>
      </c>
      <c r="G411" s="508">
        <v>0</v>
      </c>
      <c r="H411" s="508">
        <v>0</v>
      </c>
      <c r="I411" s="508">
        <v>0</v>
      </c>
      <c r="J411" s="508">
        <f t="shared" si="135"/>
        <v>1630</v>
      </c>
      <c r="K411" s="508">
        <v>673.34</v>
      </c>
      <c r="L411" s="508">
        <v>1630</v>
      </c>
      <c r="M411" s="508">
        <f t="shared" si="136"/>
        <v>2303.34</v>
      </c>
      <c r="N411" s="508">
        <f t="shared" si="142"/>
        <v>290.993040230861</v>
      </c>
      <c r="O411" s="516" t="s">
        <v>481</v>
      </c>
    </row>
    <row r="412" s="487" customFormat="1" customHeight="1" spans="1:15">
      <c r="A412" s="506">
        <v>22402</v>
      </c>
      <c r="B412" s="507" t="s">
        <v>482</v>
      </c>
      <c r="C412" s="508">
        <f t="shared" ref="C412:I412" si="147">C413</f>
        <v>308.26</v>
      </c>
      <c r="D412" s="508">
        <f t="shared" si="147"/>
        <v>30</v>
      </c>
      <c r="E412" s="508">
        <f t="shared" si="134"/>
        <v>338.26</v>
      </c>
      <c r="F412" s="508">
        <f t="shared" si="147"/>
        <v>57.47</v>
      </c>
      <c r="G412" s="508">
        <f t="shared" si="147"/>
        <v>0</v>
      </c>
      <c r="H412" s="508">
        <f t="shared" si="147"/>
        <v>0</v>
      </c>
      <c r="I412" s="508">
        <f t="shared" si="147"/>
        <v>0</v>
      </c>
      <c r="J412" s="508">
        <f t="shared" si="135"/>
        <v>0</v>
      </c>
      <c r="K412" s="508">
        <v>365.73</v>
      </c>
      <c r="L412" s="508">
        <v>30</v>
      </c>
      <c r="M412" s="508">
        <f t="shared" si="136"/>
        <v>395.73</v>
      </c>
      <c r="N412" s="508">
        <f t="shared" si="142"/>
        <v>16.9898894341631</v>
      </c>
      <c r="O412" s="517"/>
    </row>
    <row r="413" s="487" customFormat="1" customHeight="1" spans="1:15">
      <c r="A413" s="506">
        <v>2240299</v>
      </c>
      <c r="B413" s="507" t="s">
        <v>483</v>
      </c>
      <c r="C413" s="508">
        <v>308.26</v>
      </c>
      <c r="D413" s="508">
        <v>30</v>
      </c>
      <c r="E413" s="508">
        <f t="shared" si="134"/>
        <v>338.26</v>
      </c>
      <c r="F413" s="508">
        <v>57.47</v>
      </c>
      <c r="G413" s="508">
        <v>0</v>
      </c>
      <c r="H413" s="508">
        <v>0</v>
      </c>
      <c r="I413" s="508">
        <v>0</v>
      </c>
      <c r="J413" s="508">
        <f t="shared" si="135"/>
        <v>0</v>
      </c>
      <c r="K413" s="508">
        <v>365.73</v>
      </c>
      <c r="L413" s="508">
        <v>30</v>
      </c>
      <c r="M413" s="508">
        <f t="shared" si="136"/>
        <v>395.73</v>
      </c>
      <c r="N413" s="508">
        <f t="shared" si="142"/>
        <v>16.9898894341631</v>
      </c>
      <c r="O413" s="517" t="s">
        <v>484</v>
      </c>
    </row>
    <row r="414" s="487" customFormat="1" customHeight="1" spans="1:15">
      <c r="A414" s="506">
        <v>22405</v>
      </c>
      <c r="B414" s="507" t="s">
        <v>485</v>
      </c>
      <c r="C414" s="508">
        <f t="shared" ref="C414:I414" si="148">C415</f>
        <v>2</v>
      </c>
      <c r="D414" s="508">
        <f t="shared" si="148"/>
        <v>0</v>
      </c>
      <c r="E414" s="508">
        <f t="shared" si="134"/>
        <v>2</v>
      </c>
      <c r="F414" s="508">
        <f t="shared" si="148"/>
        <v>0</v>
      </c>
      <c r="G414" s="508">
        <f t="shared" si="148"/>
        <v>0</v>
      </c>
      <c r="H414" s="508">
        <f t="shared" si="148"/>
        <v>0</v>
      </c>
      <c r="I414" s="508">
        <f t="shared" si="148"/>
        <v>0</v>
      </c>
      <c r="J414" s="508">
        <f t="shared" si="135"/>
        <v>0</v>
      </c>
      <c r="K414" s="508">
        <v>2</v>
      </c>
      <c r="L414" s="508">
        <v>0</v>
      </c>
      <c r="M414" s="508">
        <f t="shared" si="136"/>
        <v>2</v>
      </c>
      <c r="N414" s="508">
        <f t="shared" si="142"/>
        <v>0</v>
      </c>
      <c r="O414" s="517">
        <f>O415</f>
        <v>0</v>
      </c>
    </row>
    <row r="415" s="487" customFormat="1" customHeight="1" spans="1:15">
      <c r="A415" s="506">
        <v>2240599</v>
      </c>
      <c r="B415" s="507" t="s">
        <v>486</v>
      </c>
      <c r="C415" s="508">
        <v>2</v>
      </c>
      <c r="D415" s="508"/>
      <c r="E415" s="508">
        <f t="shared" si="134"/>
        <v>2</v>
      </c>
      <c r="F415" s="508">
        <v>0</v>
      </c>
      <c r="G415" s="508">
        <v>0</v>
      </c>
      <c r="H415" s="508">
        <v>0</v>
      </c>
      <c r="I415" s="508">
        <v>0</v>
      </c>
      <c r="J415" s="508">
        <f t="shared" si="135"/>
        <v>0</v>
      </c>
      <c r="K415" s="508">
        <v>2</v>
      </c>
      <c r="L415" s="508">
        <v>0</v>
      </c>
      <c r="M415" s="508">
        <f t="shared" si="136"/>
        <v>2</v>
      </c>
      <c r="N415" s="508">
        <f t="shared" si="142"/>
        <v>0</v>
      </c>
      <c r="O415" s="517">
        <v>0</v>
      </c>
    </row>
    <row r="416" s="487" customFormat="1" customHeight="1" spans="1:15">
      <c r="A416" s="506">
        <v>22406</v>
      </c>
      <c r="B416" s="507" t="s">
        <v>487</v>
      </c>
      <c r="C416" s="508">
        <f t="shared" ref="C416:I416" si="149">C417</f>
        <v>179</v>
      </c>
      <c r="D416" s="508">
        <f t="shared" si="149"/>
        <v>0</v>
      </c>
      <c r="E416" s="508">
        <f t="shared" si="134"/>
        <v>179</v>
      </c>
      <c r="F416" s="508">
        <f t="shared" si="149"/>
        <v>0</v>
      </c>
      <c r="G416" s="508">
        <f t="shared" si="149"/>
        <v>-100</v>
      </c>
      <c r="H416" s="508">
        <f t="shared" si="149"/>
        <v>0</v>
      </c>
      <c r="I416" s="508">
        <f t="shared" si="149"/>
        <v>0</v>
      </c>
      <c r="J416" s="508">
        <f t="shared" si="135"/>
        <v>0</v>
      </c>
      <c r="K416" s="508">
        <v>79</v>
      </c>
      <c r="L416" s="508">
        <v>0</v>
      </c>
      <c r="M416" s="508">
        <f t="shared" si="136"/>
        <v>79</v>
      </c>
      <c r="N416" s="508">
        <f t="shared" si="142"/>
        <v>-55.8659217877095</v>
      </c>
      <c r="O416" s="517" t="str">
        <f>O417</f>
        <v>调减非税支出</v>
      </c>
    </row>
    <row r="417" s="487" customFormat="1" customHeight="1" spans="1:15">
      <c r="A417" s="506">
        <v>2240601</v>
      </c>
      <c r="B417" s="507" t="s">
        <v>488</v>
      </c>
      <c r="C417" s="508">
        <v>179</v>
      </c>
      <c r="D417" s="508"/>
      <c r="E417" s="508">
        <f t="shared" si="134"/>
        <v>179</v>
      </c>
      <c r="F417" s="508">
        <v>0</v>
      </c>
      <c r="G417" s="508">
        <v>-100</v>
      </c>
      <c r="H417" s="508">
        <v>0</v>
      </c>
      <c r="I417" s="508">
        <v>0</v>
      </c>
      <c r="J417" s="508">
        <f t="shared" si="135"/>
        <v>0</v>
      </c>
      <c r="K417" s="508">
        <v>79</v>
      </c>
      <c r="L417" s="508">
        <v>0</v>
      </c>
      <c r="M417" s="508">
        <f t="shared" si="136"/>
        <v>79</v>
      </c>
      <c r="N417" s="508">
        <f t="shared" si="142"/>
        <v>-55.8659217877095</v>
      </c>
      <c r="O417" s="517" t="s">
        <v>154</v>
      </c>
    </row>
    <row r="418" s="487" customFormat="1" ht="30" customHeight="1" spans="1:15">
      <c r="A418" s="506">
        <v>22499</v>
      </c>
      <c r="B418" s="507" t="s">
        <v>489</v>
      </c>
      <c r="C418" s="508">
        <v>0</v>
      </c>
      <c r="D418" s="508"/>
      <c r="E418" s="508">
        <f t="shared" si="134"/>
        <v>0</v>
      </c>
      <c r="F418" s="508">
        <v>0</v>
      </c>
      <c r="G418" s="508">
        <v>0</v>
      </c>
      <c r="H418" s="508">
        <v>0</v>
      </c>
      <c r="I418" s="508">
        <v>10</v>
      </c>
      <c r="J418" s="508">
        <f t="shared" si="135"/>
        <v>0</v>
      </c>
      <c r="K418" s="508">
        <v>10</v>
      </c>
      <c r="L418" s="508">
        <v>0</v>
      </c>
      <c r="M418" s="508">
        <f t="shared" si="136"/>
        <v>10</v>
      </c>
      <c r="N418" s="508">
        <v>100</v>
      </c>
      <c r="O418" s="517"/>
    </row>
    <row r="419" s="487" customFormat="1" customHeight="1" spans="1:15">
      <c r="A419" s="506">
        <v>227</v>
      </c>
      <c r="B419" s="507" t="s">
        <v>490</v>
      </c>
      <c r="C419" s="508">
        <v>2000</v>
      </c>
      <c r="D419" s="508"/>
      <c r="E419" s="508">
        <f t="shared" si="134"/>
        <v>2000</v>
      </c>
      <c r="F419" s="508">
        <v>0</v>
      </c>
      <c r="G419" s="508">
        <v>0</v>
      </c>
      <c r="H419" s="508">
        <v>0</v>
      </c>
      <c r="I419" s="508">
        <v>0</v>
      </c>
      <c r="J419" s="508">
        <f t="shared" si="135"/>
        <v>0</v>
      </c>
      <c r="K419" s="508">
        <v>2000</v>
      </c>
      <c r="L419" s="508">
        <v>0</v>
      </c>
      <c r="M419" s="508">
        <f t="shared" si="136"/>
        <v>2000</v>
      </c>
      <c r="N419" s="508">
        <f t="shared" si="142"/>
        <v>0</v>
      </c>
      <c r="O419" s="517">
        <v>0</v>
      </c>
    </row>
    <row r="420" s="487" customFormat="1" customHeight="1" spans="1:15">
      <c r="A420" s="506">
        <v>229</v>
      </c>
      <c r="B420" s="507" t="s">
        <v>491</v>
      </c>
      <c r="C420" s="508">
        <f t="shared" ref="C420:I420" si="150">C421</f>
        <v>14019.57</v>
      </c>
      <c r="D420" s="508">
        <f t="shared" si="150"/>
        <v>10</v>
      </c>
      <c r="E420" s="508">
        <f t="shared" si="134"/>
        <v>14029.57</v>
      </c>
      <c r="F420" s="508">
        <f t="shared" si="150"/>
        <v>-864.13</v>
      </c>
      <c r="G420" s="508">
        <f t="shared" si="150"/>
        <v>-400</v>
      </c>
      <c r="H420" s="508">
        <f t="shared" si="150"/>
        <v>0</v>
      </c>
      <c r="I420" s="508">
        <f t="shared" si="150"/>
        <v>-8072.16</v>
      </c>
      <c r="J420" s="508">
        <f t="shared" si="135"/>
        <v>56</v>
      </c>
      <c r="K420" s="508">
        <v>4683.28</v>
      </c>
      <c r="L420" s="508">
        <v>66</v>
      </c>
      <c r="M420" s="508">
        <f t="shared" si="136"/>
        <v>4749.28</v>
      </c>
      <c r="N420" s="508">
        <f t="shared" si="142"/>
        <v>-66.1480715374741</v>
      </c>
      <c r="O420" s="517"/>
    </row>
    <row r="421" s="487" customFormat="1" customHeight="1" spans="1:15">
      <c r="A421" s="506">
        <v>22999</v>
      </c>
      <c r="B421" s="507" t="s">
        <v>491</v>
      </c>
      <c r="C421" s="508">
        <f t="shared" ref="C421:I421" si="151">C422</f>
        <v>14019.57</v>
      </c>
      <c r="D421" s="508">
        <f t="shared" si="151"/>
        <v>10</v>
      </c>
      <c r="E421" s="508">
        <f t="shared" si="134"/>
        <v>14029.57</v>
      </c>
      <c r="F421" s="508">
        <f t="shared" si="151"/>
        <v>-864.13</v>
      </c>
      <c r="G421" s="508">
        <f t="shared" si="151"/>
        <v>-400</v>
      </c>
      <c r="H421" s="508">
        <f t="shared" si="151"/>
        <v>0</v>
      </c>
      <c r="I421" s="508">
        <f t="shared" si="151"/>
        <v>-8072.16</v>
      </c>
      <c r="J421" s="508">
        <f t="shared" si="135"/>
        <v>56</v>
      </c>
      <c r="K421" s="508">
        <v>4683.28</v>
      </c>
      <c r="L421" s="508">
        <v>66</v>
      </c>
      <c r="M421" s="508">
        <f t="shared" si="136"/>
        <v>4749.28</v>
      </c>
      <c r="N421" s="508">
        <f t="shared" si="142"/>
        <v>-66.1480715374741</v>
      </c>
      <c r="O421" s="517"/>
    </row>
    <row r="422" s="487" customFormat="1" ht="81" customHeight="1" spans="1:15">
      <c r="A422" s="506">
        <v>2299901</v>
      </c>
      <c r="B422" s="507" t="s">
        <v>491</v>
      </c>
      <c r="C422" s="508">
        <v>14019.57</v>
      </c>
      <c r="D422" s="508">
        <v>10</v>
      </c>
      <c r="E422" s="508">
        <f t="shared" si="134"/>
        <v>14029.57</v>
      </c>
      <c r="F422" s="508">
        <v>-864.13</v>
      </c>
      <c r="G422" s="508">
        <v>-400</v>
      </c>
      <c r="H422" s="508">
        <v>0</v>
      </c>
      <c r="I422" s="508">
        <v>-8072.16</v>
      </c>
      <c r="J422" s="508">
        <f t="shared" si="135"/>
        <v>56</v>
      </c>
      <c r="K422" s="508">
        <v>4683.28</v>
      </c>
      <c r="L422" s="508">
        <v>66</v>
      </c>
      <c r="M422" s="508">
        <f t="shared" si="136"/>
        <v>4749.28</v>
      </c>
      <c r="N422" s="508">
        <f t="shared" si="142"/>
        <v>-66.1480715374741</v>
      </c>
      <c r="O422" s="517" t="s">
        <v>492</v>
      </c>
    </row>
    <row r="423" s="487" customFormat="1" ht="29" customHeight="1" spans="1:15">
      <c r="A423" s="506">
        <v>230</v>
      </c>
      <c r="B423" s="507" t="s">
        <v>493</v>
      </c>
      <c r="C423" s="508">
        <f t="shared" ref="C423:I423" si="152">C424</f>
        <v>3622.58</v>
      </c>
      <c r="D423" s="508">
        <f t="shared" si="152"/>
        <v>0</v>
      </c>
      <c r="E423" s="508">
        <f t="shared" si="134"/>
        <v>3622.58</v>
      </c>
      <c r="F423" s="508">
        <f t="shared" si="152"/>
        <v>744.63</v>
      </c>
      <c r="G423" s="508">
        <f t="shared" si="152"/>
        <v>0</v>
      </c>
      <c r="H423" s="508">
        <f t="shared" si="152"/>
        <v>0</v>
      </c>
      <c r="I423" s="508">
        <f t="shared" si="152"/>
        <v>0</v>
      </c>
      <c r="J423" s="508">
        <f t="shared" si="135"/>
        <v>0</v>
      </c>
      <c r="K423" s="508">
        <v>4367.21</v>
      </c>
      <c r="L423" s="508">
        <v>0</v>
      </c>
      <c r="M423" s="508">
        <f t="shared" si="136"/>
        <v>4367.21</v>
      </c>
      <c r="N423" s="508">
        <f t="shared" si="142"/>
        <v>20.5552396358397</v>
      </c>
      <c r="O423" s="517" t="str">
        <f t="shared" ref="O423:O427" si="153">O424</f>
        <v>按上级文件要求调增上解支出</v>
      </c>
    </row>
    <row r="424" s="487" customFormat="1" ht="29" customHeight="1" spans="1:15">
      <c r="A424" s="506">
        <v>23006</v>
      </c>
      <c r="B424" s="507" t="s">
        <v>494</v>
      </c>
      <c r="C424" s="508">
        <f t="shared" ref="C424:I424" si="154">C425</f>
        <v>3622.58</v>
      </c>
      <c r="D424" s="508">
        <f t="shared" si="154"/>
        <v>0</v>
      </c>
      <c r="E424" s="508">
        <f t="shared" si="134"/>
        <v>3622.58</v>
      </c>
      <c r="F424" s="508">
        <f t="shared" si="154"/>
        <v>744.63</v>
      </c>
      <c r="G424" s="508">
        <f t="shared" si="154"/>
        <v>0</v>
      </c>
      <c r="H424" s="508">
        <f t="shared" si="154"/>
        <v>0</v>
      </c>
      <c r="I424" s="508">
        <f t="shared" si="154"/>
        <v>0</v>
      </c>
      <c r="J424" s="508">
        <f t="shared" si="135"/>
        <v>0</v>
      </c>
      <c r="K424" s="508">
        <v>4367.21</v>
      </c>
      <c r="L424" s="508">
        <v>0</v>
      </c>
      <c r="M424" s="508">
        <f t="shared" si="136"/>
        <v>4367.21</v>
      </c>
      <c r="N424" s="508">
        <f t="shared" si="142"/>
        <v>20.5552396358397</v>
      </c>
      <c r="O424" s="517" t="str">
        <f t="shared" si="153"/>
        <v>按上级文件要求调增上解支出</v>
      </c>
    </row>
    <row r="425" s="487" customFormat="1" ht="29" customHeight="1" spans="1:15">
      <c r="A425" s="506">
        <v>2300602</v>
      </c>
      <c r="B425" s="507" t="s">
        <v>495</v>
      </c>
      <c r="C425" s="508">
        <v>3622.58</v>
      </c>
      <c r="D425" s="508"/>
      <c r="E425" s="508">
        <f t="shared" si="134"/>
        <v>3622.58</v>
      </c>
      <c r="F425" s="508">
        <v>744.63</v>
      </c>
      <c r="G425" s="508">
        <v>0</v>
      </c>
      <c r="H425" s="508">
        <v>0</v>
      </c>
      <c r="I425" s="508">
        <v>0</v>
      </c>
      <c r="J425" s="508">
        <f t="shared" si="135"/>
        <v>0</v>
      </c>
      <c r="K425" s="508">
        <v>4367.21</v>
      </c>
      <c r="L425" s="508">
        <v>0</v>
      </c>
      <c r="M425" s="508">
        <f t="shared" si="136"/>
        <v>4367.21</v>
      </c>
      <c r="N425" s="508">
        <f t="shared" si="142"/>
        <v>20.5552396358397</v>
      </c>
      <c r="O425" s="517" t="s">
        <v>496</v>
      </c>
    </row>
    <row r="426" s="487" customFormat="1" customHeight="1" spans="1:15">
      <c r="A426" s="506">
        <v>231</v>
      </c>
      <c r="B426" s="507" t="s">
        <v>497</v>
      </c>
      <c r="C426" s="508">
        <f t="shared" ref="C426:I426" si="155">C427</f>
        <v>7663.41</v>
      </c>
      <c r="D426" s="508">
        <f t="shared" si="155"/>
        <v>0</v>
      </c>
      <c r="E426" s="508">
        <f t="shared" si="134"/>
        <v>7663.41</v>
      </c>
      <c r="F426" s="508">
        <f t="shared" si="155"/>
        <v>0</v>
      </c>
      <c r="G426" s="508">
        <f t="shared" si="155"/>
        <v>0</v>
      </c>
      <c r="H426" s="508">
        <f t="shared" si="155"/>
        <v>0</v>
      </c>
      <c r="I426" s="508">
        <f t="shared" si="155"/>
        <v>0</v>
      </c>
      <c r="J426" s="508">
        <f t="shared" si="135"/>
        <v>0</v>
      </c>
      <c r="K426" s="508">
        <v>7663.41</v>
      </c>
      <c r="L426" s="508">
        <v>0</v>
      </c>
      <c r="M426" s="508">
        <f t="shared" si="136"/>
        <v>7663.41</v>
      </c>
      <c r="N426" s="508">
        <f t="shared" si="142"/>
        <v>0</v>
      </c>
      <c r="O426" s="517">
        <f t="shared" si="153"/>
        <v>0</v>
      </c>
    </row>
    <row r="427" s="487" customFormat="1" ht="29" customHeight="1" spans="1:15">
      <c r="A427" s="506">
        <v>23103</v>
      </c>
      <c r="B427" s="507" t="s">
        <v>498</v>
      </c>
      <c r="C427" s="508">
        <f t="shared" ref="C427:I427" si="156">C428</f>
        <v>7663.41</v>
      </c>
      <c r="D427" s="508">
        <f t="shared" si="156"/>
        <v>0</v>
      </c>
      <c r="E427" s="508">
        <f t="shared" si="134"/>
        <v>7663.41</v>
      </c>
      <c r="F427" s="508">
        <f t="shared" si="156"/>
        <v>0</v>
      </c>
      <c r="G427" s="508">
        <f t="shared" si="156"/>
        <v>0</v>
      </c>
      <c r="H427" s="508">
        <f t="shared" si="156"/>
        <v>0</v>
      </c>
      <c r="I427" s="508">
        <f t="shared" si="156"/>
        <v>0</v>
      </c>
      <c r="J427" s="508">
        <f t="shared" si="135"/>
        <v>0</v>
      </c>
      <c r="K427" s="508">
        <v>7663.41</v>
      </c>
      <c r="L427" s="508">
        <v>0</v>
      </c>
      <c r="M427" s="508">
        <f t="shared" si="136"/>
        <v>7663.41</v>
      </c>
      <c r="N427" s="508">
        <f t="shared" si="142"/>
        <v>0</v>
      </c>
      <c r="O427" s="517">
        <f t="shared" si="153"/>
        <v>0</v>
      </c>
    </row>
    <row r="428" s="487" customFormat="1" ht="29" customHeight="1" spans="1:15">
      <c r="A428" s="506">
        <v>2310301</v>
      </c>
      <c r="B428" s="507" t="s">
        <v>499</v>
      </c>
      <c r="C428" s="508">
        <v>7663.41</v>
      </c>
      <c r="D428" s="508"/>
      <c r="E428" s="508">
        <f t="shared" si="134"/>
        <v>7663.41</v>
      </c>
      <c r="F428" s="508">
        <v>0</v>
      </c>
      <c r="G428" s="508">
        <v>0</v>
      </c>
      <c r="H428" s="508">
        <v>0</v>
      </c>
      <c r="I428" s="508">
        <v>0</v>
      </c>
      <c r="J428" s="508">
        <f t="shared" si="135"/>
        <v>0</v>
      </c>
      <c r="K428" s="508">
        <v>7663.41</v>
      </c>
      <c r="L428" s="508">
        <v>0</v>
      </c>
      <c r="M428" s="508">
        <f t="shared" si="136"/>
        <v>7663.41</v>
      </c>
      <c r="N428" s="508">
        <f t="shared" si="142"/>
        <v>0</v>
      </c>
      <c r="O428" s="517">
        <v>0</v>
      </c>
    </row>
    <row r="429" s="487" customFormat="1" customHeight="1" spans="1:15">
      <c r="A429" s="506">
        <v>232</v>
      </c>
      <c r="B429" s="507" t="s">
        <v>500</v>
      </c>
      <c r="C429" s="508">
        <f t="shared" ref="C429:I429" si="157">C430</f>
        <v>2093.95</v>
      </c>
      <c r="D429" s="508">
        <f t="shared" si="157"/>
        <v>0</v>
      </c>
      <c r="E429" s="508">
        <f t="shared" si="134"/>
        <v>2093.95</v>
      </c>
      <c r="F429" s="508">
        <f t="shared" si="157"/>
        <v>181</v>
      </c>
      <c r="G429" s="508">
        <f t="shared" si="157"/>
        <v>0</v>
      </c>
      <c r="H429" s="508">
        <f t="shared" si="157"/>
        <v>0</v>
      </c>
      <c r="I429" s="508">
        <f t="shared" si="157"/>
        <v>0</v>
      </c>
      <c r="J429" s="508">
        <f t="shared" si="135"/>
        <v>0</v>
      </c>
      <c r="K429" s="508">
        <v>2274.95</v>
      </c>
      <c r="L429" s="508">
        <v>0</v>
      </c>
      <c r="M429" s="508">
        <f t="shared" si="136"/>
        <v>2274.95</v>
      </c>
      <c r="N429" s="508">
        <f t="shared" si="142"/>
        <v>8.64395042861577</v>
      </c>
      <c r="O429" s="517"/>
    </row>
    <row r="430" s="487" customFormat="1" ht="29" customHeight="1" spans="1:15">
      <c r="A430" s="506">
        <v>23203</v>
      </c>
      <c r="B430" s="507" t="s">
        <v>501</v>
      </c>
      <c r="C430" s="508">
        <f t="shared" ref="C430:I430" si="158">C431</f>
        <v>2093.95</v>
      </c>
      <c r="D430" s="508">
        <f t="shared" si="158"/>
        <v>0</v>
      </c>
      <c r="E430" s="508">
        <f t="shared" si="134"/>
        <v>2093.95</v>
      </c>
      <c r="F430" s="508">
        <f t="shared" si="158"/>
        <v>181</v>
      </c>
      <c r="G430" s="508">
        <f t="shared" si="158"/>
        <v>0</v>
      </c>
      <c r="H430" s="508">
        <f t="shared" si="158"/>
        <v>0</v>
      </c>
      <c r="I430" s="508">
        <f t="shared" si="158"/>
        <v>0</v>
      </c>
      <c r="J430" s="508">
        <f t="shared" si="135"/>
        <v>0</v>
      </c>
      <c r="K430" s="508">
        <v>2274.95</v>
      </c>
      <c r="L430" s="508">
        <v>0</v>
      </c>
      <c r="M430" s="508">
        <f t="shared" si="136"/>
        <v>2274.95</v>
      </c>
      <c r="N430" s="508">
        <f t="shared" si="142"/>
        <v>8.64395042861577</v>
      </c>
      <c r="O430" s="517"/>
    </row>
    <row r="431" s="487" customFormat="1" ht="29" customHeight="1" spans="1:15">
      <c r="A431" s="506">
        <v>2320301</v>
      </c>
      <c r="B431" s="507" t="s">
        <v>502</v>
      </c>
      <c r="C431" s="508">
        <v>2093.95</v>
      </c>
      <c r="D431" s="508"/>
      <c r="E431" s="508">
        <f t="shared" si="134"/>
        <v>2093.95</v>
      </c>
      <c r="F431" s="508">
        <v>181</v>
      </c>
      <c r="G431" s="508">
        <v>0</v>
      </c>
      <c r="H431" s="508">
        <v>0</v>
      </c>
      <c r="I431" s="508">
        <v>0</v>
      </c>
      <c r="J431" s="508">
        <f t="shared" si="135"/>
        <v>0</v>
      </c>
      <c r="K431" s="508">
        <v>2274.95</v>
      </c>
      <c r="L431" s="508">
        <v>0</v>
      </c>
      <c r="M431" s="508">
        <f t="shared" si="136"/>
        <v>2274.95</v>
      </c>
      <c r="N431" s="508">
        <f t="shared" si="142"/>
        <v>8.64395042861577</v>
      </c>
      <c r="O431" s="517" t="s">
        <v>503</v>
      </c>
    </row>
    <row r="432" s="487" customFormat="1" customHeight="1" spans="1:15">
      <c r="A432" s="506">
        <v>233</v>
      </c>
      <c r="B432" s="507" t="s">
        <v>504</v>
      </c>
      <c r="C432" s="508">
        <f t="shared" ref="C432:I432" si="159">C433</f>
        <v>50</v>
      </c>
      <c r="D432" s="508">
        <f t="shared" si="159"/>
        <v>0</v>
      </c>
      <c r="E432" s="508">
        <f t="shared" si="134"/>
        <v>50</v>
      </c>
      <c r="F432" s="508">
        <f t="shared" si="159"/>
        <v>0</v>
      </c>
      <c r="G432" s="508">
        <f t="shared" si="159"/>
        <v>0</v>
      </c>
      <c r="H432" s="508">
        <f t="shared" si="159"/>
        <v>0</v>
      </c>
      <c r="I432" s="508">
        <f t="shared" si="159"/>
        <v>0</v>
      </c>
      <c r="J432" s="508">
        <f t="shared" si="135"/>
        <v>0</v>
      </c>
      <c r="K432" s="508">
        <v>50</v>
      </c>
      <c r="L432" s="508">
        <v>0</v>
      </c>
      <c r="M432" s="508">
        <f t="shared" si="136"/>
        <v>50</v>
      </c>
      <c r="N432" s="508">
        <f t="shared" si="142"/>
        <v>0</v>
      </c>
      <c r="O432" s="517">
        <f>O433</f>
        <v>0</v>
      </c>
    </row>
    <row r="433" s="487" customFormat="1" ht="29" customHeight="1" spans="1:15">
      <c r="A433" s="518">
        <v>23303</v>
      </c>
      <c r="B433" s="519" t="s">
        <v>505</v>
      </c>
      <c r="C433" s="520">
        <v>50</v>
      </c>
      <c r="D433" s="520">
        <v>0</v>
      </c>
      <c r="E433" s="520">
        <f t="shared" si="134"/>
        <v>50</v>
      </c>
      <c r="F433" s="520">
        <v>0</v>
      </c>
      <c r="G433" s="520">
        <v>0</v>
      </c>
      <c r="H433" s="520">
        <v>0</v>
      </c>
      <c r="I433" s="520">
        <v>0</v>
      </c>
      <c r="J433" s="520">
        <f t="shared" si="135"/>
        <v>0</v>
      </c>
      <c r="K433" s="520">
        <v>50</v>
      </c>
      <c r="L433" s="520">
        <v>0</v>
      </c>
      <c r="M433" s="520">
        <f t="shared" si="136"/>
        <v>50</v>
      </c>
      <c r="N433" s="508">
        <f t="shared" si="142"/>
        <v>0</v>
      </c>
      <c r="O433" s="524">
        <v>0</v>
      </c>
    </row>
    <row r="434" s="488" customFormat="1" ht="22" customHeight="1" spans="1:15">
      <c r="A434" s="521" t="s">
        <v>506</v>
      </c>
      <c r="B434" s="522"/>
      <c r="C434" s="523">
        <f t="shared" ref="C434:I434" si="160">C432+C429+C426+C423+C420+C419+C406+C397+C391+C382+C378+C371+C366+C358+C320+C306+C292+C252+C180+C165+C156+C131+C109+C101+C6</f>
        <v>163560.71</v>
      </c>
      <c r="D434" s="523">
        <f t="shared" si="160"/>
        <v>42966</v>
      </c>
      <c r="E434" s="523">
        <f t="shared" si="134"/>
        <v>206526.71</v>
      </c>
      <c r="F434" s="523">
        <f t="shared" si="160"/>
        <v>22543.7792</v>
      </c>
      <c r="G434" s="523">
        <f t="shared" si="160"/>
        <v>-119.13</v>
      </c>
      <c r="H434" s="523">
        <f t="shared" si="160"/>
        <v>-690.14</v>
      </c>
      <c r="I434" s="523">
        <f t="shared" si="160"/>
        <v>0.239999999999782</v>
      </c>
      <c r="J434" s="523">
        <f t="shared" si="135"/>
        <v>27287</v>
      </c>
      <c r="K434" s="523">
        <f>K432+K429+K426+K423+K420+K419+K406+K397+K391+K382+K378+K371+K366+K358+K320+K306+K292+K252+K180+K165+K156+K131+K109+K101+K6</f>
        <v>185295.5992</v>
      </c>
      <c r="L434" s="523">
        <f>L432+L429+L426+L423+L420+L419+L406+L397+L391+L382+L378+L371+L366+L358+L320+L306+L292+L252+L180+L165+L156+L131+L109+L101+L6</f>
        <v>70253</v>
      </c>
      <c r="M434" s="523">
        <f t="shared" si="136"/>
        <v>255548.5992</v>
      </c>
      <c r="N434" s="523">
        <f t="shared" si="142"/>
        <v>23.7363434492323</v>
      </c>
      <c r="O434" s="525"/>
    </row>
    <row r="435" s="487" customFormat="1" customHeight="1" spans="1:15">
      <c r="A435" s="489"/>
      <c r="B435" s="490"/>
      <c r="C435" s="491"/>
      <c r="D435" s="491"/>
      <c r="E435" s="491"/>
      <c r="F435" s="491"/>
      <c r="G435" s="491"/>
      <c r="H435" s="491"/>
      <c r="I435" s="491"/>
      <c r="J435" s="491"/>
      <c r="K435" s="491"/>
      <c r="L435" s="491"/>
      <c r="M435" s="491"/>
      <c r="N435" s="491"/>
      <c r="O435" s="492"/>
    </row>
    <row r="436" s="487" customFormat="1" customHeight="1" spans="1:15">
      <c r="A436" s="489"/>
      <c r="B436" s="490"/>
      <c r="C436" s="491"/>
      <c r="D436" s="491"/>
      <c r="E436" s="491"/>
      <c r="F436" s="491"/>
      <c r="G436" s="491"/>
      <c r="H436" s="491"/>
      <c r="I436" s="491"/>
      <c r="J436" s="491"/>
      <c r="K436" s="491"/>
      <c r="L436" s="491"/>
      <c r="M436" s="491"/>
      <c r="N436" s="491"/>
      <c r="O436" s="492"/>
    </row>
    <row r="437" s="487" customFormat="1" customHeight="1" spans="1:15">
      <c r="A437" s="489"/>
      <c r="B437" s="490"/>
      <c r="C437" s="491"/>
      <c r="D437" s="491"/>
      <c r="E437" s="491"/>
      <c r="F437" s="491"/>
      <c r="G437" s="491"/>
      <c r="H437" s="491"/>
      <c r="I437" s="491"/>
      <c r="J437" s="491"/>
      <c r="K437" s="491"/>
      <c r="L437" s="491"/>
      <c r="M437" s="491"/>
      <c r="N437" s="491"/>
      <c r="O437" s="492"/>
    </row>
    <row r="438" s="487" customFormat="1" customHeight="1" spans="1:15">
      <c r="A438" s="489"/>
      <c r="B438" s="490"/>
      <c r="C438" s="491"/>
      <c r="D438" s="491"/>
      <c r="E438" s="491"/>
      <c r="F438" s="491"/>
      <c r="G438" s="491"/>
      <c r="H438" s="491"/>
      <c r="I438" s="491"/>
      <c r="J438" s="491"/>
      <c r="K438" s="491"/>
      <c r="L438" s="491"/>
      <c r="M438" s="491"/>
      <c r="N438" s="491"/>
      <c r="O438" s="492"/>
    </row>
  </sheetData>
  <autoFilter xmlns:etc="http://www.wps.cn/officeDocument/2017/etCustomData" ref="A5:XFD434" etc:filterBottomFollowUsedRange="0">
    <extLst/>
  </autoFilter>
  <mergeCells count="9">
    <mergeCell ref="A2:O2"/>
    <mergeCell ref="C4:E4"/>
    <mergeCell ref="F4:J4"/>
    <mergeCell ref="K4:M4"/>
    <mergeCell ref="A434:B434"/>
    <mergeCell ref="A4:A5"/>
    <mergeCell ref="B4:B5"/>
    <mergeCell ref="N4:N5"/>
    <mergeCell ref="O4:O5"/>
  </mergeCells>
  <printOptions horizontalCentered="1"/>
  <pageMargins left="0.786805555555556" right="0.786805555555556" top="0.196527777777778" bottom="0.354166666666667" header="0.196527777777778" footer="0.0388888888888889"/>
  <pageSetup paperSize="9" scale="91" fitToHeight="0" orientation="landscape" horizont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5"/>
  <sheetViews>
    <sheetView topLeftCell="B131" workbookViewId="0">
      <selection activeCell="E13" sqref="E13:E15"/>
    </sheetView>
  </sheetViews>
  <sheetFormatPr defaultColWidth="9" defaultRowHeight="13.5"/>
  <cols>
    <col min="1" max="1" width="6.375" style="400" hidden="1" customWidth="1"/>
    <col min="2" max="2" width="12.5" style="401" customWidth="1"/>
    <col min="3" max="3" width="24.5" style="400" customWidth="1"/>
    <col min="4" max="4" width="12.625" style="402" customWidth="1"/>
    <col min="5" max="5" width="31.375" style="400" customWidth="1"/>
    <col min="6" max="6" width="7.125" style="400" hidden="1" customWidth="1"/>
    <col min="7" max="7" width="12.125" style="401" customWidth="1"/>
    <col min="8" max="8" width="22.625" style="400" customWidth="1"/>
    <col min="9" max="9" width="11.5" style="402" customWidth="1"/>
    <col min="10" max="10" width="22.25" style="400" customWidth="1"/>
    <col min="11" max="11" width="12.625" style="400" customWidth="1"/>
    <col min="12" max="16384" width="9" style="400" customWidth="1"/>
  </cols>
  <sheetData>
    <row r="1" ht="18" customHeight="1" spans="1:10">
      <c r="A1" s="370"/>
      <c r="B1" s="403" t="s">
        <v>507</v>
      </c>
      <c r="C1" s="370"/>
      <c r="D1" s="404"/>
      <c r="E1" s="372"/>
      <c r="F1" s="405"/>
      <c r="G1" s="372"/>
      <c r="H1" s="405"/>
      <c r="I1" s="404"/>
      <c r="J1" s="370"/>
    </row>
    <row r="2" s="397" customFormat="1" ht="25" customHeight="1" spans="1:10">
      <c r="A2" s="406" t="s">
        <v>508</v>
      </c>
      <c r="B2" s="407"/>
      <c r="C2" s="406"/>
      <c r="D2" s="408"/>
      <c r="E2" s="407"/>
      <c r="F2" s="406"/>
      <c r="G2" s="407"/>
      <c r="H2" s="406"/>
      <c r="I2" s="408"/>
      <c r="J2" s="406"/>
    </row>
    <row r="3" s="398" customFormat="1" ht="15" customHeight="1" spans="1:10">
      <c r="A3" s="409"/>
      <c r="B3" s="410"/>
      <c r="C3" s="409"/>
      <c r="D3" s="411"/>
      <c r="E3" s="412"/>
      <c r="F3" s="409"/>
      <c r="G3" s="412"/>
      <c r="H3" s="413"/>
      <c r="I3" s="411"/>
      <c r="J3" s="357" t="s">
        <v>5</v>
      </c>
    </row>
    <row r="4" ht="30" customHeight="1" spans="1:10">
      <c r="A4" s="414" t="s">
        <v>509</v>
      </c>
      <c r="B4" s="415" t="s">
        <v>509</v>
      </c>
      <c r="C4" s="416"/>
      <c r="D4" s="417"/>
      <c r="E4" s="418"/>
      <c r="F4" s="419" t="s">
        <v>510</v>
      </c>
      <c r="G4" s="420" t="s">
        <v>510</v>
      </c>
      <c r="H4" s="421"/>
      <c r="I4" s="417"/>
      <c r="J4" s="459"/>
    </row>
    <row r="5" s="399" customFormat="1" ht="30" customHeight="1" spans="1:10">
      <c r="A5" s="422" t="s">
        <v>511</v>
      </c>
      <c r="B5" s="423" t="s">
        <v>512</v>
      </c>
      <c r="C5" s="424" t="s">
        <v>6</v>
      </c>
      <c r="D5" s="425" t="s">
        <v>513</v>
      </c>
      <c r="E5" s="426" t="s">
        <v>11</v>
      </c>
      <c r="F5" s="427" t="s">
        <v>511</v>
      </c>
      <c r="G5" s="428" t="s">
        <v>512</v>
      </c>
      <c r="H5" s="429" t="s">
        <v>6</v>
      </c>
      <c r="I5" s="425" t="s">
        <v>513</v>
      </c>
      <c r="J5" s="460" t="s">
        <v>11</v>
      </c>
    </row>
    <row r="6" ht="25" customHeight="1" spans="1:11">
      <c r="A6" s="430"/>
      <c r="B6" s="423" t="s">
        <v>514</v>
      </c>
      <c r="C6" s="424"/>
      <c r="D6" s="425">
        <f>D7+D12+D65+D127</f>
        <v>25410.54</v>
      </c>
      <c r="E6" s="431"/>
      <c r="F6" s="432"/>
      <c r="G6" s="428" t="s">
        <v>515</v>
      </c>
      <c r="H6" s="429"/>
      <c r="I6" s="425">
        <f>I7+I12+I30+I64+I67</f>
        <v>3675.837489</v>
      </c>
      <c r="J6" s="426"/>
      <c r="K6" s="400">
        <f>D6-I6</f>
        <v>21734.702511</v>
      </c>
    </row>
    <row r="7" ht="25" customHeight="1" spans="1:10">
      <c r="A7" s="422"/>
      <c r="B7" s="423" t="s">
        <v>516</v>
      </c>
      <c r="C7" s="424"/>
      <c r="D7" s="425">
        <f>SUM(D8:D11)</f>
        <v>10297.15</v>
      </c>
      <c r="E7" s="431"/>
      <c r="F7" s="432"/>
      <c r="G7" s="423" t="s">
        <v>516</v>
      </c>
      <c r="H7" s="424"/>
      <c r="I7" s="425">
        <f>SUM(I8:I11)</f>
        <v>560.097489</v>
      </c>
      <c r="J7" s="460"/>
    </row>
    <row r="8" ht="25" customHeight="1" spans="1:10">
      <c r="A8" s="430" t="s">
        <v>517</v>
      </c>
      <c r="B8" s="433" t="s">
        <v>518</v>
      </c>
      <c r="C8" s="434" t="s">
        <v>519</v>
      </c>
      <c r="D8" s="435">
        <f>2926.95-280.77+22.97</f>
        <v>2669.15</v>
      </c>
      <c r="E8" s="436" t="s">
        <v>520</v>
      </c>
      <c r="F8" s="437" t="s">
        <v>521</v>
      </c>
      <c r="G8" s="438" t="s">
        <v>522</v>
      </c>
      <c r="H8" s="439" t="s">
        <v>523</v>
      </c>
      <c r="I8" s="435">
        <v>30.511125</v>
      </c>
      <c r="J8" s="456" t="s">
        <v>524</v>
      </c>
    </row>
    <row r="9" ht="25" customHeight="1" spans="1:10">
      <c r="A9" s="430" t="s">
        <v>525</v>
      </c>
      <c r="B9" s="433" t="s">
        <v>526</v>
      </c>
      <c r="C9" s="440" t="s">
        <v>527</v>
      </c>
      <c r="D9" s="435">
        <v>1966</v>
      </c>
      <c r="E9" s="441" t="s">
        <v>528</v>
      </c>
      <c r="F9" s="437" t="s">
        <v>521</v>
      </c>
      <c r="G9" s="438" t="s">
        <v>522</v>
      </c>
      <c r="H9" s="439" t="s">
        <v>529</v>
      </c>
      <c r="I9" s="435">
        <f>503.6961-34.5</f>
        <v>469.1961</v>
      </c>
      <c r="J9" s="456" t="s">
        <v>524</v>
      </c>
    </row>
    <row r="10" ht="25" customHeight="1" spans="1:10">
      <c r="A10" s="430" t="s">
        <v>530</v>
      </c>
      <c r="B10" s="438" t="s">
        <v>522</v>
      </c>
      <c r="C10" s="439" t="s">
        <v>531</v>
      </c>
      <c r="D10" s="435">
        <v>2300</v>
      </c>
      <c r="E10" s="436" t="s">
        <v>532</v>
      </c>
      <c r="F10" s="437" t="s">
        <v>521</v>
      </c>
      <c r="G10" s="438" t="s">
        <v>522</v>
      </c>
      <c r="H10" s="434" t="s">
        <v>533</v>
      </c>
      <c r="I10" s="435">
        <v>19.790264</v>
      </c>
      <c r="J10" s="456" t="s">
        <v>524</v>
      </c>
    </row>
    <row r="11" ht="25" customHeight="1" spans="1:10">
      <c r="A11" s="430" t="s">
        <v>530</v>
      </c>
      <c r="B11" s="438" t="s">
        <v>522</v>
      </c>
      <c r="C11" s="439" t="s">
        <v>534</v>
      </c>
      <c r="D11" s="435">
        <v>3362</v>
      </c>
      <c r="E11" s="441" t="s">
        <v>535</v>
      </c>
      <c r="F11" s="437" t="s">
        <v>536</v>
      </c>
      <c r="G11" s="438" t="s">
        <v>518</v>
      </c>
      <c r="H11" s="439" t="s">
        <v>537</v>
      </c>
      <c r="I11" s="435">
        <v>40.6</v>
      </c>
      <c r="J11" s="456" t="s">
        <v>538</v>
      </c>
    </row>
    <row r="12" ht="25" customHeight="1" spans="1:10">
      <c r="A12" s="422"/>
      <c r="B12" s="423" t="s">
        <v>539</v>
      </c>
      <c r="C12" s="424"/>
      <c r="D12" s="425">
        <f>SUM(D13:D64)</f>
        <v>6094.1</v>
      </c>
      <c r="E12" s="431"/>
      <c r="F12" s="432"/>
      <c r="G12" s="428" t="s">
        <v>539</v>
      </c>
      <c r="H12" s="429"/>
      <c r="I12" s="425">
        <f>SUM(I13:I29)</f>
        <v>1096.48</v>
      </c>
      <c r="J12" s="461"/>
    </row>
    <row r="13" ht="34" customHeight="1" spans="1:10">
      <c r="A13" s="442" t="s">
        <v>540</v>
      </c>
      <c r="B13" s="205" t="s">
        <v>541</v>
      </c>
      <c r="C13" s="124" t="s">
        <v>542</v>
      </c>
      <c r="D13" s="443">
        <v>40</v>
      </c>
      <c r="E13" s="444" t="s">
        <v>543</v>
      </c>
      <c r="F13" s="445" t="s">
        <v>540</v>
      </c>
      <c r="G13" s="438" t="s">
        <v>522</v>
      </c>
      <c r="H13" s="439" t="s">
        <v>544</v>
      </c>
      <c r="I13" s="435">
        <v>203</v>
      </c>
      <c r="J13" s="456" t="s">
        <v>545</v>
      </c>
    </row>
    <row r="14" ht="30" customHeight="1" spans="1:10">
      <c r="A14" s="442" t="s">
        <v>540</v>
      </c>
      <c r="B14" s="205" t="s">
        <v>541</v>
      </c>
      <c r="C14" s="124" t="s">
        <v>546</v>
      </c>
      <c r="D14" s="443">
        <v>0.88</v>
      </c>
      <c r="E14" s="446"/>
      <c r="F14" s="437" t="s">
        <v>540</v>
      </c>
      <c r="G14" s="438" t="s">
        <v>522</v>
      </c>
      <c r="H14" s="434" t="s">
        <v>547</v>
      </c>
      <c r="I14" s="450">
        <v>204.91</v>
      </c>
      <c r="J14" s="456" t="s">
        <v>548</v>
      </c>
    </row>
    <row r="15" ht="40" customHeight="1" spans="1:10">
      <c r="A15" s="442" t="s">
        <v>540</v>
      </c>
      <c r="B15" s="205" t="s">
        <v>541</v>
      </c>
      <c r="C15" s="124" t="s">
        <v>549</v>
      </c>
      <c r="D15" s="443">
        <v>209</v>
      </c>
      <c r="E15" s="447"/>
      <c r="F15" s="437" t="s">
        <v>540</v>
      </c>
      <c r="G15" s="438" t="s">
        <v>522</v>
      </c>
      <c r="H15" s="448" t="s">
        <v>550</v>
      </c>
      <c r="I15" s="450">
        <v>485.23</v>
      </c>
      <c r="J15" s="456" t="s">
        <v>548</v>
      </c>
    </row>
    <row r="16" ht="30" customHeight="1" spans="1:10">
      <c r="A16" s="430" t="s">
        <v>551</v>
      </c>
      <c r="B16" s="438" t="s">
        <v>522</v>
      </c>
      <c r="C16" s="124" t="s">
        <v>552</v>
      </c>
      <c r="D16" s="435">
        <v>300</v>
      </c>
      <c r="E16" s="436" t="s">
        <v>553</v>
      </c>
      <c r="F16" s="437" t="s">
        <v>540</v>
      </c>
      <c r="G16" s="438" t="s">
        <v>522</v>
      </c>
      <c r="H16" s="124" t="s">
        <v>554</v>
      </c>
      <c r="I16" s="435">
        <v>50</v>
      </c>
      <c r="J16" s="456" t="s">
        <v>545</v>
      </c>
    </row>
    <row r="17" ht="40" customHeight="1" spans="1:10">
      <c r="A17" s="430" t="s">
        <v>530</v>
      </c>
      <c r="B17" s="438" t="s">
        <v>522</v>
      </c>
      <c r="C17" s="449" t="s">
        <v>555</v>
      </c>
      <c r="D17" s="450">
        <v>4.8</v>
      </c>
      <c r="E17" s="436" t="s">
        <v>532</v>
      </c>
      <c r="F17" s="437" t="s">
        <v>551</v>
      </c>
      <c r="G17" s="438" t="s">
        <v>522</v>
      </c>
      <c r="H17" s="124" t="s">
        <v>556</v>
      </c>
      <c r="I17" s="435">
        <v>15</v>
      </c>
      <c r="J17" s="456" t="s">
        <v>557</v>
      </c>
    </row>
    <row r="18" ht="40" customHeight="1" spans="1:10">
      <c r="A18" s="430" t="s">
        <v>517</v>
      </c>
      <c r="B18" s="438" t="s">
        <v>522</v>
      </c>
      <c r="C18" s="124" t="s">
        <v>558</v>
      </c>
      <c r="D18" s="450">
        <f>648.25</f>
        <v>648.25</v>
      </c>
      <c r="E18" s="436"/>
      <c r="F18" s="437" t="s">
        <v>530</v>
      </c>
      <c r="G18" s="438" t="s">
        <v>522</v>
      </c>
      <c r="H18" s="448" t="s">
        <v>559</v>
      </c>
      <c r="I18" s="435">
        <v>30</v>
      </c>
      <c r="J18" s="456" t="s">
        <v>560</v>
      </c>
    </row>
    <row r="19" ht="30" customHeight="1" spans="1:10">
      <c r="A19" s="430" t="s">
        <v>540</v>
      </c>
      <c r="B19" s="433" t="s">
        <v>541</v>
      </c>
      <c r="C19" s="124" t="s">
        <v>561</v>
      </c>
      <c r="D19" s="450">
        <v>17.41</v>
      </c>
      <c r="E19" s="436" t="s">
        <v>562</v>
      </c>
      <c r="F19" s="437" t="s">
        <v>530</v>
      </c>
      <c r="G19" s="438" t="s">
        <v>522</v>
      </c>
      <c r="H19" s="448" t="s">
        <v>563</v>
      </c>
      <c r="I19" s="450">
        <v>0.1</v>
      </c>
      <c r="J19" s="456" t="s">
        <v>564</v>
      </c>
    </row>
    <row r="20" ht="42" customHeight="1" spans="1:10">
      <c r="A20" s="430" t="s">
        <v>540</v>
      </c>
      <c r="B20" s="433" t="s">
        <v>541</v>
      </c>
      <c r="C20" s="440" t="s">
        <v>565</v>
      </c>
      <c r="D20" s="435">
        <v>62</v>
      </c>
      <c r="E20" s="441" t="s">
        <v>566</v>
      </c>
      <c r="F20" s="451" t="s">
        <v>525</v>
      </c>
      <c r="G20" s="438" t="s">
        <v>567</v>
      </c>
      <c r="H20" s="434" t="s">
        <v>568</v>
      </c>
      <c r="I20" s="435">
        <v>0.51</v>
      </c>
      <c r="J20" s="456" t="s">
        <v>569</v>
      </c>
    </row>
    <row r="21" ht="42" customHeight="1" spans="1:10">
      <c r="A21" s="430" t="s">
        <v>540</v>
      </c>
      <c r="B21" s="433" t="s">
        <v>541</v>
      </c>
      <c r="C21" s="434" t="s">
        <v>570</v>
      </c>
      <c r="D21" s="435">
        <v>20.2</v>
      </c>
      <c r="E21" s="436" t="s">
        <v>566</v>
      </c>
      <c r="F21" s="451" t="s">
        <v>525</v>
      </c>
      <c r="G21" s="438" t="s">
        <v>571</v>
      </c>
      <c r="H21" s="434" t="s">
        <v>572</v>
      </c>
      <c r="I21" s="435">
        <v>5</v>
      </c>
      <c r="J21" s="456" t="s">
        <v>560</v>
      </c>
    </row>
    <row r="22" ht="50" customHeight="1" spans="1:10">
      <c r="A22" s="430" t="s">
        <v>540</v>
      </c>
      <c r="B22" s="433" t="s">
        <v>541</v>
      </c>
      <c r="C22" s="434" t="s">
        <v>573</v>
      </c>
      <c r="D22" s="435">
        <v>65</v>
      </c>
      <c r="E22" s="436" t="s">
        <v>574</v>
      </c>
      <c r="F22" s="451" t="s">
        <v>525</v>
      </c>
      <c r="G22" s="438" t="s">
        <v>571</v>
      </c>
      <c r="H22" s="434" t="s">
        <v>81</v>
      </c>
      <c r="I22" s="435">
        <v>4</v>
      </c>
      <c r="J22" s="456" t="s">
        <v>560</v>
      </c>
    </row>
    <row r="23" ht="30" customHeight="1" spans="1:10">
      <c r="A23" s="430" t="s">
        <v>540</v>
      </c>
      <c r="B23" s="438" t="s">
        <v>575</v>
      </c>
      <c r="C23" s="434" t="s">
        <v>576</v>
      </c>
      <c r="D23" s="435">
        <v>200</v>
      </c>
      <c r="E23" s="436" t="s">
        <v>577</v>
      </c>
      <c r="F23" s="451" t="s">
        <v>525</v>
      </c>
      <c r="G23" s="438" t="s">
        <v>571</v>
      </c>
      <c r="H23" s="434" t="s">
        <v>578</v>
      </c>
      <c r="I23" s="435">
        <v>11</v>
      </c>
      <c r="J23" s="456" t="s">
        <v>560</v>
      </c>
    </row>
    <row r="24" ht="30" customHeight="1" spans="1:10">
      <c r="A24" s="430" t="s">
        <v>540</v>
      </c>
      <c r="B24" s="438" t="s">
        <v>579</v>
      </c>
      <c r="C24" s="434" t="s">
        <v>580</v>
      </c>
      <c r="D24" s="435">
        <v>120</v>
      </c>
      <c r="E24" s="436" t="s">
        <v>581</v>
      </c>
      <c r="F24" s="451" t="s">
        <v>525</v>
      </c>
      <c r="G24" s="438" t="s">
        <v>582</v>
      </c>
      <c r="H24" s="434" t="s">
        <v>583</v>
      </c>
      <c r="I24" s="435">
        <v>52</v>
      </c>
      <c r="J24" s="456" t="s">
        <v>560</v>
      </c>
    </row>
    <row r="25" ht="40" customHeight="1" spans="1:10">
      <c r="A25" s="430" t="s">
        <v>540</v>
      </c>
      <c r="B25" s="438" t="s">
        <v>584</v>
      </c>
      <c r="C25" s="434" t="s">
        <v>585</v>
      </c>
      <c r="D25" s="435">
        <v>60</v>
      </c>
      <c r="E25" s="436" t="s">
        <v>586</v>
      </c>
      <c r="F25" s="451" t="s">
        <v>525</v>
      </c>
      <c r="G25" s="438" t="s">
        <v>587</v>
      </c>
      <c r="H25" s="434" t="s">
        <v>588</v>
      </c>
      <c r="I25" s="435">
        <v>10</v>
      </c>
      <c r="J25" s="456" t="s">
        <v>560</v>
      </c>
    </row>
    <row r="26" ht="40" customHeight="1" spans="1:10">
      <c r="A26" s="430" t="s">
        <v>540</v>
      </c>
      <c r="B26" s="438" t="s">
        <v>589</v>
      </c>
      <c r="C26" s="434" t="s">
        <v>590</v>
      </c>
      <c r="D26" s="435">
        <v>320</v>
      </c>
      <c r="E26" s="436" t="s">
        <v>591</v>
      </c>
      <c r="F26" s="451" t="s">
        <v>525</v>
      </c>
      <c r="G26" s="438" t="s">
        <v>522</v>
      </c>
      <c r="H26" s="434" t="s">
        <v>592</v>
      </c>
      <c r="I26" s="435">
        <v>1.8</v>
      </c>
      <c r="J26" s="456" t="s">
        <v>569</v>
      </c>
    </row>
    <row r="27" ht="30" customHeight="1" spans="1:10">
      <c r="A27" s="430" t="s">
        <v>525</v>
      </c>
      <c r="B27" s="438" t="s">
        <v>587</v>
      </c>
      <c r="C27" s="434" t="s">
        <v>593</v>
      </c>
      <c r="D27" s="435">
        <v>0.77</v>
      </c>
      <c r="E27" s="436" t="s">
        <v>594</v>
      </c>
      <c r="F27" s="437" t="s">
        <v>530</v>
      </c>
      <c r="G27" s="438" t="s">
        <v>595</v>
      </c>
      <c r="H27" s="434" t="s">
        <v>596</v>
      </c>
      <c r="I27" s="450">
        <v>20</v>
      </c>
      <c r="J27" s="456" t="s">
        <v>569</v>
      </c>
    </row>
    <row r="28" ht="30" customHeight="1" spans="1:10">
      <c r="A28" s="430" t="s">
        <v>525</v>
      </c>
      <c r="B28" s="438" t="s">
        <v>587</v>
      </c>
      <c r="C28" s="434" t="s">
        <v>597</v>
      </c>
      <c r="D28" s="435">
        <v>8.02</v>
      </c>
      <c r="E28" s="452" t="s">
        <v>594</v>
      </c>
      <c r="F28" s="437" t="s">
        <v>530</v>
      </c>
      <c r="G28" s="438" t="s">
        <v>595</v>
      </c>
      <c r="H28" s="448" t="s">
        <v>598</v>
      </c>
      <c r="I28" s="450">
        <v>3.87</v>
      </c>
      <c r="J28" s="456" t="s">
        <v>569</v>
      </c>
    </row>
    <row r="29" ht="30" customHeight="1" spans="1:10">
      <c r="A29" s="430" t="s">
        <v>525</v>
      </c>
      <c r="B29" s="438" t="s">
        <v>587</v>
      </c>
      <c r="C29" s="434" t="s">
        <v>599</v>
      </c>
      <c r="D29" s="435">
        <v>20</v>
      </c>
      <c r="E29" s="453" t="s">
        <v>600</v>
      </c>
      <c r="F29" s="437" t="s">
        <v>530</v>
      </c>
      <c r="G29" s="454" t="s">
        <v>601</v>
      </c>
      <c r="H29" s="448" t="s">
        <v>602</v>
      </c>
      <c r="I29" s="450">
        <v>0.06</v>
      </c>
      <c r="J29" s="456" t="s">
        <v>569</v>
      </c>
    </row>
    <row r="30" ht="30" customHeight="1" spans="1:10">
      <c r="A30" s="430" t="s">
        <v>525</v>
      </c>
      <c r="B30" s="438" t="s">
        <v>587</v>
      </c>
      <c r="C30" s="434" t="s">
        <v>603</v>
      </c>
      <c r="D30" s="435">
        <v>1.34</v>
      </c>
      <c r="E30" s="452" t="s">
        <v>594</v>
      </c>
      <c r="F30" s="451"/>
      <c r="G30" s="423" t="s">
        <v>604</v>
      </c>
      <c r="H30" s="424"/>
      <c r="I30" s="425">
        <f>SUM(I31:I63)</f>
        <v>931.24</v>
      </c>
      <c r="J30" s="461"/>
    </row>
    <row r="31" ht="50" customHeight="1" spans="1:10">
      <c r="A31" s="430" t="s">
        <v>525</v>
      </c>
      <c r="B31" s="438" t="s">
        <v>587</v>
      </c>
      <c r="C31" s="434" t="s">
        <v>605</v>
      </c>
      <c r="D31" s="435">
        <v>74.7</v>
      </c>
      <c r="E31" s="452" t="s">
        <v>594</v>
      </c>
      <c r="F31" s="437" t="s">
        <v>540</v>
      </c>
      <c r="G31" s="433" t="s">
        <v>606</v>
      </c>
      <c r="H31" s="124" t="s">
        <v>607</v>
      </c>
      <c r="I31" s="435">
        <v>15.7</v>
      </c>
      <c r="J31" s="456" t="s">
        <v>608</v>
      </c>
    </row>
    <row r="32" ht="40" customHeight="1" spans="1:10">
      <c r="A32" s="430" t="s">
        <v>551</v>
      </c>
      <c r="B32" s="433" t="s">
        <v>609</v>
      </c>
      <c r="C32" s="124" t="s">
        <v>610</v>
      </c>
      <c r="D32" s="450">
        <v>3.1</v>
      </c>
      <c r="E32" s="436" t="s">
        <v>611</v>
      </c>
      <c r="F32" s="437" t="s">
        <v>540</v>
      </c>
      <c r="G32" s="433" t="s">
        <v>612</v>
      </c>
      <c r="H32" s="440" t="s">
        <v>613</v>
      </c>
      <c r="I32" s="435">
        <v>3.44</v>
      </c>
      <c r="J32" s="456" t="s">
        <v>614</v>
      </c>
    </row>
    <row r="33" ht="40" customHeight="1" spans="1:10">
      <c r="A33" s="430" t="s">
        <v>551</v>
      </c>
      <c r="B33" s="433" t="s">
        <v>609</v>
      </c>
      <c r="C33" s="124" t="s">
        <v>615</v>
      </c>
      <c r="D33" s="450">
        <v>5</v>
      </c>
      <c r="E33" s="436" t="s">
        <v>616</v>
      </c>
      <c r="F33" s="437" t="s">
        <v>540</v>
      </c>
      <c r="G33" s="433" t="s">
        <v>617</v>
      </c>
      <c r="H33" s="440" t="s">
        <v>618</v>
      </c>
      <c r="I33" s="435">
        <v>0.07</v>
      </c>
      <c r="J33" s="456" t="s">
        <v>614</v>
      </c>
    </row>
    <row r="34" ht="40" customHeight="1" spans="1:10">
      <c r="A34" s="430" t="s">
        <v>551</v>
      </c>
      <c r="B34" s="433" t="s">
        <v>609</v>
      </c>
      <c r="C34" s="124" t="s">
        <v>619</v>
      </c>
      <c r="D34" s="450">
        <v>144.97</v>
      </c>
      <c r="E34" s="436" t="s">
        <v>620</v>
      </c>
      <c r="F34" s="437" t="s">
        <v>540</v>
      </c>
      <c r="G34" s="433" t="s">
        <v>617</v>
      </c>
      <c r="H34" s="440" t="s">
        <v>621</v>
      </c>
      <c r="I34" s="435">
        <v>2.71</v>
      </c>
      <c r="J34" s="456" t="s">
        <v>614</v>
      </c>
    </row>
    <row r="35" ht="40" customHeight="1" spans="1:10">
      <c r="A35" s="430" t="s">
        <v>551</v>
      </c>
      <c r="B35" s="433" t="s">
        <v>609</v>
      </c>
      <c r="C35" s="124" t="s">
        <v>622</v>
      </c>
      <c r="D35" s="450">
        <v>10</v>
      </c>
      <c r="E35" s="436" t="s">
        <v>623</v>
      </c>
      <c r="F35" s="437" t="s">
        <v>540</v>
      </c>
      <c r="G35" s="433" t="s">
        <v>617</v>
      </c>
      <c r="H35" s="448" t="s">
        <v>624</v>
      </c>
      <c r="I35" s="450">
        <v>90.77</v>
      </c>
      <c r="J35" s="456" t="s">
        <v>625</v>
      </c>
    </row>
    <row r="36" ht="49" customHeight="1" spans="1:10">
      <c r="A36" s="430" t="s">
        <v>551</v>
      </c>
      <c r="B36" s="433" t="s">
        <v>609</v>
      </c>
      <c r="C36" s="124" t="s">
        <v>626</v>
      </c>
      <c r="D36" s="450">
        <v>100</v>
      </c>
      <c r="E36" s="436" t="s">
        <v>627</v>
      </c>
      <c r="F36" s="437" t="s">
        <v>628</v>
      </c>
      <c r="G36" s="433" t="s">
        <v>582</v>
      </c>
      <c r="H36" s="448" t="s">
        <v>629</v>
      </c>
      <c r="I36" s="450">
        <v>0.53</v>
      </c>
      <c r="J36" s="456" t="s">
        <v>630</v>
      </c>
    </row>
    <row r="37" ht="31" customHeight="1" spans="1:10">
      <c r="A37" s="430" t="s">
        <v>551</v>
      </c>
      <c r="B37" s="438" t="s">
        <v>631</v>
      </c>
      <c r="C37" s="434" t="s">
        <v>632</v>
      </c>
      <c r="D37" s="435">
        <v>144</v>
      </c>
      <c r="E37" s="436" t="s">
        <v>633</v>
      </c>
      <c r="F37" s="437" t="s">
        <v>551</v>
      </c>
      <c r="G37" s="433" t="s">
        <v>609</v>
      </c>
      <c r="H37" s="124" t="s">
        <v>634</v>
      </c>
      <c r="I37" s="435">
        <v>2</v>
      </c>
      <c r="J37" s="456" t="s">
        <v>557</v>
      </c>
    </row>
    <row r="38" ht="30" customHeight="1" spans="1:10">
      <c r="A38" s="430" t="s">
        <v>551</v>
      </c>
      <c r="B38" s="438" t="s">
        <v>635</v>
      </c>
      <c r="C38" s="434" t="s">
        <v>636</v>
      </c>
      <c r="D38" s="435">
        <v>100</v>
      </c>
      <c r="E38" s="436" t="s">
        <v>637</v>
      </c>
      <c r="F38" s="437" t="s">
        <v>551</v>
      </c>
      <c r="G38" s="433" t="s">
        <v>609</v>
      </c>
      <c r="H38" s="440" t="s">
        <v>638</v>
      </c>
      <c r="I38" s="435">
        <v>12.6</v>
      </c>
      <c r="J38" s="456" t="s">
        <v>557</v>
      </c>
    </row>
    <row r="39" ht="30" customHeight="1" spans="1:10">
      <c r="A39" s="430" t="s">
        <v>530</v>
      </c>
      <c r="B39" s="438" t="s">
        <v>639</v>
      </c>
      <c r="C39" s="439" t="s">
        <v>640</v>
      </c>
      <c r="D39" s="450">
        <v>8.21</v>
      </c>
      <c r="E39" s="436" t="s">
        <v>641</v>
      </c>
      <c r="F39" s="437" t="s">
        <v>551</v>
      </c>
      <c r="G39" s="433" t="s">
        <v>642</v>
      </c>
      <c r="H39" s="440" t="s">
        <v>385</v>
      </c>
      <c r="I39" s="435">
        <v>5</v>
      </c>
      <c r="J39" s="456" t="s">
        <v>557</v>
      </c>
    </row>
    <row r="40" ht="30" customHeight="1" spans="1:10">
      <c r="A40" s="430" t="s">
        <v>530</v>
      </c>
      <c r="B40" s="438" t="s">
        <v>639</v>
      </c>
      <c r="C40" s="439" t="s">
        <v>643</v>
      </c>
      <c r="D40" s="450">
        <v>5.28</v>
      </c>
      <c r="E40" s="436" t="s">
        <v>644</v>
      </c>
      <c r="F40" s="437" t="s">
        <v>551</v>
      </c>
      <c r="G40" s="454" t="s">
        <v>645</v>
      </c>
      <c r="H40" s="448" t="s">
        <v>646</v>
      </c>
      <c r="I40" s="450">
        <v>7</v>
      </c>
      <c r="J40" s="456" t="s">
        <v>557</v>
      </c>
    </row>
    <row r="41" ht="30" customHeight="1" spans="1:10">
      <c r="A41" s="430" t="s">
        <v>530</v>
      </c>
      <c r="B41" s="438" t="s">
        <v>639</v>
      </c>
      <c r="C41" s="439" t="s">
        <v>647</v>
      </c>
      <c r="D41" s="450">
        <v>13.22</v>
      </c>
      <c r="E41" s="436" t="s">
        <v>648</v>
      </c>
      <c r="F41" s="437" t="s">
        <v>530</v>
      </c>
      <c r="G41" s="438" t="s">
        <v>649</v>
      </c>
      <c r="H41" s="440" t="s">
        <v>650</v>
      </c>
      <c r="I41" s="435">
        <v>13.5</v>
      </c>
      <c r="J41" s="456" t="s">
        <v>651</v>
      </c>
    </row>
    <row r="42" ht="30" customHeight="1" spans="1:10">
      <c r="A42" s="430" t="s">
        <v>530</v>
      </c>
      <c r="B42" s="438" t="s">
        <v>652</v>
      </c>
      <c r="C42" s="439" t="s">
        <v>653</v>
      </c>
      <c r="D42" s="450">
        <v>3</v>
      </c>
      <c r="E42" s="436" t="s">
        <v>654</v>
      </c>
      <c r="F42" s="437" t="s">
        <v>530</v>
      </c>
      <c r="G42" s="438" t="s">
        <v>649</v>
      </c>
      <c r="H42" s="440" t="s">
        <v>655</v>
      </c>
      <c r="I42" s="435">
        <v>3.11</v>
      </c>
      <c r="J42" s="462" t="s">
        <v>569</v>
      </c>
    </row>
    <row r="43" ht="40" customHeight="1" spans="1:10">
      <c r="A43" s="430" t="s">
        <v>530</v>
      </c>
      <c r="B43" s="438" t="s">
        <v>652</v>
      </c>
      <c r="C43" s="455" t="s">
        <v>656</v>
      </c>
      <c r="D43" s="435">
        <v>100</v>
      </c>
      <c r="E43" s="436" t="s">
        <v>532</v>
      </c>
      <c r="F43" s="437" t="s">
        <v>530</v>
      </c>
      <c r="G43" s="438" t="s">
        <v>595</v>
      </c>
      <c r="H43" s="440" t="s">
        <v>657</v>
      </c>
      <c r="I43" s="435">
        <v>40</v>
      </c>
      <c r="J43" s="462" t="s">
        <v>658</v>
      </c>
    </row>
    <row r="44" ht="30" customHeight="1" spans="1:10">
      <c r="A44" s="430" t="s">
        <v>530</v>
      </c>
      <c r="B44" s="438" t="s">
        <v>652</v>
      </c>
      <c r="C44" s="455" t="s">
        <v>659</v>
      </c>
      <c r="D44" s="435">
        <v>320</v>
      </c>
      <c r="E44" s="436" t="s">
        <v>532</v>
      </c>
      <c r="F44" s="437" t="s">
        <v>530</v>
      </c>
      <c r="G44" s="438" t="s">
        <v>639</v>
      </c>
      <c r="H44" s="440" t="s">
        <v>660</v>
      </c>
      <c r="I44" s="435">
        <v>0.2</v>
      </c>
      <c r="J44" s="456" t="s">
        <v>569</v>
      </c>
    </row>
    <row r="45" ht="30" customHeight="1" spans="1:10">
      <c r="A45" s="430" t="s">
        <v>530</v>
      </c>
      <c r="B45" s="438" t="s">
        <v>652</v>
      </c>
      <c r="C45" s="455" t="s">
        <v>661</v>
      </c>
      <c r="D45" s="435">
        <v>2.3</v>
      </c>
      <c r="E45" s="436" t="s">
        <v>532</v>
      </c>
      <c r="F45" s="437" t="s">
        <v>530</v>
      </c>
      <c r="G45" s="438" t="s">
        <v>652</v>
      </c>
      <c r="H45" s="440" t="s">
        <v>662</v>
      </c>
      <c r="I45" s="435">
        <v>0.48</v>
      </c>
      <c r="J45" s="456" t="s">
        <v>569</v>
      </c>
    </row>
    <row r="46" ht="25" customHeight="1" spans="1:10">
      <c r="A46" s="430" t="s">
        <v>530</v>
      </c>
      <c r="B46" s="438" t="s">
        <v>652</v>
      </c>
      <c r="C46" s="439" t="s">
        <v>663</v>
      </c>
      <c r="D46" s="435">
        <v>20</v>
      </c>
      <c r="E46" s="436" t="s">
        <v>664</v>
      </c>
      <c r="F46" s="437" t="s">
        <v>536</v>
      </c>
      <c r="G46" s="433" t="s">
        <v>587</v>
      </c>
      <c r="H46" s="440" t="s">
        <v>665</v>
      </c>
      <c r="I46" s="435">
        <v>20</v>
      </c>
      <c r="J46" s="456" t="s">
        <v>666</v>
      </c>
    </row>
    <row r="47" ht="25" customHeight="1" spans="1:10">
      <c r="A47" s="430" t="s">
        <v>530</v>
      </c>
      <c r="B47" s="438" t="s">
        <v>652</v>
      </c>
      <c r="C47" s="439" t="s">
        <v>667</v>
      </c>
      <c r="D47" s="435">
        <v>162</v>
      </c>
      <c r="E47" s="436" t="s">
        <v>532</v>
      </c>
      <c r="F47" s="437" t="s">
        <v>536</v>
      </c>
      <c r="G47" s="433" t="s">
        <v>589</v>
      </c>
      <c r="H47" s="440" t="s">
        <v>668</v>
      </c>
      <c r="I47" s="435">
        <v>10.9</v>
      </c>
      <c r="J47" s="456" t="s">
        <v>630</v>
      </c>
    </row>
    <row r="48" ht="25" customHeight="1" spans="1:10">
      <c r="A48" s="430" t="s">
        <v>530</v>
      </c>
      <c r="B48" s="438" t="s">
        <v>601</v>
      </c>
      <c r="C48" s="439" t="s">
        <v>669</v>
      </c>
      <c r="D48" s="435">
        <v>98</v>
      </c>
      <c r="E48" s="436" t="s">
        <v>670</v>
      </c>
      <c r="F48" s="437" t="s">
        <v>536</v>
      </c>
      <c r="G48" s="433" t="s">
        <v>589</v>
      </c>
      <c r="H48" s="440" t="s">
        <v>671</v>
      </c>
      <c r="I48" s="435">
        <v>0.23</v>
      </c>
      <c r="J48" s="456" t="s">
        <v>630</v>
      </c>
    </row>
    <row r="49" ht="32" customHeight="1" spans="1:10">
      <c r="A49" s="430" t="s">
        <v>530</v>
      </c>
      <c r="B49" s="438" t="s">
        <v>601</v>
      </c>
      <c r="C49" s="439" t="s">
        <v>667</v>
      </c>
      <c r="D49" s="435">
        <v>0.08</v>
      </c>
      <c r="E49" s="436" t="s">
        <v>532</v>
      </c>
      <c r="F49" s="437" t="s">
        <v>536</v>
      </c>
      <c r="G49" s="454" t="s">
        <v>672</v>
      </c>
      <c r="H49" s="448" t="s">
        <v>673</v>
      </c>
      <c r="I49" s="450">
        <v>18</v>
      </c>
      <c r="J49" s="456" t="s">
        <v>674</v>
      </c>
    </row>
    <row r="50" ht="32" customHeight="1" spans="1:10">
      <c r="A50" s="430"/>
      <c r="B50" s="438" t="s">
        <v>601</v>
      </c>
      <c r="C50" s="439" t="s">
        <v>675</v>
      </c>
      <c r="D50" s="435">
        <v>36</v>
      </c>
      <c r="E50" s="436" t="s">
        <v>532</v>
      </c>
      <c r="F50" s="437"/>
      <c r="G50" s="454" t="s">
        <v>676</v>
      </c>
      <c r="H50" s="448" t="s">
        <v>677</v>
      </c>
      <c r="I50" s="450">
        <v>20</v>
      </c>
      <c r="J50" s="456" t="s">
        <v>557</v>
      </c>
    </row>
    <row r="51" ht="26" customHeight="1" spans="1:10">
      <c r="A51" s="430" t="s">
        <v>530</v>
      </c>
      <c r="B51" s="438" t="s">
        <v>649</v>
      </c>
      <c r="C51" s="439" t="s">
        <v>678</v>
      </c>
      <c r="D51" s="435">
        <v>6.24</v>
      </c>
      <c r="E51" s="436" t="s">
        <v>679</v>
      </c>
      <c r="F51" s="437" t="s">
        <v>551</v>
      </c>
      <c r="G51" s="438" t="s">
        <v>522</v>
      </c>
      <c r="H51" s="124" t="s">
        <v>680</v>
      </c>
      <c r="I51" s="435">
        <v>40</v>
      </c>
      <c r="J51" s="456" t="s">
        <v>557</v>
      </c>
    </row>
    <row r="52" ht="30" customHeight="1" spans="1:10">
      <c r="A52" s="430" t="s">
        <v>530</v>
      </c>
      <c r="B52" s="438" t="s">
        <v>649</v>
      </c>
      <c r="C52" s="439" t="s">
        <v>681</v>
      </c>
      <c r="D52" s="435">
        <v>400</v>
      </c>
      <c r="E52" s="436" t="s">
        <v>682</v>
      </c>
      <c r="F52" s="437" t="s">
        <v>551</v>
      </c>
      <c r="G52" s="438" t="s">
        <v>522</v>
      </c>
      <c r="H52" s="124" t="s">
        <v>683</v>
      </c>
      <c r="I52" s="435">
        <v>5</v>
      </c>
      <c r="J52" s="456" t="s">
        <v>557</v>
      </c>
    </row>
    <row r="53" ht="30" customHeight="1" spans="1:10">
      <c r="A53" s="430" t="s">
        <v>530</v>
      </c>
      <c r="B53" s="438" t="s">
        <v>649</v>
      </c>
      <c r="C53" s="439" t="s">
        <v>684</v>
      </c>
      <c r="D53" s="435">
        <v>72</v>
      </c>
      <c r="E53" s="436" t="s">
        <v>685</v>
      </c>
      <c r="F53" s="437" t="s">
        <v>551</v>
      </c>
      <c r="G53" s="438" t="s">
        <v>522</v>
      </c>
      <c r="H53" s="124" t="s">
        <v>686</v>
      </c>
      <c r="I53" s="435">
        <v>18</v>
      </c>
      <c r="J53" s="456" t="s">
        <v>557</v>
      </c>
    </row>
    <row r="54" ht="30" customHeight="1" spans="1:10">
      <c r="A54" s="430" t="s">
        <v>530</v>
      </c>
      <c r="B54" s="438" t="s">
        <v>649</v>
      </c>
      <c r="C54" s="439" t="s">
        <v>687</v>
      </c>
      <c r="D54" s="435">
        <v>125</v>
      </c>
      <c r="E54" s="436" t="s">
        <v>688</v>
      </c>
      <c r="F54" s="437" t="s">
        <v>551</v>
      </c>
      <c r="G54" s="438" t="s">
        <v>522</v>
      </c>
      <c r="H54" s="124" t="s">
        <v>689</v>
      </c>
      <c r="I54" s="435">
        <v>4</v>
      </c>
      <c r="J54" s="456" t="s">
        <v>557</v>
      </c>
    </row>
    <row r="55" ht="30" customHeight="1" spans="1:10">
      <c r="A55" s="430" t="s">
        <v>530</v>
      </c>
      <c r="B55" s="438" t="s">
        <v>649</v>
      </c>
      <c r="C55" s="439" t="s">
        <v>690</v>
      </c>
      <c r="D55" s="435">
        <v>2.38</v>
      </c>
      <c r="E55" s="436" t="s">
        <v>691</v>
      </c>
      <c r="F55" s="437" t="s">
        <v>551</v>
      </c>
      <c r="G55" s="438" t="s">
        <v>522</v>
      </c>
      <c r="H55" s="124" t="s">
        <v>390</v>
      </c>
      <c r="I55" s="435">
        <v>20</v>
      </c>
      <c r="J55" s="456" t="s">
        <v>557</v>
      </c>
    </row>
    <row r="56" ht="30" customHeight="1" spans="1:10">
      <c r="A56" s="430" t="s">
        <v>530</v>
      </c>
      <c r="B56" s="438" t="s">
        <v>649</v>
      </c>
      <c r="C56" s="439" t="s">
        <v>667</v>
      </c>
      <c r="D56" s="435">
        <v>47.52</v>
      </c>
      <c r="E56" s="436" t="s">
        <v>532</v>
      </c>
      <c r="F56" s="437" t="s">
        <v>551</v>
      </c>
      <c r="G56" s="438" t="s">
        <v>522</v>
      </c>
      <c r="H56" s="124" t="s">
        <v>692</v>
      </c>
      <c r="I56" s="435">
        <v>15</v>
      </c>
      <c r="J56" s="456" t="s">
        <v>557</v>
      </c>
    </row>
    <row r="57" ht="24" customHeight="1" spans="1:10">
      <c r="A57" s="430" t="s">
        <v>530</v>
      </c>
      <c r="B57" s="454" t="s">
        <v>693</v>
      </c>
      <c r="C57" s="434" t="s">
        <v>694</v>
      </c>
      <c r="D57" s="450">
        <v>11.6</v>
      </c>
      <c r="E57" s="436" t="s">
        <v>695</v>
      </c>
      <c r="F57" s="437" t="s">
        <v>551</v>
      </c>
      <c r="G57" s="438" t="s">
        <v>522</v>
      </c>
      <c r="H57" s="124" t="s">
        <v>397</v>
      </c>
      <c r="I57" s="435">
        <v>20</v>
      </c>
      <c r="J57" s="456" t="s">
        <v>557</v>
      </c>
    </row>
    <row r="58" ht="30" customHeight="1" spans="1:10">
      <c r="A58" s="430" t="s">
        <v>696</v>
      </c>
      <c r="B58" s="454" t="s">
        <v>693</v>
      </c>
      <c r="C58" s="434" t="s">
        <v>697</v>
      </c>
      <c r="D58" s="435">
        <v>250</v>
      </c>
      <c r="E58" s="456" t="s">
        <v>698</v>
      </c>
      <c r="F58" s="437" t="s">
        <v>551</v>
      </c>
      <c r="G58" s="438" t="s">
        <v>522</v>
      </c>
      <c r="H58" s="124" t="s">
        <v>699</v>
      </c>
      <c r="I58" s="435">
        <v>20</v>
      </c>
      <c r="J58" s="456" t="s">
        <v>557</v>
      </c>
    </row>
    <row r="59" s="400" customFormat="1" ht="80" customHeight="1" spans="1:10">
      <c r="A59" s="430" t="s">
        <v>696</v>
      </c>
      <c r="B59" s="454" t="s">
        <v>595</v>
      </c>
      <c r="C59" s="434" t="s">
        <v>700</v>
      </c>
      <c r="D59" s="435">
        <v>950</v>
      </c>
      <c r="E59" s="456" t="s">
        <v>701</v>
      </c>
      <c r="F59" s="437" t="s">
        <v>551</v>
      </c>
      <c r="G59" s="438" t="s">
        <v>522</v>
      </c>
      <c r="H59" s="124" t="s">
        <v>702</v>
      </c>
      <c r="I59" s="435">
        <v>5</v>
      </c>
      <c r="J59" s="456" t="s">
        <v>557</v>
      </c>
    </row>
    <row r="60" ht="80" customHeight="1" spans="1:10">
      <c r="A60" s="430" t="s">
        <v>530</v>
      </c>
      <c r="B60" s="438" t="s">
        <v>595</v>
      </c>
      <c r="C60" s="439" t="s">
        <v>703</v>
      </c>
      <c r="D60" s="435">
        <v>15</v>
      </c>
      <c r="E60" s="436" t="s">
        <v>704</v>
      </c>
      <c r="F60" s="437" t="s">
        <v>551</v>
      </c>
      <c r="G60" s="438" t="s">
        <v>522</v>
      </c>
      <c r="H60" s="124" t="s">
        <v>705</v>
      </c>
      <c r="I60" s="435">
        <v>50</v>
      </c>
      <c r="J60" s="456" t="s">
        <v>557</v>
      </c>
    </row>
    <row r="61" ht="25" customHeight="1" spans="1:10">
      <c r="A61" s="430" t="s">
        <v>530</v>
      </c>
      <c r="B61" s="438" t="s">
        <v>595</v>
      </c>
      <c r="C61" s="439" t="s">
        <v>706</v>
      </c>
      <c r="D61" s="435">
        <v>6</v>
      </c>
      <c r="E61" s="436" t="s">
        <v>707</v>
      </c>
      <c r="F61" s="437" t="s">
        <v>551</v>
      </c>
      <c r="G61" s="438" t="s">
        <v>522</v>
      </c>
      <c r="H61" s="124" t="s">
        <v>708</v>
      </c>
      <c r="I61" s="435">
        <v>23</v>
      </c>
      <c r="J61" s="456" t="s">
        <v>557</v>
      </c>
    </row>
    <row r="62" ht="30" customHeight="1" spans="1:10">
      <c r="A62" s="430" t="s">
        <v>530</v>
      </c>
      <c r="B62" s="438" t="s">
        <v>595</v>
      </c>
      <c r="C62" s="439" t="s">
        <v>709</v>
      </c>
      <c r="D62" s="435">
        <v>4.2</v>
      </c>
      <c r="E62" s="452" t="s">
        <v>532</v>
      </c>
      <c r="F62" s="437" t="s">
        <v>536</v>
      </c>
      <c r="G62" s="438" t="s">
        <v>522</v>
      </c>
      <c r="H62" s="448" t="s">
        <v>710</v>
      </c>
      <c r="I62" s="435">
        <v>400</v>
      </c>
      <c r="J62" s="456" t="s">
        <v>557</v>
      </c>
    </row>
    <row r="63" ht="30" customHeight="1" spans="1:10">
      <c r="A63" s="430" t="s">
        <v>530</v>
      </c>
      <c r="B63" s="438" t="s">
        <v>711</v>
      </c>
      <c r="C63" s="434" t="s">
        <v>712</v>
      </c>
      <c r="D63" s="450">
        <v>12</v>
      </c>
      <c r="E63" s="436" t="s">
        <v>713</v>
      </c>
      <c r="F63" s="437" t="s">
        <v>521</v>
      </c>
      <c r="G63" s="454" t="s">
        <v>522</v>
      </c>
      <c r="H63" s="448" t="s">
        <v>714</v>
      </c>
      <c r="I63" s="450">
        <v>45</v>
      </c>
      <c r="J63" s="456" t="s">
        <v>557</v>
      </c>
    </row>
    <row r="64" ht="24" customHeight="1" spans="1:10">
      <c r="A64" s="430" t="s">
        <v>536</v>
      </c>
      <c r="B64" s="438" t="s">
        <v>522</v>
      </c>
      <c r="C64" s="434" t="s">
        <v>494</v>
      </c>
      <c r="D64" s="450">
        <v>744.63</v>
      </c>
      <c r="E64" s="436" t="s">
        <v>715</v>
      </c>
      <c r="F64" s="451"/>
      <c r="G64" s="457" t="s">
        <v>716</v>
      </c>
      <c r="H64" s="458"/>
      <c r="I64" s="463">
        <f>SUM(I65:I66)</f>
        <v>30.25</v>
      </c>
      <c r="J64" s="461"/>
    </row>
    <row r="65" ht="40" customHeight="1" spans="1:10">
      <c r="A65" s="430" t="s">
        <v>521</v>
      </c>
      <c r="B65" s="423" t="s">
        <v>604</v>
      </c>
      <c r="C65" s="424"/>
      <c r="D65" s="463">
        <f>SUM(D66:D126)</f>
        <v>4986.61</v>
      </c>
      <c r="E65" s="431"/>
      <c r="F65" s="437" t="s">
        <v>551</v>
      </c>
      <c r="G65" s="433" t="s">
        <v>609</v>
      </c>
      <c r="H65" s="440" t="s">
        <v>717</v>
      </c>
      <c r="I65" s="435">
        <v>23.5</v>
      </c>
      <c r="J65" s="456" t="s">
        <v>718</v>
      </c>
    </row>
    <row r="66" ht="30" customHeight="1" spans="1:10">
      <c r="A66" s="422"/>
      <c r="B66" s="433" t="s">
        <v>719</v>
      </c>
      <c r="C66" s="124" t="s">
        <v>720</v>
      </c>
      <c r="D66" s="450">
        <v>21.6</v>
      </c>
      <c r="E66" s="436" t="s">
        <v>721</v>
      </c>
      <c r="F66" s="437" t="s">
        <v>530</v>
      </c>
      <c r="G66" s="438" t="s">
        <v>649</v>
      </c>
      <c r="H66" s="440" t="s">
        <v>722</v>
      </c>
      <c r="I66" s="435">
        <v>6.75</v>
      </c>
      <c r="J66" s="456" t="s">
        <v>651</v>
      </c>
    </row>
    <row r="67" ht="25" customHeight="1" spans="1:10">
      <c r="A67" s="430" t="s">
        <v>540</v>
      </c>
      <c r="B67" s="433" t="s">
        <v>719</v>
      </c>
      <c r="C67" s="440" t="s">
        <v>723</v>
      </c>
      <c r="D67" s="435">
        <v>122</v>
      </c>
      <c r="E67" s="441" t="s">
        <v>724</v>
      </c>
      <c r="F67" s="451"/>
      <c r="G67" s="457" t="s">
        <v>725</v>
      </c>
      <c r="H67" s="458"/>
      <c r="I67" s="463">
        <f>SUM(I68:I77)</f>
        <v>1057.77</v>
      </c>
      <c r="J67" s="461"/>
    </row>
    <row r="68" ht="45" customHeight="1" spans="1:10">
      <c r="A68" s="430" t="s">
        <v>540</v>
      </c>
      <c r="B68" s="433" t="s">
        <v>541</v>
      </c>
      <c r="C68" s="124" t="s">
        <v>726</v>
      </c>
      <c r="D68" s="435">
        <v>5</v>
      </c>
      <c r="E68" s="441" t="s">
        <v>727</v>
      </c>
      <c r="F68" s="437" t="s">
        <v>536</v>
      </c>
      <c r="G68" s="454" t="s">
        <v>672</v>
      </c>
      <c r="H68" s="448" t="s">
        <v>728</v>
      </c>
      <c r="I68" s="450">
        <v>25</v>
      </c>
      <c r="J68" s="456" t="s">
        <v>729</v>
      </c>
    </row>
    <row r="69" ht="40" customHeight="1" spans="1:10">
      <c r="A69" s="430" t="s">
        <v>540</v>
      </c>
      <c r="B69" s="438" t="s">
        <v>579</v>
      </c>
      <c r="C69" s="124" t="s">
        <v>730</v>
      </c>
      <c r="D69" s="435">
        <v>86.31</v>
      </c>
      <c r="E69" s="436" t="s">
        <v>600</v>
      </c>
      <c r="F69" s="437" t="s">
        <v>536</v>
      </c>
      <c r="G69" s="454" t="s">
        <v>672</v>
      </c>
      <c r="H69" s="448" t="s">
        <v>731</v>
      </c>
      <c r="I69" s="450">
        <v>110</v>
      </c>
      <c r="J69" s="456" t="s">
        <v>732</v>
      </c>
    </row>
    <row r="70" ht="41" customHeight="1" spans="1:10">
      <c r="A70" s="430" t="s">
        <v>540</v>
      </c>
      <c r="B70" s="438" t="s">
        <v>579</v>
      </c>
      <c r="C70" s="124" t="s">
        <v>733</v>
      </c>
      <c r="D70" s="435">
        <v>145.84</v>
      </c>
      <c r="E70" s="436" t="s">
        <v>600</v>
      </c>
      <c r="F70" s="437" t="s">
        <v>536</v>
      </c>
      <c r="G70" s="454" t="s">
        <v>672</v>
      </c>
      <c r="H70" s="448" t="s">
        <v>734</v>
      </c>
      <c r="I70" s="450">
        <v>50</v>
      </c>
      <c r="J70" s="456" t="s">
        <v>735</v>
      </c>
    </row>
    <row r="71" ht="40" customHeight="1" spans="1:10">
      <c r="A71" s="430" t="s">
        <v>540</v>
      </c>
      <c r="B71" s="438" t="s">
        <v>579</v>
      </c>
      <c r="C71" s="124" t="s">
        <v>736</v>
      </c>
      <c r="D71" s="435">
        <v>100</v>
      </c>
      <c r="E71" s="436" t="s">
        <v>737</v>
      </c>
      <c r="F71" s="437" t="s">
        <v>536</v>
      </c>
      <c r="G71" s="454" t="s">
        <v>672</v>
      </c>
      <c r="H71" s="448" t="s">
        <v>738</v>
      </c>
      <c r="I71" s="450">
        <v>50</v>
      </c>
      <c r="J71" s="456" t="s">
        <v>739</v>
      </c>
    </row>
    <row r="72" ht="30" customHeight="1" spans="1:10">
      <c r="A72" s="430" t="s">
        <v>540</v>
      </c>
      <c r="B72" s="438" t="s">
        <v>579</v>
      </c>
      <c r="C72" s="124" t="s">
        <v>740</v>
      </c>
      <c r="D72" s="435">
        <v>4</v>
      </c>
      <c r="E72" s="436" t="s">
        <v>741</v>
      </c>
      <c r="F72" s="451" t="s">
        <v>696</v>
      </c>
      <c r="G72" s="454" t="s">
        <v>587</v>
      </c>
      <c r="H72" s="448" t="s">
        <v>742</v>
      </c>
      <c r="I72" s="450">
        <v>117</v>
      </c>
      <c r="J72" s="456" t="s">
        <v>560</v>
      </c>
    </row>
    <row r="73" ht="24" customHeight="1" spans="1:10">
      <c r="A73" s="430" t="s">
        <v>540</v>
      </c>
      <c r="B73" s="438" t="s">
        <v>579</v>
      </c>
      <c r="C73" s="124" t="s">
        <v>743</v>
      </c>
      <c r="D73" s="435">
        <v>403.79</v>
      </c>
      <c r="E73" s="436" t="s">
        <v>744</v>
      </c>
      <c r="F73" s="451" t="s">
        <v>696</v>
      </c>
      <c r="G73" s="454" t="s">
        <v>587</v>
      </c>
      <c r="H73" s="448" t="s">
        <v>745</v>
      </c>
      <c r="I73" s="450">
        <v>100</v>
      </c>
      <c r="J73" s="456" t="s">
        <v>560</v>
      </c>
    </row>
    <row r="74" ht="30" customHeight="1" spans="1:10">
      <c r="A74" s="430" t="s">
        <v>540</v>
      </c>
      <c r="B74" s="438" t="s">
        <v>579</v>
      </c>
      <c r="C74" s="124" t="s">
        <v>746</v>
      </c>
      <c r="D74" s="435">
        <v>145.87</v>
      </c>
      <c r="E74" s="436" t="s">
        <v>747</v>
      </c>
      <c r="F74" s="451" t="s">
        <v>696</v>
      </c>
      <c r="G74" s="454" t="s">
        <v>587</v>
      </c>
      <c r="H74" s="448" t="s">
        <v>748</v>
      </c>
      <c r="I74" s="450">
        <v>4.16</v>
      </c>
      <c r="J74" s="456" t="s">
        <v>560</v>
      </c>
    </row>
    <row r="75" ht="30" customHeight="1" spans="1:10">
      <c r="A75" s="430" t="s">
        <v>540</v>
      </c>
      <c r="B75" s="438" t="s">
        <v>579</v>
      </c>
      <c r="C75" s="124" t="s">
        <v>749</v>
      </c>
      <c r="D75" s="435">
        <v>90.77</v>
      </c>
      <c r="E75" s="436" t="s">
        <v>625</v>
      </c>
      <c r="F75" s="451" t="s">
        <v>696</v>
      </c>
      <c r="G75" s="454" t="s">
        <v>587</v>
      </c>
      <c r="H75" s="448" t="s">
        <v>750</v>
      </c>
      <c r="I75" s="450">
        <v>1.61</v>
      </c>
      <c r="J75" s="456" t="s">
        <v>560</v>
      </c>
    </row>
    <row r="76" ht="33" customHeight="1" spans="1:10">
      <c r="A76" s="430" t="s">
        <v>540</v>
      </c>
      <c r="B76" s="438" t="s">
        <v>579</v>
      </c>
      <c r="C76" s="124" t="s">
        <v>751</v>
      </c>
      <c r="D76" s="435">
        <v>18.13</v>
      </c>
      <c r="E76" s="436" t="s">
        <v>600</v>
      </c>
      <c r="F76" s="451" t="s">
        <v>696</v>
      </c>
      <c r="G76" s="454" t="s">
        <v>587</v>
      </c>
      <c r="H76" s="448" t="s">
        <v>752</v>
      </c>
      <c r="I76" s="450">
        <v>200</v>
      </c>
      <c r="J76" s="456" t="s">
        <v>560</v>
      </c>
    </row>
    <row r="77" ht="25" customHeight="1" spans="1:10">
      <c r="A77" s="430" t="s">
        <v>540</v>
      </c>
      <c r="B77" s="438" t="s">
        <v>579</v>
      </c>
      <c r="C77" s="124" t="s">
        <v>753</v>
      </c>
      <c r="D77" s="435">
        <v>2.53</v>
      </c>
      <c r="E77" s="436" t="s">
        <v>600</v>
      </c>
      <c r="F77" s="451" t="s">
        <v>696</v>
      </c>
      <c r="G77" s="454" t="s">
        <v>587</v>
      </c>
      <c r="H77" s="448" t="s">
        <v>754</v>
      </c>
      <c r="I77" s="450">
        <v>400</v>
      </c>
      <c r="J77" s="456" t="s">
        <v>560</v>
      </c>
    </row>
    <row r="78" ht="25" customHeight="1" spans="1:10">
      <c r="A78" s="430" t="s">
        <v>540</v>
      </c>
      <c r="B78" s="438" t="s">
        <v>617</v>
      </c>
      <c r="C78" s="124" t="s">
        <v>755</v>
      </c>
      <c r="D78" s="435">
        <v>8.09</v>
      </c>
      <c r="E78" s="436" t="s">
        <v>756</v>
      </c>
      <c r="F78" s="451"/>
      <c r="G78" s="454"/>
      <c r="H78" s="448"/>
      <c r="I78" s="450"/>
      <c r="J78" s="456"/>
    </row>
    <row r="79" ht="25" customHeight="1" spans="1:10">
      <c r="A79" s="430" t="s">
        <v>540</v>
      </c>
      <c r="B79" s="438" t="s">
        <v>584</v>
      </c>
      <c r="C79" s="124" t="s">
        <v>757</v>
      </c>
      <c r="D79" s="435">
        <v>2</v>
      </c>
      <c r="E79" s="436" t="s">
        <v>758</v>
      </c>
      <c r="F79" s="451"/>
      <c r="G79" s="454"/>
      <c r="H79" s="448"/>
      <c r="I79" s="450"/>
      <c r="J79" s="456"/>
    </row>
    <row r="80" ht="25" customHeight="1" spans="1:10">
      <c r="A80" s="430" t="s">
        <v>540</v>
      </c>
      <c r="B80" s="438" t="s">
        <v>584</v>
      </c>
      <c r="C80" s="124" t="s">
        <v>759</v>
      </c>
      <c r="D80" s="435">
        <v>5.24</v>
      </c>
      <c r="E80" s="436" t="s">
        <v>760</v>
      </c>
      <c r="F80" s="437"/>
      <c r="G80" s="454"/>
      <c r="H80" s="448"/>
      <c r="I80" s="450"/>
      <c r="J80" s="456"/>
    </row>
    <row r="81" ht="25" customHeight="1" spans="1:10">
      <c r="A81" s="430" t="s">
        <v>540</v>
      </c>
      <c r="B81" s="438" t="s">
        <v>584</v>
      </c>
      <c r="C81" s="124" t="s">
        <v>761</v>
      </c>
      <c r="D81" s="435">
        <v>19</v>
      </c>
      <c r="E81" s="436" t="s">
        <v>762</v>
      </c>
      <c r="F81" s="437"/>
      <c r="G81" s="454"/>
      <c r="H81" s="448"/>
      <c r="I81" s="450"/>
      <c r="J81" s="456"/>
    </row>
    <row r="82" ht="25" customHeight="1" spans="1:10">
      <c r="A82" s="430" t="s">
        <v>540</v>
      </c>
      <c r="B82" s="438" t="s">
        <v>522</v>
      </c>
      <c r="C82" s="124" t="s">
        <v>763</v>
      </c>
      <c r="D82" s="435">
        <v>10</v>
      </c>
      <c r="E82" s="436" t="s">
        <v>764</v>
      </c>
      <c r="F82" s="437"/>
      <c r="G82" s="464"/>
      <c r="H82" s="465"/>
      <c r="I82" s="473"/>
      <c r="J82" s="456"/>
    </row>
    <row r="83" ht="25" customHeight="1" spans="1:10">
      <c r="A83" s="430" t="s">
        <v>540</v>
      </c>
      <c r="B83" s="438" t="s">
        <v>582</v>
      </c>
      <c r="C83" s="124" t="s">
        <v>765</v>
      </c>
      <c r="D83" s="435">
        <v>60</v>
      </c>
      <c r="E83" s="436" t="s">
        <v>766</v>
      </c>
      <c r="F83" s="451"/>
      <c r="G83" s="454"/>
      <c r="H83" s="448"/>
      <c r="I83" s="450"/>
      <c r="J83" s="456"/>
    </row>
    <row r="84" ht="25" customHeight="1" spans="1:10">
      <c r="A84" s="430" t="s">
        <v>767</v>
      </c>
      <c r="B84" s="438" t="s">
        <v>768</v>
      </c>
      <c r="C84" s="124" t="s">
        <v>769</v>
      </c>
      <c r="D84" s="435">
        <v>25</v>
      </c>
      <c r="E84" s="436" t="s">
        <v>770</v>
      </c>
      <c r="F84" s="451"/>
      <c r="G84" s="454"/>
      <c r="H84" s="448"/>
      <c r="I84" s="450"/>
      <c r="J84" s="456"/>
    </row>
    <row r="85" ht="25" customHeight="1" spans="1:10">
      <c r="A85" s="430" t="s">
        <v>767</v>
      </c>
      <c r="B85" s="433" t="s">
        <v>609</v>
      </c>
      <c r="C85" s="124" t="s">
        <v>771</v>
      </c>
      <c r="D85" s="435">
        <v>0.88</v>
      </c>
      <c r="E85" s="436" t="s">
        <v>772</v>
      </c>
      <c r="F85" s="451"/>
      <c r="G85" s="454"/>
      <c r="H85" s="448"/>
      <c r="I85" s="450"/>
      <c r="J85" s="456"/>
    </row>
    <row r="86" ht="25" customHeight="1" spans="1:10">
      <c r="A86" s="430" t="s">
        <v>767</v>
      </c>
      <c r="B86" s="438" t="s">
        <v>609</v>
      </c>
      <c r="C86" s="124" t="s">
        <v>773</v>
      </c>
      <c r="D86" s="435">
        <v>0.04</v>
      </c>
      <c r="E86" s="441" t="s">
        <v>600</v>
      </c>
      <c r="F86" s="451"/>
      <c r="G86" s="454"/>
      <c r="H86" s="448"/>
      <c r="I86" s="450"/>
      <c r="J86" s="456"/>
    </row>
    <row r="87" ht="25" customHeight="1" spans="1:10">
      <c r="A87" s="430" t="s">
        <v>767</v>
      </c>
      <c r="B87" s="438" t="s">
        <v>676</v>
      </c>
      <c r="C87" s="434" t="s">
        <v>774</v>
      </c>
      <c r="D87" s="435">
        <v>26</v>
      </c>
      <c r="E87" s="441" t="s">
        <v>600</v>
      </c>
      <c r="F87" s="451"/>
      <c r="G87" s="454"/>
      <c r="H87" s="448"/>
      <c r="I87" s="450"/>
      <c r="J87" s="456"/>
    </row>
    <row r="88" ht="25" customHeight="1" spans="1:10">
      <c r="A88" s="430" t="s">
        <v>525</v>
      </c>
      <c r="B88" s="438" t="s">
        <v>676</v>
      </c>
      <c r="C88" s="434" t="s">
        <v>775</v>
      </c>
      <c r="D88" s="435">
        <v>42</v>
      </c>
      <c r="E88" s="441" t="s">
        <v>600</v>
      </c>
      <c r="F88" s="437"/>
      <c r="G88" s="438"/>
      <c r="H88" s="124"/>
      <c r="I88" s="435"/>
      <c r="J88" s="456"/>
    </row>
    <row r="89" ht="25" customHeight="1" spans="1:10">
      <c r="A89" s="430" t="s">
        <v>525</v>
      </c>
      <c r="B89" s="438" t="s">
        <v>676</v>
      </c>
      <c r="C89" s="434" t="s">
        <v>776</v>
      </c>
      <c r="D89" s="435">
        <v>12</v>
      </c>
      <c r="E89" s="441" t="s">
        <v>600</v>
      </c>
      <c r="F89" s="437"/>
      <c r="G89" s="438"/>
      <c r="H89" s="124"/>
      <c r="I89" s="435"/>
      <c r="J89" s="456"/>
    </row>
    <row r="90" ht="25" customHeight="1" spans="1:10">
      <c r="A90" s="430" t="s">
        <v>525</v>
      </c>
      <c r="B90" s="438" t="s">
        <v>676</v>
      </c>
      <c r="C90" s="434" t="s">
        <v>777</v>
      </c>
      <c r="D90" s="435">
        <v>12</v>
      </c>
      <c r="E90" s="441" t="s">
        <v>600</v>
      </c>
      <c r="F90" s="437"/>
      <c r="G90" s="438"/>
      <c r="H90" s="124"/>
      <c r="I90" s="435"/>
      <c r="J90" s="456"/>
    </row>
    <row r="91" ht="25" customHeight="1" spans="1:10">
      <c r="A91" s="430" t="s">
        <v>525</v>
      </c>
      <c r="B91" s="438" t="s">
        <v>676</v>
      </c>
      <c r="C91" s="434" t="s">
        <v>778</v>
      </c>
      <c r="D91" s="435">
        <v>20</v>
      </c>
      <c r="E91" s="441" t="s">
        <v>600</v>
      </c>
      <c r="F91" s="437"/>
      <c r="G91" s="438"/>
      <c r="H91" s="124"/>
      <c r="I91" s="435"/>
      <c r="J91" s="456"/>
    </row>
    <row r="92" ht="25" customHeight="1" spans="1:10">
      <c r="A92" s="430"/>
      <c r="B92" s="438" t="s">
        <v>779</v>
      </c>
      <c r="C92" s="434" t="s">
        <v>780</v>
      </c>
      <c r="D92" s="435">
        <v>15</v>
      </c>
      <c r="E92" s="441" t="s">
        <v>600</v>
      </c>
      <c r="F92" s="437"/>
      <c r="G92" s="438"/>
      <c r="H92" s="124"/>
      <c r="I92" s="435"/>
      <c r="J92" s="456"/>
    </row>
    <row r="93" ht="25" customHeight="1" spans="1:10">
      <c r="A93" s="430" t="s">
        <v>525</v>
      </c>
      <c r="B93" s="438" t="s">
        <v>781</v>
      </c>
      <c r="C93" s="434" t="s">
        <v>782</v>
      </c>
      <c r="D93" s="435">
        <v>18.74</v>
      </c>
      <c r="E93" s="441" t="s">
        <v>600</v>
      </c>
      <c r="F93" s="437"/>
      <c r="G93" s="438"/>
      <c r="H93" s="124"/>
      <c r="I93" s="435"/>
      <c r="J93" s="456"/>
    </row>
    <row r="94" ht="25" customHeight="1" spans="1:10">
      <c r="A94" s="430" t="s">
        <v>525</v>
      </c>
      <c r="B94" s="438" t="s">
        <v>783</v>
      </c>
      <c r="C94" s="434" t="s">
        <v>784</v>
      </c>
      <c r="D94" s="435">
        <v>9.97</v>
      </c>
      <c r="E94" s="441" t="s">
        <v>600</v>
      </c>
      <c r="F94" s="437"/>
      <c r="G94" s="438"/>
      <c r="H94" s="124"/>
      <c r="I94" s="435"/>
      <c r="J94" s="456"/>
    </row>
    <row r="95" ht="25" customHeight="1" spans="1:10">
      <c r="A95" s="430" t="s">
        <v>525</v>
      </c>
      <c r="B95" s="438" t="s">
        <v>785</v>
      </c>
      <c r="C95" s="434" t="s">
        <v>786</v>
      </c>
      <c r="D95" s="435">
        <v>50</v>
      </c>
      <c r="E95" s="441" t="s">
        <v>787</v>
      </c>
      <c r="F95" s="437"/>
      <c r="G95" s="438"/>
      <c r="H95" s="124"/>
      <c r="I95" s="435"/>
      <c r="J95" s="456"/>
    </row>
    <row r="96" ht="25" customHeight="1" spans="1:10">
      <c r="A96" s="430" t="s">
        <v>525</v>
      </c>
      <c r="B96" s="438" t="s">
        <v>788</v>
      </c>
      <c r="C96" s="434" t="s">
        <v>789</v>
      </c>
      <c r="D96" s="435">
        <v>5.94</v>
      </c>
      <c r="E96" s="441" t="s">
        <v>790</v>
      </c>
      <c r="F96" s="437"/>
      <c r="G96" s="438"/>
      <c r="H96" s="124"/>
      <c r="I96" s="435"/>
      <c r="J96" s="456"/>
    </row>
    <row r="97" ht="25" customHeight="1" spans="1:10">
      <c r="A97" s="430" t="s">
        <v>525</v>
      </c>
      <c r="B97" s="438" t="s">
        <v>791</v>
      </c>
      <c r="C97" s="434" t="s">
        <v>792</v>
      </c>
      <c r="D97" s="435">
        <v>11.65</v>
      </c>
      <c r="E97" s="441" t="s">
        <v>793</v>
      </c>
      <c r="F97" s="437"/>
      <c r="G97" s="438"/>
      <c r="H97" s="124"/>
      <c r="I97" s="435"/>
      <c r="J97" s="456"/>
    </row>
    <row r="98" ht="25" customHeight="1" spans="1:10">
      <c r="A98" s="430" t="s">
        <v>525</v>
      </c>
      <c r="B98" s="438" t="s">
        <v>571</v>
      </c>
      <c r="C98" s="434" t="s">
        <v>794</v>
      </c>
      <c r="D98" s="435">
        <v>20</v>
      </c>
      <c r="E98" s="441" t="s">
        <v>600</v>
      </c>
      <c r="F98" s="437"/>
      <c r="G98" s="438"/>
      <c r="H98" s="124"/>
      <c r="I98" s="435"/>
      <c r="J98" s="456"/>
    </row>
    <row r="99" ht="25" customHeight="1" spans="1:10">
      <c r="A99" s="430" t="s">
        <v>525</v>
      </c>
      <c r="B99" s="438" t="s">
        <v>582</v>
      </c>
      <c r="C99" s="434" t="s">
        <v>795</v>
      </c>
      <c r="D99" s="435">
        <v>67.83</v>
      </c>
      <c r="E99" s="441" t="s">
        <v>600</v>
      </c>
      <c r="F99" s="437"/>
      <c r="G99" s="438"/>
      <c r="H99" s="124"/>
      <c r="I99" s="435"/>
      <c r="J99" s="456"/>
    </row>
    <row r="100" ht="25" customHeight="1" spans="1:10">
      <c r="A100" s="430" t="s">
        <v>525</v>
      </c>
      <c r="B100" s="438" t="s">
        <v>582</v>
      </c>
      <c r="C100" s="434" t="s">
        <v>796</v>
      </c>
      <c r="D100" s="435">
        <v>19.5</v>
      </c>
      <c r="E100" s="441" t="s">
        <v>600</v>
      </c>
      <c r="F100" s="437"/>
      <c r="G100" s="438"/>
      <c r="H100" s="124"/>
      <c r="I100" s="435"/>
      <c r="J100" s="456"/>
    </row>
    <row r="101" ht="30" customHeight="1" spans="1:10">
      <c r="A101" s="430" t="s">
        <v>525</v>
      </c>
      <c r="B101" s="438" t="s">
        <v>582</v>
      </c>
      <c r="C101" s="434" t="s">
        <v>797</v>
      </c>
      <c r="D101" s="435">
        <v>5</v>
      </c>
      <c r="E101" s="441" t="s">
        <v>600</v>
      </c>
      <c r="F101" s="437"/>
      <c r="G101" s="438"/>
      <c r="H101" s="448"/>
      <c r="I101" s="435"/>
      <c r="J101" s="456"/>
    </row>
    <row r="102" ht="30" customHeight="1" spans="1:10">
      <c r="A102" s="430" t="s">
        <v>525</v>
      </c>
      <c r="B102" s="438" t="s">
        <v>587</v>
      </c>
      <c r="C102" s="434" t="s">
        <v>798</v>
      </c>
      <c r="D102" s="435">
        <v>10</v>
      </c>
      <c r="E102" s="441" t="s">
        <v>600</v>
      </c>
      <c r="F102" s="437"/>
      <c r="G102" s="438"/>
      <c r="H102" s="448"/>
      <c r="I102" s="450"/>
      <c r="J102" s="456"/>
    </row>
    <row r="103" ht="25" customHeight="1" spans="1:10">
      <c r="A103" s="430" t="s">
        <v>525</v>
      </c>
      <c r="B103" s="438" t="s">
        <v>587</v>
      </c>
      <c r="C103" s="434" t="s">
        <v>799</v>
      </c>
      <c r="D103" s="435">
        <v>450</v>
      </c>
      <c r="E103" s="441" t="s">
        <v>800</v>
      </c>
      <c r="F103" s="437"/>
      <c r="G103" s="438"/>
      <c r="H103" s="448"/>
      <c r="I103" s="435"/>
      <c r="J103" s="456"/>
    </row>
    <row r="104" ht="25" customHeight="1" spans="1:10">
      <c r="A104" s="430" t="s">
        <v>525</v>
      </c>
      <c r="B104" s="438" t="s">
        <v>587</v>
      </c>
      <c r="C104" s="434" t="s">
        <v>801</v>
      </c>
      <c r="D104" s="435">
        <v>243</v>
      </c>
      <c r="E104" s="441" t="s">
        <v>802</v>
      </c>
      <c r="F104" s="437"/>
      <c r="G104" s="438"/>
      <c r="H104" s="448"/>
      <c r="I104" s="435"/>
      <c r="J104" s="456"/>
    </row>
    <row r="105" ht="25" customHeight="1" spans="1:10">
      <c r="A105" s="430" t="s">
        <v>525</v>
      </c>
      <c r="B105" s="438" t="s">
        <v>587</v>
      </c>
      <c r="C105" s="434" t="s">
        <v>803</v>
      </c>
      <c r="D105" s="435">
        <v>5</v>
      </c>
      <c r="E105" s="441" t="s">
        <v>600</v>
      </c>
      <c r="F105" s="437"/>
      <c r="G105" s="438"/>
      <c r="H105" s="448"/>
      <c r="I105" s="450"/>
      <c r="J105" s="456"/>
    </row>
    <row r="106" ht="25" customHeight="1" spans="1:10">
      <c r="A106" s="430" t="s">
        <v>525</v>
      </c>
      <c r="B106" s="438" t="s">
        <v>587</v>
      </c>
      <c r="C106" s="434" t="s">
        <v>804</v>
      </c>
      <c r="D106" s="435">
        <v>5</v>
      </c>
      <c r="E106" s="441" t="s">
        <v>600</v>
      </c>
      <c r="F106" s="437"/>
      <c r="G106" s="438"/>
      <c r="H106" s="448"/>
      <c r="I106" s="435"/>
      <c r="J106" s="456"/>
    </row>
    <row r="107" ht="25" customHeight="1" spans="1:10">
      <c r="A107" s="430" t="s">
        <v>525</v>
      </c>
      <c r="B107" s="438" t="s">
        <v>587</v>
      </c>
      <c r="C107" s="434" t="s">
        <v>805</v>
      </c>
      <c r="D107" s="435">
        <v>4</v>
      </c>
      <c r="E107" s="441" t="s">
        <v>600</v>
      </c>
      <c r="F107" s="437"/>
      <c r="G107" s="433"/>
      <c r="H107" s="124"/>
      <c r="I107" s="435"/>
      <c r="J107" s="456"/>
    </row>
    <row r="108" ht="25" customHeight="1" spans="1:10">
      <c r="A108" s="430" t="s">
        <v>525</v>
      </c>
      <c r="B108" s="438" t="s">
        <v>768</v>
      </c>
      <c r="C108" s="434" t="s">
        <v>806</v>
      </c>
      <c r="D108" s="435">
        <v>9.38</v>
      </c>
      <c r="E108" s="441" t="s">
        <v>807</v>
      </c>
      <c r="F108" s="437"/>
      <c r="G108" s="466"/>
      <c r="H108" s="448"/>
      <c r="I108" s="435"/>
      <c r="J108" s="456"/>
    </row>
    <row r="109" ht="41" customHeight="1" spans="1:10">
      <c r="A109" s="430" t="s">
        <v>525</v>
      </c>
      <c r="B109" s="438" t="s">
        <v>768</v>
      </c>
      <c r="C109" s="434" t="s">
        <v>808</v>
      </c>
      <c r="D109" s="435">
        <v>16.5</v>
      </c>
      <c r="E109" s="441" t="s">
        <v>600</v>
      </c>
      <c r="F109" s="437"/>
      <c r="G109" s="466"/>
      <c r="H109" s="448"/>
      <c r="I109" s="450"/>
      <c r="J109" s="456"/>
    </row>
    <row r="110" ht="40" customHeight="1" spans="1:10">
      <c r="A110" s="430" t="s">
        <v>525</v>
      </c>
      <c r="B110" s="438" t="s">
        <v>809</v>
      </c>
      <c r="C110" s="434" t="s">
        <v>810</v>
      </c>
      <c r="D110" s="435">
        <v>190.25</v>
      </c>
      <c r="E110" s="441" t="s">
        <v>811</v>
      </c>
      <c r="F110" s="437"/>
      <c r="G110" s="454"/>
      <c r="H110" s="448"/>
      <c r="I110" s="435"/>
      <c r="J110" s="456"/>
    </row>
    <row r="111" ht="40" customHeight="1" spans="1:10">
      <c r="A111" s="430" t="s">
        <v>525</v>
      </c>
      <c r="B111" s="438" t="s">
        <v>809</v>
      </c>
      <c r="C111" s="434" t="s">
        <v>812</v>
      </c>
      <c r="D111" s="435">
        <v>14.1</v>
      </c>
      <c r="E111" s="441" t="s">
        <v>813</v>
      </c>
      <c r="F111" s="451"/>
      <c r="G111" s="467"/>
      <c r="H111" s="468"/>
      <c r="I111" s="435"/>
      <c r="J111" s="456"/>
    </row>
    <row r="112" ht="25" customHeight="1" spans="1:10">
      <c r="A112" s="430" t="s">
        <v>525</v>
      </c>
      <c r="B112" s="438" t="s">
        <v>809</v>
      </c>
      <c r="C112" s="434" t="s">
        <v>814</v>
      </c>
      <c r="D112" s="435">
        <v>183</v>
      </c>
      <c r="E112" s="441" t="s">
        <v>600</v>
      </c>
      <c r="F112" s="451"/>
      <c r="G112" s="467"/>
      <c r="H112" s="468"/>
      <c r="I112" s="435"/>
      <c r="J112" s="456"/>
    </row>
    <row r="113" ht="25" customHeight="1" spans="1:10">
      <c r="A113" s="430" t="s">
        <v>525</v>
      </c>
      <c r="B113" s="438" t="s">
        <v>815</v>
      </c>
      <c r="C113" s="434" t="s">
        <v>816</v>
      </c>
      <c r="D113" s="435">
        <v>40.34</v>
      </c>
      <c r="E113" s="441" t="s">
        <v>600</v>
      </c>
      <c r="F113" s="451"/>
      <c r="G113" s="467"/>
      <c r="H113" s="468"/>
      <c r="I113" s="435"/>
      <c r="J113" s="456"/>
    </row>
    <row r="114" ht="25" customHeight="1" spans="1:10">
      <c r="A114" s="430" t="s">
        <v>525</v>
      </c>
      <c r="B114" s="438" t="s">
        <v>815</v>
      </c>
      <c r="C114" s="434" t="s">
        <v>817</v>
      </c>
      <c r="D114" s="435">
        <v>200</v>
      </c>
      <c r="E114" s="441" t="s">
        <v>600</v>
      </c>
      <c r="F114" s="451"/>
      <c r="G114" s="467"/>
      <c r="H114" s="468"/>
      <c r="I114" s="435"/>
      <c r="J114" s="456"/>
    </row>
    <row r="115" ht="25" customHeight="1" spans="1:10">
      <c r="A115" s="430" t="s">
        <v>525</v>
      </c>
      <c r="B115" s="438" t="s">
        <v>652</v>
      </c>
      <c r="C115" s="469" t="s">
        <v>818</v>
      </c>
      <c r="D115" s="470">
        <v>5</v>
      </c>
      <c r="E115" s="436" t="s">
        <v>600</v>
      </c>
      <c r="F115" s="451"/>
      <c r="G115" s="467"/>
      <c r="H115" s="468"/>
      <c r="I115" s="435"/>
      <c r="J115" s="456"/>
    </row>
    <row r="116" ht="25" customHeight="1" spans="1:10">
      <c r="A116" s="430" t="s">
        <v>551</v>
      </c>
      <c r="B116" s="433" t="s">
        <v>609</v>
      </c>
      <c r="C116" s="124" t="s">
        <v>819</v>
      </c>
      <c r="D116" s="435">
        <v>20</v>
      </c>
      <c r="E116" s="436" t="s">
        <v>600</v>
      </c>
      <c r="F116" s="451"/>
      <c r="G116" s="467"/>
      <c r="H116" s="468"/>
      <c r="I116" s="435"/>
      <c r="J116" s="456"/>
    </row>
    <row r="117" ht="25" customHeight="1" spans="1:10">
      <c r="A117" s="430" t="s">
        <v>551</v>
      </c>
      <c r="B117" s="438" t="s">
        <v>652</v>
      </c>
      <c r="C117" s="455" t="s">
        <v>820</v>
      </c>
      <c r="D117" s="435">
        <v>2</v>
      </c>
      <c r="E117" s="436" t="s">
        <v>600</v>
      </c>
      <c r="F117" s="451"/>
      <c r="G117" s="467"/>
      <c r="H117" s="468"/>
      <c r="I117" s="435"/>
      <c r="J117" s="456"/>
    </row>
    <row r="118" ht="25" customHeight="1" spans="1:10">
      <c r="A118" s="430" t="s">
        <v>530</v>
      </c>
      <c r="B118" s="438" t="s">
        <v>652</v>
      </c>
      <c r="C118" s="439" t="s">
        <v>821</v>
      </c>
      <c r="D118" s="450">
        <v>38.85</v>
      </c>
      <c r="E118" s="436" t="s">
        <v>822</v>
      </c>
      <c r="F118" s="451"/>
      <c r="G118" s="467"/>
      <c r="H118" s="468"/>
      <c r="I118" s="435"/>
      <c r="J118" s="456"/>
    </row>
    <row r="119" ht="25" customHeight="1" spans="1:10">
      <c r="A119" s="430" t="s">
        <v>530</v>
      </c>
      <c r="B119" s="438" t="s">
        <v>652</v>
      </c>
      <c r="C119" s="439" t="s">
        <v>823</v>
      </c>
      <c r="D119" s="450">
        <v>19.87</v>
      </c>
      <c r="E119" s="436" t="s">
        <v>822</v>
      </c>
      <c r="F119" s="451"/>
      <c r="G119" s="467"/>
      <c r="H119" s="468"/>
      <c r="I119" s="435"/>
      <c r="J119" s="456"/>
    </row>
    <row r="120" ht="25" customHeight="1" spans="1:10">
      <c r="A120" s="430" t="s">
        <v>530</v>
      </c>
      <c r="B120" s="433" t="s">
        <v>595</v>
      </c>
      <c r="C120" s="455" t="s">
        <v>824</v>
      </c>
      <c r="D120" s="435">
        <v>20</v>
      </c>
      <c r="E120" s="441" t="s">
        <v>825</v>
      </c>
      <c r="F120" s="451"/>
      <c r="G120" s="467"/>
      <c r="H120" s="468"/>
      <c r="I120" s="435"/>
      <c r="J120" s="456"/>
    </row>
    <row r="121" ht="25" customHeight="1" spans="1:10">
      <c r="A121" s="430" t="s">
        <v>530</v>
      </c>
      <c r="B121" s="438" t="s">
        <v>826</v>
      </c>
      <c r="C121" s="469" t="s">
        <v>827</v>
      </c>
      <c r="D121" s="470">
        <v>5.6</v>
      </c>
      <c r="E121" s="436" t="s">
        <v>828</v>
      </c>
      <c r="F121" s="451"/>
      <c r="G121" s="467"/>
      <c r="H121" s="468"/>
      <c r="I121" s="435"/>
      <c r="J121" s="456"/>
    </row>
    <row r="122" ht="25" customHeight="1" spans="1:10">
      <c r="A122" s="430" t="s">
        <v>536</v>
      </c>
      <c r="B122" s="438" t="s">
        <v>829</v>
      </c>
      <c r="C122" s="469" t="s">
        <v>830</v>
      </c>
      <c r="D122" s="435">
        <v>600</v>
      </c>
      <c r="E122" s="441" t="s">
        <v>831</v>
      </c>
      <c r="F122" s="451"/>
      <c r="G122" s="467"/>
      <c r="H122" s="468"/>
      <c r="I122" s="435"/>
      <c r="J122" s="456"/>
    </row>
    <row r="123" ht="25" customHeight="1" spans="1:10">
      <c r="A123" s="430" t="s">
        <v>536</v>
      </c>
      <c r="B123" s="438" t="s">
        <v>832</v>
      </c>
      <c r="C123" s="440" t="s">
        <v>833</v>
      </c>
      <c r="D123" s="470">
        <v>8</v>
      </c>
      <c r="E123" s="436" t="s">
        <v>834</v>
      </c>
      <c r="F123" s="451"/>
      <c r="G123" s="467"/>
      <c r="H123" s="468"/>
      <c r="I123" s="435"/>
      <c r="J123" s="456"/>
    </row>
    <row r="124" ht="25" customHeight="1" spans="1:10">
      <c r="A124" s="471" t="s">
        <v>521</v>
      </c>
      <c r="B124" s="438" t="s">
        <v>835</v>
      </c>
      <c r="C124" s="440" t="s">
        <v>836</v>
      </c>
      <c r="D124" s="435">
        <v>45</v>
      </c>
      <c r="E124" s="441" t="s">
        <v>837</v>
      </c>
      <c r="F124" s="451"/>
      <c r="G124" s="467"/>
      <c r="H124" s="468"/>
      <c r="I124" s="435"/>
      <c r="J124" s="456"/>
    </row>
    <row r="125" ht="25" customHeight="1" spans="1:10">
      <c r="A125" s="471" t="s">
        <v>521</v>
      </c>
      <c r="B125" s="472" t="s">
        <v>838</v>
      </c>
      <c r="C125" s="440" t="s">
        <v>839</v>
      </c>
      <c r="D125" s="435">
        <v>1059</v>
      </c>
      <c r="E125" s="436" t="s">
        <v>600</v>
      </c>
      <c r="F125" s="451"/>
      <c r="G125" s="467"/>
      <c r="H125" s="468"/>
      <c r="I125" s="435"/>
      <c r="J125" s="456"/>
    </row>
    <row r="126" ht="25" customHeight="1" spans="1:10">
      <c r="A126" s="471" t="s">
        <v>521</v>
      </c>
      <c r="B126" s="472" t="s">
        <v>522</v>
      </c>
      <c r="C126" s="440" t="s">
        <v>840</v>
      </c>
      <c r="D126" s="435">
        <v>181</v>
      </c>
      <c r="E126" s="436" t="s">
        <v>841</v>
      </c>
      <c r="F126" s="451"/>
      <c r="G126" s="467"/>
      <c r="H126" s="468"/>
      <c r="I126" s="435"/>
      <c r="J126" s="456"/>
    </row>
    <row r="127" ht="25" customHeight="1" spans="1:10">
      <c r="A127" s="471" t="s">
        <v>521</v>
      </c>
      <c r="B127" s="423" t="s">
        <v>842</v>
      </c>
      <c r="C127" s="424"/>
      <c r="D127" s="425">
        <f>SUM(D128:D144)+0.3</f>
        <v>4032.68</v>
      </c>
      <c r="E127" s="431"/>
      <c r="F127" s="451"/>
      <c r="G127" s="467"/>
      <c r="H127" s="468"/>
      <c r="I127" s="435"/>
      <c r="J127" s="456"/>
    </row>
    <row r="128" ht="25" customHeight="1" spans="1:10">
      <c r="A128" s="422"/>
      <c r="B128" s="454" t="s">
        <v>582</v>
      </c>
      <c r="C128" s="448" t="s">
        <v>843</v>
      </c>
      <c r="D128" s="450">
        <v>1.9</v>
      </c>
      <c r="E128" s="436" t="s">
        <v>844</v>
      </c>
      <c r="F128" s="451"/>
      <c r="G128" s="467"/>
      <c r="H128" s="468"/>
      <c r="I128" s="435"/>
      <c r="J128" s="456"/>
    </row>
    <row r="129" ht="25" customHeight="1" spans="1:10">
      <c r="A129" s="474" t="s">
        <v>845</v>
      </c>
      <c r="B129" s="454" t="s">
        <v>587</v>
      </c>
      <c r="C129" s="448" t="s">
        <v>846</v>
      </c>
      <c r="D129" s="435">
        <v>100</v>
      </c>
      <c r="E129" s="441" t="s">
        <v>600</v>
      </c>
      <c r="F129" s="451"/>
      <c r="G129" s="467"/>
      <c r="H129" s="468"/>
      <c r="I129" s="435"/>
      <c r="J129" s="456"/>
    </row>
    <row r="130" ht="25" customHeight="1" spans="1:10">
      <c r="A130" s="474" t="s">
        <v>845</v>
      </c>
      <c r="B130" s="454" t="s">
        <v>587</v>
      </c>
      <c r="C130" s="448" t="s">
        <v>847</v>
      </c>
      <c r="D130" s="435">
        <v>25</v>
      </c>
      <c r="E130" s="441" t="s">
        <v>600</v>
      </c>
      <c r="F130" s="451"/>
      <c r="G130" s="467"/>
      <c r="H130" s="468"/>
      <c r="I130" s="435"/>
      <c r="J130" s="456"/>
    </row>
    <row r="131" ht="25" customHeight="1" spans="1:10">
      <c r="A131" s="474" t="s">
        <v>845</v>
      </c>
      <c r="B131" s="454" t="s">
        <v>587</v>
      </c>
      <c r="C131" s="448" t="s">
        <v>848</v>
      </c>
      <c r="D131" s="435">
        <v>60</v>
      </c>
      <c r="E131" s="441" t="s">
        <v>600</v>
      </c>
      <c r="F131" s="451"/>
      <c r="G131" s="467"/>
      <c r="H131" s="468"/>
      <c r="I131" s="435"/>
      <c r="J131" s="456"/>
    </row>
    <row r="132" ht="25" customHeight="1" spans="1:10">
      <c r="A132" s="474" t="s">
        <v>845</v>
      </c>
      <c r="B132" s="454" t="s">
        <v>587</v>
      </c>
      <c r="C132" s="448" t="s">
        <v>849</v>
      </c>
      <c r="D132" s="435">
        <v>80</v>
      </c>
      <c r="E132" s="441" t="s">
        <v>600</v>
      </c>
      <c r="F132" s="451"/>
      <c r="G132" s="467"/>
      <c r="H132" s="468"/>
      <c r="I132" s="435"/>
      <c r="J132" s="456"/>
    </row>
    <row r="133" ht="25" customHeight="1" spans="1:10">
      <c r="A133" s="474" t="s">
        <v>845</v>
      </c>
      <c r="B133" s="454" t="s">
        <v>587</v>
      </c>
      <c r="C133" s="448" t="s">
        <v>850</v>
      </c>
      <c r="D133" s="435">
        <v>60</v>
      </c>
      <c r="E133" s="441" t="s">
        <v>600</v>
      </c>
      <c r="F133" s="451"/>
      <c r="G133" s="467"/>
      <c r="H133" s="468"/>
      <c r="I133" s="435"/>
      <c r="J133" s="456"/>
    </row>
    <row r="134" ht="25" customHeight="1" spans="1:10">
      <c r="A134" s="474" t="s">
        <v>845</v>
      </c>
      <c r="B134" s="454" t="s">
        <v>587</v>
      </c>
      <c r="C134" s="448" t="s">
        <v>851</v>
      </c>
      <c r="D134" s="435">
        <v>120</v>
      </c>
      <c r="E134" s="441" t="s">
        <v>600</v>
      </c>
      <c r="F134" s="451"/>
      <c r="G134" s="467"/>
      <c r="H134" s="468"/>
      <c r="I134" s="435"/>
      <c r="J134" s="456"/>
    </row>
    <row r="135" ht="25" customHeight="1" spans="1:10">
      <c r="A135" s="474" t="s">
        <v>845</v>
      </c>
      <c r="B135" s="454" t="s">
        <v>587</v>
      </c>
      <c r="C135" s="448" t="s">
        <v>852</v>
      </c>
      <c r="D135" s="435">
        <v>180</v>
      </c>
      <c r="E135" s="441" t="s">
        <v>600</v>
      </c>
      <c r="F135" s="451"/>
      <c r="G135" s="467"/>
      <c r="H135" s="468"/>
      <c r="I135" s="435"/>
      <c r="J135" s="456"/>
    </row>
    <row r="136" ht="25" customHeight="1" spans="1:10">
      <c r="A136" s="474" t="s">
        <v>845</v>
      </c>
      <c r="B136" s="454" t="s">
        <v>587</v>
      </c>
      <c r="C136" s="475" t="s">
        <v>853</v>
      </c>
      <c r="D136" s="435">
        <v>45</v>
      </c>
      <c r="E136" s="441" t="s">
        <v>600</v>
      </c>
      <c r="F136" s="451"/>
      <c r="G136" s="467"/>
      <c r="H136" s="468"/>
      <c r="I136" s="435"/>
      <c r="J136" s="456"/>
    </row>
    <row r="137" ht="25" customHeight="1" spans="1:10">
      <c r="A137" s="474" t="s">
        <v>845</v>
      </c>
      <c r="B137" s="454" t="s">
        <v>587</v>
      </c>
      <c r="C137" s="448" t="s">
        <v>854</v>
      </c>
      <c r="D137" s="435">
        <v>60</v>
      </c>
      <c r="E137" s="441" t="s">
        <v>600</v>
      </c>
      <c r="F137" s="451"/>
      <c r="G137" s="467"/>
      <c r="H137" s="468"/>
      <c r="I137" s="435"/>
      <c r="J137" s="456"/>
    </row>
    <row r="138" ht="25" customHeight="1" spans="1:10">
      <c r="A138" s="474" t="s">
        <v>845</v>
      </c>
      <c r="B138" s="454" t="s">
        <v>587</v>
      </c>
      <c r="C138" s="448" t="s">
        <v>855</v>
      </c>
      <c r="D138" s="435">
        <v>70</v>
      </c>
      <c r="E138" s="441" t="s">
        <v>600</v>
      </c>
      <c r="F138" s="451"/>
      <c r="G138" s="467"/>
      <c r="H138" s="468"/>
      <c r="I138" s="435"/>
      <c r="J138" s="456"/>
    </row>
    <row r="139" ht="25" customHeight="1" spans="1:10">
      <c r="A139" s="474" t="s">
        <v>845</v>
      </c>
      <c r="B139" s="454" t="s">
        <v>693</v>
      </c>
      <c r="C139" s="448" t="s">
        <v>856</v>
      </c>
      <c r="D139" s="435">
        <v>171</v>
      </c>
      <c r="E139" s="436" t="s">
        <v>857</v>
      </c>
      <c r="F139" s="451"/>
      <c r="G139" s="467"/>
      <c r="H139" s="468"/>
      <c r="I139" s="435"/>
      <c r="J139" s="456"/>
    </row>
    <row r="140" ht="66" customHeight="1" spans="1:10">
      <c r="A140" s="474" t="s">
        <v>845</v>
      </c>
      <c r="B140" s="454" t="s">
        <v>858</v>
      </c>
      <c r="C140" s="448" t="s">
        <v>859</v>
      </c>
      <c r="D140" s="435">
        <v>1680</v>
      </c>
      <c r="E140" s="436" t="s">
        <v>860</v>
      </c>
      <c r="F140" s="451"/>
      <c r="G140" s="467"/>
      <c r="H140" s="468"/>
      <c r="I140" s="435"/>
      <c r="J140" s="456"/>
    </row>
    <row r="141" ht="60" customHeight="1" spans="1:10">
      <c r="A141" s="474" t="s">
        <v>845</v>
      </c>
      <c r="B141" s="438" t="s">
        <v>522</v>
      </c>
      <c r="C141" s="434" t="s">
        <v>861</v>
      </c>
      <c r="D141" s="450">
        <v>788</v>
      </c>
      <c r="E141" s="436" t="s">
        <v>862</v>
      </c>
      <c r="F141" s="451"/>
      <c r="G141" s="467"/>
      <c r="H141" s="468"/>
      <c r="I141" s="435"/>
      <c r="J141" s="456"/>
    </row>
    <row r="142" ht="25" customHeight="1" spans="1:10">
      <c r="A142" s="430" t="s">
        <v>551</v>
      </c>
      <c r="B142" s="438" t="s">
        <v>522</v>
      </c>
      <c r="C142" s="124" t="s">
        <v>863</v>
      </c>
      <c r="D142" s="435">
        <v>400</v>
      </c>
      <c r="E142" s="436" t="s">
        <v>600</v>
      </c>
      <c r="F142" s="451"/>
      <c r="G142" s="467"/>
      <c r="H142" s="468"/>
      <c r="I142" s="435"/>
      <c r="J142" s="456"/>
    </row>
    <row r="143" ht="25" customHeight="1" spans="1:10">
      <c r="A143" s="430" t="s">
        <v>525</v>
      </c>
      <c r="B143" s="454" t="s">
        <v>601</v>
      </c>
      <c r="C143" s="449" t="s">
        <v>864</v>
      </c>
      <c r="D143" s="450">
        <v>41.48</v>
      </c>
      <c r="E143" s="436" t="s">
        <v>865</v>
      </c>
      <c r="F143" s="451"/>
      <c r="G143" s="467"/>
      <c r="H143" s="468"/>
      <c r="I143" s="435"/>
      <c r="J143" s="456"/>
    </row>
    <row r="144" ht="25" customHeight="1" spans="1:10">
      <c r="A144" s="430" t="s">
        <v>530</v>
      </c>
      <c r="B144" s="476" t="s">
        <v>858</v>
      </c>
      <c r="C144" s="477" t="s">
        <v>866</v>
      </c>
      <c r="D144" s="478">
        <v>150</v>
      </c>
      <c r="E144" s="479" t="s">
        <v>867</v>
      </c>
      <c r="F144" s="451"/>
      <c r="G144" s="480"/>
      <c r="H144" s="481"/>
      <c r="I144" s="484"/>
      <c r="J144" s="485"/>
    </row>
    <row r="145" ht="25" customHeight="1" spans="1:6">
      <c r="A145" s="482" t="s">
        <v>530</v>
      </c>
      <c r="F145" s="483"/>
    </row>
  </sheetData>
  <protectedRanges>
    <protectedRange sqref="J78:J1048574 J1:J15 J64 J20:J36 J46:J49 J67" name="区域2"/>
    <protectedRange sqref="E1:E8 E141 E18:E26 E12:E15 E121:E124 E127:E128 E146:E149 E151:E1048574 E33:E34 E36:E37 E57 E63:E85 E87:E114 E86" name="区域1"/>
    <protectedRange sqref="I13" name="区域2_1"/>
    <protectedRange sqref="J16" name="区域2_2"/>
    <protectedRange sqref="C10" name="区域1_1"/>
    <protectedRange sqref="E9" name="区域1_2"/>
    <protectedRange sqref="E27:E31" name="区域1_3"/>
    <protectedRange sqref="E142" name="区域1_4"/>
    <protectedRange sqref="E129:E140 E129:E138" name="区域1_5"/>
    <protectedRange sqref="J72:J77" name="区域2_3"/>
    <protectedRange sqref="E16" name="区域1_6"/>
    <protectedRange sqref="E32" name="区域1_8"/>
    <protectedRange sqref="E38" name="区域1_9"/>
    <protectedRange sqref="E115" name="区域1_10"/>
    <protectedRange sqref="E116 E125:E126" name="区域1_11"/>
    <protectedRange sqref="J17" name="区域2_4"/>
    <protectedRange sqref="J37 J39:J40 J38" name="区域2_5"/>
    <protectedRange sqref="J51:J53" name="区域2_7"/>
    <protectedRange sqref="J54:J60 J62:J63 E58" name="区域2_8"/>
    <protectedRange sqref="J61" name="区域2_9"/>
    <protectedRange sqref="J65" name="区域2_10"/>
    <protectedRange sqref="E10:E11" name="区域1_12"/>
    <protectedRange sqref="E17" name="区域1_7"/>
    <protectedRange sqref="E39:E48" name="区域1_13"/>
    <protectedRange sqref="E49:E56" name="区域1_14"/>
    <protectedRange sqref="E59:E62" name="区域1_15"/>
    <protectedRange sqref="E117:E120" name="区域1_16"/>
    <protectedRange sqref="E143:E144" name="区域1_17"/>
    <protectedRange sqref="E150" name="区域2_11"/>
    <protectedRange sqref="J18:J19" name="区域2_12"/>
    <protectedRange sqref="J41:J45" name="区域2_13"/>
    <protectedRange sqref="J66" name="区域2_14"/>
    <protectedRange sqref="E35" name="区域1_18"/>
  </protectedRanges>
  <mergeCells count="15">
    <mergeCell ref="A2:J2"/>
    <mergeCell ref="B4:E4"/>
    <mergeCell ref="G4:J4"/>
    <mergeCell ref="B6:C6"/>
    <mergeCell ref="G6:H6"/>
    <mergeCell ref="B7:C7"/>
    <mergeCell ref="G7:H7"/>
    <mergeCell ref="B12:C12"/>
    <mergeCell ref="G12:H12"/>
    <mergeCell ref="G30:H30"/>
    <mergeCell ref="G64:H64"/>
    <mergeCell ref="B65:C65"/>
    <mergeCell ref="G67:H67"/>
    <mergeCell ref="B127:C127"/>
    <mergeCell ref="E13:E15"/>
  </mergeCells>
  <printOptions horizontalCentered="1"/>
  <pageMargins left="0.786805555555556" right="0.786805555555556" top="0.393055555555556" bottom="0.393055555555556" header="0.196527777777778" footer="0.196527777777778"/>
  <pageSetup paperSize="9" scale="81"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32"/>
  <sheetViews>
    <sheetView zoomScale="60" zoomScaleNormal="60" workbookViewId="0">
      <pane ySplit="6" topLeftCell="A7" activePane="bottomLeft" state="frozen"/>
      <selection/>
      <selection pane="bottomLeft" activeCell="N8" sqref="N8"/>
    </sheetView>
  </sheetViews>
  <sheetFormatPr defaultColWidth="9" defaultRowHeight="12"/>
  <cols>
    <col min="1" max="1" width="20.8333333333333" style="363" customWidth="1"/>
    <col min="2" max="3" width="8.125" style="366" customWidth="1"/>
    <col min="4" max="7" width="8.125" style="367" customWidth="1"/>
    <col min="8" max="8" width="6.375" style="367" customWidth="1"/>
    <col min="9" max="9" width="5.875" style="368" customWidth="1"/>
    <col min="10" max="10" width="6.125" style="368" customWidth="1"/>
    <col min="11" max="11" width="12.3416666666667" style="368" customWidth="1"/>
    <col min="12" max="12" width="6.125" style="368" customWidth="1"/>
    <col min="13" max="13" width="5.875" style="368" customWidth="1"/>
    <col min="14" max="14" width="6.125" style="368" customWidth="1"/>
    <col min="15" max="15" width="6.25" style="368" customWidth="1"/>
    <col min="16" max="16" width="6" style="368" customWidth="1"/>
    <col min="17" max="17" width="5.75" style="368" customWidth="1"/>
    <col min="18" max="18" width="6.25" style="369" customWidth="1"/>
    <col min="19" max="19" width="6.25" style="368" customWidth="1"/>
    <col min="20" max="20" width="7" style="368" customWidth="1"/>
    <col min="21" max="22" width="5.875" style="368" customWidth="1"/>
    <col min="23" max="23" width="12" style="368" customWidth="1"/>
    <col min="24" max="24" width="6.375" style="368" customWidth="1"/>
    <col min="25" max="25" width="6.75" style="368" customWidth="1"/>
    <col min="26" max="26" width="9.3" style="368" customWidth="1"/>
    <col min="27" max="28" width="6.75" style="368" customWidth="1"/>
    <col min="29" max="29" width="6.25" style="368" customWidth="1"/>
    <col min="30" max="31" width="6.375" style="368" customWidth="1"/>
    <col min="32" max="32" width="6.75" style="368" customWidth="1"/>
    <col min="33" max="33" width="7.5" style="368" customWidth="1"/>
    <col min="34" max="34" width="7.75" style="368" customWidth="1"/>
    <col min="35" max="35" width="7.625" style="368" customWidth="1"/>
    <col min="36" max="36" width="7.875" style="368" customWidth="1"/>
    <col min="37" max="37" width="9.5" style="363" customWidth="1"/>
    <col min="38" max="16384" width="9" style="363"/>
  </cols>
  <sheetData>
    <row r="1" s="362" customFormat="1" ht="21" customHeight="1" spans="1:10">
      <c r="A1" s="327" t="s">
        <v>868</v>
      </c>
      <c r="B1" s="327"/>
      <c r="C1" s="370"/>
      <c r="D1" s="371"/>
      <c r="E1" s="372"/>
      <c r="F1" s="373"/>
      <c r="G1" s="373"/>
      <c r="H1" s="373"/>
      <c r="I1" s="371"/>
      <c r="J1" s="356"/>
    </row>
    <row r="2" s="363" customFormat="1" ht="35" customHeight="1" spans="1:37">
      <c r="A2" s="374" t="s">
        <v>869</v>
      </c>
      <c r="B2" s="61"/>
      <c r="C2" s="61"/>
      <c r="D2" s="61"/>
      <c r="E2" s="61"/>
      <c r="F2" s="61"/>
      <c r="G2" s="61"/>
      <c r="H2" s="61"/>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363" customFormat="1" ht="19" customHeight="1" spans="2:37">
      <c r="B3" s="366"/>
      <c r="C3" s="366"/>
      <c r="D3" s="367"/>
      <c r="E3" s="367"/>
      <c r="F3" s="367"/>
      <c r="G3" s="367"/>
      <c r="H3" s="367"/>
      <c r="I3" s="368"/>
      <c r="J3" s="368"/>
      <c r="K3" s="368"/>
      <c r="L3" s="368"/>
      <c r="M3" s="368"/>
      <c r="N3" s="368"/>
      <c r="O3" s="368"/>
      <c r="P3" s="368"/>
      <c r="Q3" s="368"/>
      <c r="R3" s="369"/>
      <c r="S3" s="368"/>
      <c r="T3" s="368"/>
      <c r="U3" s="368"/>
      <c r="V3" s="368"/>
      <c r="W3" s="368"/>
      <c r="X3" s="368"/>
      <c r="Y3" s="368"/>
      <c r="Z3" s="368"/>
      <c r="AA3" s="368"/>
      <c r="AB3" s="368"/>
      <c r="AC3" s="368"/>
      <c r="AD3" s="368"/>
      <c r="AE3" s="368"/>
      <c r="AF3" s="368"/>
      <c r="AG3" s="368"/>
      <c r="AH3" s="368"/>
      <c r="AI3" s="368"/>
      <c r="AJ3" s="368"/>
      <c r="AK3" s="392" t="s">
        <v>870</v>
      </c>
    </row>
    <row r="4" s="364" customFormat="1" ht="21.75" customHeight="1" spans="1:37">
      <c r="A4" s="375" t="s">
        <v>6</v>
      </c>
      <c r="B4" s="376" t="s">
        <v>871</v>
      </c>
      <c r="C4" s="376"/>
      <c r="D4" s="376"/>
      <c r="E4" s="376"/>
      <c r="F4" s="376"/>
      <c r="G4" s="376"/>
      <c r="H4" s="376" t="s">
        <v>872</v>
      </c>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93" t="s">
        <v>11</v>
      </c>
    </row>
    <row r="5" s="364" customFormat="1" ht="24" customHeight="1" spans="1:37">
      <c r="A5" s="377"/>
      <c r="B5" s="378" t="s">
        <v>873</v>
      </c>
      <c r="C5" s="378"/>
      <c r="D5" s="378"/>
      <c r="E5" s="379" t="s">
        <v>874</v>
      </c>
      <c r="F5" s="379"/>
      <c r="G5" s="379"/>
      <c r="H5" s="380" t="s">
        <v>875</v>
      </c>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203" t="s">
        <v>876</v>
      </c>
      <c r="AI5" s="203" t="s">
        <v>877</v>
      </c>
      <c r="AJ5" s="380" t="s">
        <v>506</v>
      </c>
      <c r="AK5" s="394"/>
    </row>
    <row r="6" s="364" customFormat="1" ht="115" customHeight="1" spans="1:37">
      <c r="A6" s="377"/>
      <c r="B6" s="378" t="s">
        <v>878</v>
      </c>
      <c r="C6" s="378" t="s">
        <v>879</v>
      </c>
      <c r="D6" s="378" t="s">
        <v>506</v>
      </c>
      <c r="E6" s="378" t="s">
        <v>878</v>
      </c>
      <c r="F6" s="378" t="s">
        <v>879</v>
      </c>
      <c r="G6" s="378" t="s">
        <v>506</v>
      </c>
      <c r="H6" s="378" t="s">
        <v>880</v>
      </c>
      <c r="I6" s="378" t="s">
        <v>881</v>
      </c>
      <c r="J6" s="378" t="s">
        <v>882</v>
      </c>
      <c r="K6" s="378" t="s">
        <v>883</v>
      </c>
      <c r="L6" s="378" t="s">
        <v>884</v>
      </c>
      <c r="M6" s="378" t="s">
        <v>885</v>
      </c>
      <c r="N6" s="378" t="s">
        <v>886</v>
      </c>
      <c r="O6" s="378" t="s">
        <v>887</v>
      </c>
      <c r="P6" s="378" t="s">
        <v>888</v>
      </c>
      <c r="Q6" s="378" t="s">
        <v>889</v>
      </c>
      <c r="R6" s="378" t="s">
        <v>890</v>
      </c>
      <c r="S6" s="378" t="s">
        <v>891</v>
      </c>
      <c r="T6" s="378" t="s">
        <v>892</v>
      </c>
      <c r="U6" s="378" t="s">
        <v>251</v>
      </c>
      <c r="V6" s="378" t="s">
        <v>893</v>
      </c>
      <c r="W6" s="378" t="s">
        <v>894</v>
      </c>
      <c r="X6" s="378" t="s">
        <v>895</v>
      </c>
      <c r="Y6" s="378" t="s">
        <v>896</v>
      </c>
      <c r="Z6" s="378" t="s">
        <v>897</v>
      </c>
      <c r="AA6" s="378" t="s">
        <v>898</v>
      </c>
      <c r="AB6" s="378" t="s">
        <v>468</v>
      </c>
      <c r="AC6" s="378" t="s">
        <v>899</v>
      </c>
      <c r="AD6" s="391" t="s">
        <v>900</v>
      </c>
      <c r="AE6" s="391" t="s">
        <v>901</v>
      </c>
      <c r="AF6" s="378" t="s">
        <v>902</v>
      </c>
      <c r="AG6" s="378" t="s">
        <v>903</v>
      </c>
      <c r="AH6" s="203"/>
      <c r="AI6" s="203"/>
      <c r="AJ6" s="380"/>
      <c r="AK6" s="394"/>
    </row>
    <row r="7" s="365" customFormat="1" ht="42" customHeight="1" spans="1:37">
      <c r="A7" s="381" t="s">
        <v>904</v>
      </c>
      <c r="B7" s="382">
        <f>397+128</f>
        <v>525</v>
      </c>
      <c r="C7" s="382"/>
      <c r="D7" s="382">
        <f t="shared" ref="D7:D20" si="0">+B7+C7</f>
        <v>525</v>
      </c>
      <c r="E7" s="382">
        <f>397+128</f>
        <v>525</v>
      </c>
      <c r="F7" s="382"/>
      <c r="G7" s="382">
        <f t="shared" ref="G7:G22" si="1">+E7+F7</f>
        <v>525</v>
      </c>
      <c r="H7" s="382">
        <v>72</v>
      </c>
      <c r="I7" s="382"/>
      <c r="J7" s="382"/>
      <c r="K7" s="382"/>
      <c r="L7" s="382"/>
      <c r="M7" s="382"/>
      <c r="N7" s="382"/>
      <c r="O7" s="382"/>
      <c r="P7" s="382">
        <v>34.86</v>
      </c>
      <c r="Q7" s="382">
        <v>7</v>
      </c>
      <c r="R7" s="382"/>
      <c r="S7" s="382"/>
      <c r="T7" s="382"/>
      <c r="U7" s="382"/>
      <c r="V7" s="382"/>
      <c r="W7" s="382">
        <v>10</v>
      </c>
      <c r="X7" s="382"/>
      <c r="Y7" s="382"/>
      <c r="Z7" s="382"/>
      <c r="AA7" s="382"/>
      <c r="AB7" s="382"/>
      <c r="AC7" s="382"/>
      <c r="AD7" s="382"/>
      <c r="AE7" s="382"/>
      <c r="AF7" s="382"/>
      <c r="AG7" s="383">
        <f t="shared" ref="AG7:AG23" si="2">SUM(H7:AF7)</f>
        <v>123.86</v>
      </c>
      <c r="AH7" s="382">
        <f t="shared" ref="AH7:AH22" si="3">+AJ7-AI7-AG7</f>
        <v>401.14</v>
      </c>
      <c r="AI7" s="382"/>
      <c r="AJ7" s="382">
        <v>525</v>
      </c>
      <c r="AK7" s="223"/>
    </row>
    <row r="8" s="365" customFormat="1" ht="42" customHeight="1" spans="1:37">
      <c r="A8" s="381" t="s">
        <v>905</v>
      </c>
      <c r="B8" s="383">
        <v>2564</v>
      </c>
      <c r="C8" s="383"/>
      <c r="D8" s="383">
        <f t="shared" si="0"/>
        <v>2564</v>
      </c>
      <c r="E8" s="383">
        <v>2564</v>
      </c>
      <c r="F8" s="383"/>
      <c r="G8" s="382">
        <f t="shared" si="1"/>
        <v>2564</v>
      </c>
      <c r="H8" s="383"/>
      <c r="I8" s="383"/>
      <c r="J8" s="383"/>
      <c r="K8" s="383">
        <v>282</v>
      </c>
      <c r="L8" s="383"/>
      <c r="M8" s="383"/>
      <c r="N8" s="383">
        <v>100</v>
      </c>
      <c r="O8" s="383">
        <v>10</v>
      </c>
      <c r="P8" s="383"/>
      <c r="Q8" s="383"/>
      <c r="R8" s="383"/>
      <c r="S8" s="383"/>
      <c r="T8" s="383">
        <v>785</v>
      </c>
      <c r="U8" s="383">
        <v>13</v>
      </c>
      <c r="V8" s="383"/>
      <c r="W8" s="383"/>
      <c r="X8" s="383">
        <v>34</v>
      </c>
      <c r="Y8" s="383"/>
      <c r="Z8" s="383"/>
      <c r="AA8" s="383"/>
      <c r="AB8" s="383"/>
      <c r="AC8" s="383"/>
      <c r="AD8" s="383">
        <v>500</v>
      </c>
      <c r="AE8" s="383"/>
      <c r="AF8" s="383"/>
      <c r="AG8" s="383">
        <f t="shared" si="2"/>
        <v>1724</v>
      </c>
      <c r="AH8" s="382">
        <f t="shared" si="3"/>
        <v>840</v>
      </c>
      <c r="AI8" s="383"/>
      <c r="AJ8" s="383">
        <v>2564</v>
      </c>
      <c r="AK8" s="223"/>
    </row>
    <row r="9" s="365" customFormat="1" ht="42" customHeight="1" spans="1:37">
      <c r="A9" s="381" t="s">
        <v>906</v>
      </c>
      <c r="B9" s="383">
        <v>1222</v>
      </c>
      <c r="C9" s="383"/>
      <c r="D9" s="383">
        <f t="shared" si="0"/>
        <v>1222</v>
      </c>
      <c r="E9" s="383">
        <v>1222</v>
      </c>
      <c r="F9" s="383"/>
      <c r="G9" s="382">
        <f t="shared" si="1"/>
        <v>1222</v>
      </c>
      <c r="H9" s="383"/>
      <c r="I9" s="383"/>
      <c r="J9" s="383"/>
      <c r="K9" s="383"/>
      <c r="L9" s="383">
        <v>41</v>
      </c>
      <c r="M9" s="383"/>
      <c r="N9" s="383"/>
      <c r="O9" s="383"/>
      <c r="P9" s="383"/>
      <c r="Q9" s="383"/>
      <c r="R9" s="383"/>
      <c r="S9" s="383"/>
      <c r="T9" s="383"/>
      <c r="U9" s="383">
        <v>12</v>
      </c>
      <c r="V9" s="383"/>
      <c r="W9" s="383"/>
      <c r="X9" s="383"/>
      <c r="Y9" s="383"/>
      <c r="Z9" s="383"/>
      <c r="AA9" s="383"/>
      <c r="AB9" s="383"/>
      <c r="AC9" s="383"/>
      <c r="AD9" s="383"/>
      <c r="AE9" s="383"/>
      <c r="AF9" s="383"/>
      <c r="AG9" s="383">
        <f t="shared" si="2"/>
        <v>53</v>
      </c>
      <c r="AH9" s="382">
        <f t="shared" si="3"/>
        <v>0</v>
      </c>
      <c r="AI9" s="383">
        <v>1169</v>
      </c>
      <c r="AJ9" s="383">
        <v>1222</v>
      </c>
      <c r="AK9" s="223"/>
    </row>
    <row r="10" s="365" customFormat="1" ht="42" customHeight="1" spans="1:37">
      <c r="A10" s="381" t="s">
        <v>907</v>
      </c>
      <c r="B10" s="383">
        <f>48+1210</f>
        <v>1258</v>
      </c>
      <c r="C10" s="383">
        <f>51.79+36</f>
        <v>87.79</v>
      </c>
      <c r="D10" s="383">
        <f t="shared" si="0"/>
        <v>1345.79</v>
      </c>
      <c r="E10" s="383">
        <f>48+1210</f>
        <v>1258</v>
      </c>
      <c r="F10" s="383">
        <f>51.79+36</f>
        <v>87.79</v>
      </c>
      <c r="G10" s="382">
        <f t="shared" si="1"/>
        <v>1345.79</v>
      </c>
      <c r="H10" s="383"/>
      <c r="I10" s="383">
        <v>22</v>
      </c>
      <c r="J10" s="383"/>
      <c r="K10" s="383"/>
      <c r="L10" s="383"/>
      <c r="M10" s="383"/>
      <c r="N10" s="383"/>
      <c r="O10" s="383"/>
      <c r="P10" s="383"/>
      <c r="Q10" s="383"/>
      <c r="R10" s="383">
        <v>1207.621</v>
      </c>
      <c r="S10" s="383"/>
      <c r="T10" s="383"/>
      <c r="U10" s="383"/>
      <c r="V10" s="383"/>
      <c r="W10" s="383"/>
      <c r="X10" s="383"/>
      <c r="Y10" s="383"/>
      <c r="Z10" s="383"/>
      <c r="AA10" s="383"/>
      <c r="AB10" s="383"/>
      <c r="AC10" s="383"/>
      <c r="AD10" s="383"/>
      <c r="AE10" s="383"/>
      <c r="AF10" s="383"/>
      <c r="AG10" s="383">
        <f t="shared" si="2"/>
        <v>1229.621</v>
      </c>
      <c r="AH10" s="382">
        <f t="shared" si="3"/>
        <v>116.169</v>
      </c>
      <c r="AI10" s="383"/>
      <c r="AJ10" s="383">
        <v>1345.79</v>
      </c>
      <c r="AK10" s="223"/>
    </row>
    <row r="11" s="365" customFormat="1" ht="42" customHeight="1" spans="1:37">
      <c r="A11" s="381" t="s">
        <v>908</v>
      </c>
      <c r="B11" s="383">
        <v>29</v>
      </c>
      <c r="C11" s="383"/>
      <c r="D11" s="383">
        <f t="shared" si="0"/>
        <v>29</v>
      </c>
      <c r="E11" s="383">
        <v>29</v>
      </c>
      <c r="F11" s="383"/>
      <c r="G11" s="382">
        <f t="shared" si="1"/>
        <v>29</v>
      </c>
      <c r="H11" s="383"/>
      <c r="I11" s="383"/>
      <c r="J11" s="383"/>
      <c r="K11" s="383"/>
      <c r="L11" s="383"/>
      <c r="M11" s="383"/>
      <c r="N11" s="383"/>
      <c r="O11" s="383"/>
      <c r="P11" s="383"/>
      <c r="Q11" s="383"/>
      <c r="R11" s="383">
        <v>29</v>
      </c>
      <c r="S11" s="383"/>
      <c r="T11" s="383"/>
      <c r="U11" s="383"/>
      <c r="V11" s="383"/>
      <c r="W11" s="383"/>
      <c r="X11" s="383"/>
      <c r="Y11" s="383"/>
      <c r="Z11" s="383"/>
      <c r="AA11" s="383"/>
      <c r="AB11" s="383"/>
      <c r="AC11" s="383"/>
      <c r="AD11" s="383"/>
      <c r="AE11" s="383"/>
      <c r="AF11" s="383"/>
      <c r="AG11" s="383">
        <f t="shared" si="2"/>
        <v>29</v>
      </c>
      <c r="AH11" s="382">
        <f t="shared" si="3"/>
        <v>0</v>
      </c>
      <c r="AI11" s="383"/>
      <c r="AJ11" s="383">
        <v>29</v>
      </c>
      <c r="AK11" s="223"/>
    </row>
    <row r="12" s="365" customFormat="1" ht="47" customHeight="1" spans="1:37">
      <c r="A12" s="381" t="s">
        <v>909</v>
      </c>
      <c r="B12" s="383">
        <v>50</v>
      </c>
      <c r="C12" s="383"/>
      <c r="D12" s="383">
        <f t="shared" si="0"/>
        <v>50</v>
      </c>
      <c r="E12" s="383">
        <v>50</v>
      </c>
      <c r="F12" s="383"/>
      <c r="G12" s="382">
        <f t="shared" si="1"/>
        <v>50</v>
      </c>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v>50</v>
      </c>
      <c r="AG12" s="383">
        <f t="shared" si="2"/>
        <v>50</v>
      </c>
      <c r="AH12" s="382">
        <f t="shared" si="3"/>
        <v>0</v>
      </c>
      <c r="AI12" s="383"/>
      <c r="AJ12" s="383">
        <v>50</v>
      </c>
      <c r="AK12" s="223"/>
    </row>
    <row r="13" s="365" customFormat="1" ht="47" customHeight="1" spans="1:37">
      <c r="A13" s="381" t="s">
        <v>910</v>
      </c>
      <c r="B13" s="383">
        <v>205</v>
      </c>
      <c r="C13" s="383"/>
      <c r="D13" s="383">
        <f t="shared" si="0"/>
        <v>205</v>
      </c>
      <c r="E13" s="383">
        <f>205+750</f>
        <v>955</v>
      </c>
      <c r="F13" s="383"/>
      <c r="G13" s="382">
        <f t="shared" si="1"/>
        <v>955</v>
      </c>
      <c r="H13" s="383"/>
      <c r="I13" s="383"/>
      <c r="J13" s="383"/>
      <c r="K13" s="383">
        <v>14.26</v>
      </c>
      <c r="L13" s="383">
        <v>400</v>
      </c>
      <c r="M13" s="383">
        <v>197</v>
      </c>
      <c r="N13" s="383"/>
      <c r="O13" s="383"/>
      <c r="P13" s="383"/>
      <c r="Q13" s="383"/>
      <c r="R13" s="383"/>
      <c r="S13" s="383"/>
      <c r="T13" s="383"/>
      <c r="U13" s="383"/>
      <c r="V13" s="383"/>
      <c r="W13" s="383"/>
      <c r="X13" s="383"/>
      <c r="Y13" s="383"/>
      <c r="Z13" s="383"/>
      <c r="AA13" s="383"/>
      <c r="AB13" s="383"/>
      <c r="AC13" s="383"/>
      <c r="AD13" s="383"/>
      <c r="AE13" s="383">
        <f>205-45</f>
        <v>160</v>
      </c>
      <c r="AF13" s="383"/>
      <c r="AG13" s="383">
        <f t="shared" si="2"/>
        <v>771.26</v>
      </c>
      <c r="AH13" s="382">
        <f t="shared" si="3"/>
        <v>183.74</v>
      </c>
      <c r="AI13" s="383"/>
      <c r="AJ13" s="383">
        <v>955</v>
      </c>
      <c r="AK13" s="223"/>
    </row>
    <row r="14" s="365" customFormat="1" ht="47" customHeight="1" spans="1:37">
      <c r="A14" s="381" t="s">
        <v>911</v>
      </c>
      <c r="B14" s="383">
        <v>909</v>
      </c>
      <c r="C14" s="383"/>
      <c r="D14" s="383">
        <f t="shared" si="0"/>
        <v>909</v>
      </c>
      <c r="E14" s="383">
        <f>909+14</f>
        <v>923</v>
      </c>
      <c r="F14" s="383"/>
      <c r="G14" s="382">
        <f t="shared" si="1"/>
        <v>923</v>
      </c>
      <c r="H14" s="383"/>
      <c r="I14" s="383"/>
      <c r="J14" s="383"/>
      <c r="K14" s="383"/>
      <c r="L14" s="383"/>
      <c r="M14" s="383"/>
      <c r="N14" s="383"/>
      <c r="O14" s="383"/>
      <c r="P14" s="383"/>
      <c r="Q14" s="383"/>
      <c r="R14" s="383"/>
      <c r="S14" s="383"/>
      <c r="T14" s="383"/>
      <c r="U14" s="383"/>
      <c r="V14" s="383"/>
      <c r="W14" s="383"/>
      <c r="X14" s="383"/>
      <c r="Y14" s="383"/>
      <c r="Z14" s="383"/>
      <c r="AA14" s="383"/>
      <c r="AB14" s="383"/>
      <c r="AC14" s="383">
        <v>14</v>
      </c>
      <c r="AD14" s="383"/>
      <c r="AE14" s="383"/>
      <c r="AF14" s="383"/>
      <c r="AG14" s="383">
        <f t="shared" si="2"/>
        <v>14</v>
      </c>
      <c r="AH14" s="382">
        <f t="shared" si="3"/>
        <v>909</v>
      </c>
      <c r="AI14" s="383"/>
      <c r="AJ14" s="383">
        <v>923</v>
      </c>
      <c r="AK14" s="223"/>
    </row>
    <row r="15" s="365" customFormat="1" ht="42" customHeight="1" spans="1:37">
      <c r="A15" s="381" t="s">
        <v>912</v>
      </c>
      <c r="B15" s="383">
        <v>1156</v>
      </c>
      <c r="C15" s="383"/>
      <c r="D15" s="383">
        <f t="shared" si="0"/>
        <v>1156</v>
      </c>
      <c r="E15" s="383">
        <v>1156</v>
      </c>
      <c r="F15" s="383"/>
      <c r="G15" s="382">
        <f t="shared" si="1"/>
        <v>1156</v>
      </c>
      <c r="H15" s="383"/>
      <c r="I15" s="383"/>
      <c r="J15" s="383"/>
      <c r="K15" s="383"/>
      <c r="L15" s="383"/>
      <c r="M15" s="383"/>
      <c r="N15" s="383"/>
      <c r="O15" s="383"/>
      <c r="P15" s="383"/>
      <c r="Q15" s="383"/>
      <c r="R15" s="383">
        <f>557.869-29</f>
        <v>528.869</v>
      </c>
      <c r="S15" s="383"/>
      <c r="T15" s="383"/>
      <c r="U15" s="383"/>
      <c r="V15" s="383"/>
      <c r="W15" s="383"/>
      <c r="X15" s="383"/>
      <c r="Y15" s="383"/>
      <c r="Z15" s="383"/>
      <c r="AA15" s="383"/>
      <c r="AB15" s="383"/>
      <c r="AC15" s="383"/>
      <c r="AD15" s="383"/>
      <c r="AE15" s="383"/>
      <c r="AF15" s="383"/>
      <c r="AG15" s="383">
        <f t="shared" si="2"/>
        <v>528.869</v>
      </c>
      <c r="AH15" s="382">
        <f t="shared" si="3"/>
        <v>627.131</v>
      </c>
      <c r="AI15" s="383"/>
      <c r="AJ15" s="383">
        <v>1156</v>
      </c>
      <c r="AK15" s="223"/>
    </row>
    <row r="16" s="365" customFormat="1" ht="42" customHeight="1" spans="1:37">
      <c r="A16" s="381" t="s">
        <v>913</v>
      </c>
      <c r="B16" s="383"/>
      <c r="C16" s="383">
        <f>2991+638.77</f>
        <v>3629.77</v>
      </c>
      <c r="D16" s="383">
        <f t="shared" si="0"/>
        <v>3629.77</v>
      </c>
      <c r="E16" s="383"/>
      <c r="F16" s="383">
        <f>2991+638.77</f>
        <v>3629.77</v>
      </c>
      <c r="G16" s="382">
        <f t="shared" si="1"/>
        <v>3629.77</v>
      </c>
      <c r="H16" s="383"/>
      <c r="I16" s="383"/>
      <c r="J16" s="383">
        <v>4</v>
      </c>
      <c r="K16" s="383"/>
      <c r="L16" s="383"/>
      <c r="M16" s="383"/>
      <c r="N16" s="383"/>
      <c r="O16" s="383"/>
      <c r="P16" s="383"/>
      <c r="Q16" s="383"/>
      <c r="R16" s="383"/>
      <c r="S16" s="383">
        <v>55.82</v>
      </c>
      <c r="T16" s="383">
        <v>2211</v>
      </c>
      <c r="U16" s="383"/>
      <c r="V16" s="383">
        <v>150</v>
      </c>
      <c r="W16" s="383"/>
      <c r="X16" s="383"/>
      <c r="Y16" s="383"/>
      <c r="Z16" s="383"/>
      <c r="AA16" s="383"/>
      <c r="AB16" s="383"/>
      <c r="AC16" s="383"/>
      <c r="AD16" s="383"/>
      <c r="AE16" s="383"/>
      <c r="AF16" s="383"/>
      <c r="AG16" s="383">
        <f t="shared" si="2"/>
        <v>2420.82</v>
      </c>
      <c r="AH16" s="382">
        <f t="shared" si="3"/>
        <v>1208.95</v>
      </c>
      <c r="AI16" s="383"/>
      <c r="AJ16" s="383">
        <v>3629.77</v>
      </c>
      <c r="AK16" s="223"/>
    </row>
    <row r="17" s="365" customFormat="1" ht="42" customHeight="1" spans="1:37">
      <c r="A17" s="381" t="s">
        <v>914</v>
      </c>
      <c r="B17" s="383">
        <v>1996</v>
      </c>
      <c r="C17" s="383"/>
      <c r="D17" s="383">
        <f t="shared" si="0"/>
        <v>1996</v>
      </c>
      <c r="E17" s="383">
        <v>1996</v>
      </c>
      <c r="F17" s="383"/>
      <c r="G17" s="382">
        <f t="shared" si="1"/>
        <v>1996</v>
      </c>
      <c r="H17" s="383"/>
      <c r="I17" s="383"/>
      <c r="J17" s="383"/>
      <c r="K17" s="383"/>
      <c r="L17" s="383"/>
      <c r="M17" s="383"/>
      <c r="N17" s="383"/>
      <c r="O17" s="383"/>
      <c r="P17" s="383"/>
      <c r="Q17" s="383"/>
      <c r="R17" s="383"/>
      <c r="S17" s="383"/>
      <c r="T17" s="383">
        <v>1040</v>
      </c>
      <c r="U17" s="383"/>
      <c r="V17" s="383"/>
      <c r="W17" s="383"/>
      <c r="X17" s="383"/>
      <c r="Y17" s="383"/>
      <c r="Z17" s="383"/>
      <c r="AA17" s="383"/>
      <c r="AB17" s="383"/>
      <c r="AC17" s="383"/>
      <c r="AD17" s="383"/>
      <c r="AE17" s="383"/>
      <c r="AF17" s="383"/>
      <c r="AG17" s="383">
        <f t="shared" si="2"/>
        <v>1040</v>
      </c>
      <c r="AH17" s="382">
        <f t="shared" si="3"/>
        <v>956</v>
      </c>
      <c r="AI17" s="383"/>
      <c r="AJ17" s="383">
        <v>1996</v>
      </c>
      <c r="AK17" s="223"/>
    </row>
    <row r="18" s="365" customFormat="1" ht="42" customHeight="1" spans="1:37">
      <c r="A18" s="381" t="s">
        <v>915</v>
      </c>
      <c r="B18" s="383">
        <v>500</v>
      </c>
      <c r="C18" s="383">
        <v>760</v>
      </c>
      <c r="D18" s="383">
        <f t="shared" si="0"/>
        <v>1260</v>
      </c>
      <c r="E18" s="383">
        <v>500</v>
      </c>
      <c r="F18" s="383">
        <v>760</v>
      </c>
      <c r="G18" s="382">
        <f t="shared" si="1"/>
        <v>1260</v>
      </c>
      <c r="H18" s="383">
        <v>50.03</v>
      </c>
      <c r="I18" s="383"/>
      <c r="J18" s="383"/>
      <c r="K18" s="383"/>
      <c r="L18" s="383"/>
      <c r="M18" s="383">
        <v>160</v>
      </c>
      <c r="N18" s="383"/>
      <c r="O18" s="383"/>
      <c r="P18" s="383"/>
      <c r="Q18" s="383">
        <v>100</v>
      </c>
      <c r="R18" s="383"/>
      <c r="S18" s="383">
        <f>27.22+0.24+72-20</f>
        <v>79.46</v>
      </c>
      <c r="T18" s="383"/>
      <c r="U18" s="383"/>
      <c r="V18" s="383"/>
      <c r="W18" s="383"/>
      <c r="X18" s="383"/>
      <c r="Y18" s="383"/>
      <c r="Z18" s="383">
        <v>323</v>
      </c>
      <c r="AA18" s="383">
        <f>172-16</f>
        <v>156</v>
      </c>
      <c r="AB18" s="383"/>
      <c r="AC18" s="383">
        <v>42.3</v>
      </c>
      <c r="AD18" s="383"/>
      <c r="AE18" s="383"/>
      <c r="AF18" s="383"/>
      <c r="AG18" s="383">
        <f t="shared" si="2"/>
        <v>910.79</v>
      </c>
      <c r="AH18" s="382">
        <f t="shared" si="3"/>
        <v>36</v>
      </c>
      <c r="AI18" s="383">
        <f>333.31-20.1</f>
        <v>313.21</v>
      </c>
      <c r="AJ18" s="383">
        <v>1260</v>
      </c>
      <c r="AK18" s="223"/>
    </row>
    <row r="19" s="365" customFormat="1" ht="47" customHeight="1" spans="1:37">
      <c r="A19" s="381" t="s">
        <v>916</v>
      </c>
      <c r="B19" s="383"/>
      <c r="C19" s="383">
        <f>6250+650+300</f>
        <v>7200</v>
      </c>
      <c r="D19" s="383">
        <f t="shared" si="0"/>
        <v>7200</v>
      </c>
      <c r="E19" s="383"/>
      <c r="F19" s="383">
        <f>6250+650+300+597</f>
        <v>7797</v>
      </c>
      <c r="G19" s="382">
        <f t="shared" si="1"/>
        <v>7797</v>
      </c>
      <c r="H19" s="383">
        <v>420</v>
      </c>
      <c r="I19" s="383">
        <v>242</v>
      </c>
      <c r="J19" s="383">
        <v>36</v>
      </c>
      <c r="K19" s="383"/>
      <c r="L19" s="383"/>
      <c r="M19" s="383"/>
      <c r="N19" s="383"/>
      <c r="O19" s="383"/>
      <c r="P19" s="383"/>
      <c r="Q19" s="383"/>
      <c r="R19" s="383"/>
      <c r="S19" s="383"/>
      <c r="T19" s="383"/>
      <c r="U19" s="383"/>
      <c r="V19" s="383"/>
      <c r="W19" s="383">
        <f>867</f>
        <v>867</v>
      </c>
      <c r="X19" s="383"/>
      <c r="Y19" s="383"/>
      <c r="Z19" s="383"/>
      <c r="AA19" s="383"/>
      <c r="AB19" s="383"/>
      <c r="AC19" s="383"/>
      <c r="AD19" s="383"/>
      <c r="AE19" s="383"/>
      <c r="AF19" s="383">
        <v>219</v>
      </c>
      <c r="AG19" s="383">
        <f t="shared" si="2"/>
        <v>1784</v>
      </c>
      <c r="AH19" s="382">
        <f t="shared" si="3"/>
        <v>6013</v>
      </c>
      <c r="AI19" s="383"/>
      <c r="AJ19" s="383">
        <v>7797</v>
      </c>
      <c r="AK19" s="223"/>
    </row>
    <row r="20" s="365" customFormat="1" ht="42" customHeight="1" spans="1:37">
      <c r="A20" s="381" t="s">
        <v>917</v>
      </c>
      <c r="B20" s="383">
        <v>2673</v>
      </c>
      <c r="C20" s="383"/>
      <c r="D20" s="383">
        <f t="shared" si="0"/>
        <v>2673</v>
      </c>
      <c r="E20" s="383">
        <f>2673+673+111</f>
        <v>3457</v>
      </c>
      <c r="F20" s="383"/>
      <c r="G20" s="382">
        <f t="shared" si="1"/>
        <v>3457</v>
      </c>
      <c r="H20" s="383"/>
      <c r="I20" s="383"/>
      <c r="J20" s="383"/>
      <c r="K20" s="383"/>
      <c r="L20" s="383"/>
      <c r="M20" s="383"/>
      <c r="N20" s="383"/>
      <c r="O20" s="383"/>
      <c r="P20" s="383"/>
      <c r="Q20" s="383"/>
      <c r="R20" s="383"/>
      <c r="S20" s="383"/>
      <c r="T20" s="383">
        <f>111+55</f>
        <v>166</v>
      </c>
      <c r="U20" s="383"/>
      <c r="V20" s="383"/>
      <c r="W20" s="383">
        <v>2</v>
      </c>
      <c r="X20" s="383"/>
      <c r="Y20" s="383">
        <f>117-43.87</f>
        <v>73.13</v>
      </c>
      <c r="Z20" s="383"/>
      <c r="AA20" s="383"/>
      <c r="AB20" s="383">
        <v>434</v>
      </c>
      <c r="AC20" s="383"/>
      <c r="AD20" s="383"/>
      <c r="AE20" s="383"/>
      <c r="AF20" s="383"/>
      <c r="AG20" s="383">
        <f t="shared" si="2"/>
        <v>675.13</v>
      </c>
      <c r="AH20" s="382">
        <f t="shared" si="3"/>
        <v>2781.87</v>
      </c>
      <c r="AI20" s="383"/>
      <c r="AJ20" s="383">
        <v>3457</v>
      </c>
      <c r="AK20" s="223"/>
    </row>
    <row r="21" s="365" customFormat="1" ht="42" customHeight="1" spans="1:37">
      <c r="A21" s="381" t="s">
        <v>918</v>
      </c>
      <c r="B21" s="383"/>
      <c r="C21" s="383"/>
      <c r="D21" s="383"/>
      <c r="E21" s="383">
        <v>2892.462867</v>
      </c>
      <c r="F21" s="383"/>
      <c r="G21" s="382">
        <f t="shared" si="1"/>
        <v>2892.462867</v>
      </c>
      <c r="H21" s="383"/>
      <c r="I21" s="383"/>
      <c r="J21" s="383"/>
      <c r="K21" s="383"/>
      <c r="L21" s="383"/>
      <c r="M21" s="383"/>
      <c r="N21" s="383"/>
      <c r="O21" s="383"/>
      <c r="P21" s="383"/>
      <c r="Q21" s="383"/>
      <c r="R21" s="383"/>
      <c r="S21" s="383"/>
      <c r="T21" s="383">
        <v>2892.462867</v>
      </c>
      <c r="U21" s="383"/>
      <c r="V21" s="383"/>
      <c r="W21" s="383"/>
      <c r="X21" s="383"/>
      <c r="Y21" s="383"/>
      <c r="Z21" s="383"/>
      <c r="AA21" s="383"/>
      <c r="AB21" s="383"/>
      <c r="AC21" s="383"/>
      <c r="AD21" s="383"/>
      <c r="AE21" s="383"/>
      <c r="AF21" s="383"/>
      <c r="AG21" s="383">
        <f t="shared" si="2"/>
        <v>2892.462867</v>
      </c>
      <c r="AH21" s="382">
        <f t="shared" si="3"/>
        <v>0</v>
      </c>
      <c r="AI21" s="383"/>
      <c r="AJ21" s="383">
        <v>2892.462867</v>
      </c>
      <c r="AK21" s="223"/>
    </row>
    <row r="22" s="365" customFormat="1" ht="48" customHeight="1" spans="1:37">
      <c r="A22" s="381" t="s">
        <v>919</v>
      </c>
      <c r="B22" s="383">
        <f>970+588+6232</f>
        <v>7790</v>
      </c>
      <c r="C22" s="383"/>
      <c r="D22" s="383">
        <f>+B22+C22</f>
        <v>7790</v>
      </c>
      <c r="E22" s="383">
        <f>970+588+6232+465+274+1500</f>
        <v>10029</v>
      </c>
      <c r="F22" s="383"/>
      <c r="G22" s="382">
        <f t="shared" si="1"/>
        <v>10029</v>
      </c>
      <c r="H22" s="383"/>
      <c r="I22" s="383"/>
      <c r="J22" s="383">
        <v>2667.82</v>
      </c>
      <c r="K22" s="383"/>
      <c r="L22" s="383"/>
      <c r="M22" s="383"/>
      <c r="N22" s="383"/>
      <c r="O22" s="383"/>
      <c r="P22" s="383"/>
      <c r="Q22" s="383"/>
      <c r="R22" s="383"/>
      <c r="S22" s="383"/>
      <c r="T22" s="383">
        <f>218+274</f>
        <v>492</v>
      </c>
      <c r="U22" s="383"/>
      <c r="V22" s="383"/>
      <c r="W22" s="383"/>
      <c r="X22" s="383"/>
      <c r="Y22" s="383"/>
      <c r="Z22" s="383"/>
      <c r="AA22" s="383"/>
      <c r="AB22" s="383"/>
      <c r="AC22" s="383"/>
      <c r="AD22" s="383"/>
      <c r="AE22" s="383"/>
      <c r="AF22" s="383">
        <v>225</v>
      </c>
      <c r="AG22" s="383">
        <f t="shared" si="2"/>
        <v>3384.82</v>
      </c>
      <c r="AH22" s="382">
        <f t="shared" si="3"/>
        <v>1522</v>
      </c>
      <c r="AI22" s="383">
        <v>5122.18</v>
      </c>
      <c r="AJ22" s="383">
        <v>10029</v>
      </c>
      <c r="AK22" s="223"/>
    </row>
    <row r="23" s="365" customFormat="1" ht="48" customHeight="1" spans="1:37">
      <c r="A23" s="384" t="s">
        <v>506</v>
      </c>
      <c r="B23" s="385">
        <f t="shared" ref="B23:F23" si="4">SUM(B7:B22)</f>
        <v>20877</v>
      </c>
      <c r="C23" s="385">
        <f t="shared" si="4"/>
        <v>11677.56</v>
      </c>
      <c r="D23" s="386">
        <f>B23+C23</f>
        <v>32554.56</v>
      </c>
      <c r="E23" s="385">
        <f t="shared" si="4"/>
        <v>27556.462867</v>
      </c>
      <c r="F23" s="385">
        <f t="shared" si="4"/>
        <v>12274.56</v>
      </c>
      <c r="G23" s="386">
        <f>E23+F23</f>
        <v>39831.022867</v>
      </c>
      <c r="H23" s="386">
        <f t="shared" ref="H23:AF23" si="5">SUM(H7:H22)</f>
        <v>542.03</v>
      </c>
      <c r="I23" s="386">
        <f t="shared" si="5"/>
        <v>264</v>
      </c>
      <c r="J23" s="386">
        <f t="shared" si="5"/>
        <v>2707.82</v>
      </c>
      <c r="K23" s="386">
        <f t="shared" si="5"/>
        <v>296.26</v>
      </c>
      <c r="L23" s="386">
        <f t="shared" si="5"/>
        <v>441</v>
      </c>
      <c r="M23" s="386">
        <f t="shared" si="5"/>
        <v>357</v>
      </c>
      <c r="N23" s="386">
        <f t="shared" si="5"/>
        <v>100</v>
      </c>
      <c r="O23" s="386">
        <f t="shared" si="5"/>
        <v>10</v>
      </c>
      <c r="P23" s="386">
        <f t="shared" si="5"/>
        <v>34.86</v>
      </c>
      <c r="Q23" s="386">
        <f t="shared" si="5"/>
        <v>107</v>
      </c>
      <c r="R23" s="386">
        <f t="shared" si="5"/>
        <v>1765.49</v>
      </c>
      <c r="S23" s="386">
        <f t="shared" si="5"/>
        <v>135.28</v>
      </c>
      <c r="T23" s="386">
        <f t="shared" si="5"/>
        <v>7586.462867</v>
      </c>
      <c r="U23" s="386">
        <f t="shared" si="5"/>
        <v>25</v>
      </c>
      <c r="V23" s="386">
        <f t="shared" si="5"/>
        <v>150</v>
      </c>
      <c r="W23" s="386">
        <f t="shared" si="5"/>
        <v>879</v>
      </c>
      <c r="X23" s="386">
        <f t="shared" si="5"/>
        <v>34</v>
      </c>
      <c r="Y23" s="386">
        <f t="shared" si="5"/>
        <v>73.13</v>
      </c>
      <c r="Z23" s="386">
        <f t="shared" si="5"/>
        <v>323</v>
      </c>
      <c r="AA23" s="386">
        <f t="shared" si="5"/>
        <v>156</v>
      </c>
      <c r="AB23" s="386">
        <f t="shared" si="5"/>
        <v>434</v>
      </c>
      <c r="AC23" s="386">
        <f t="shared" si="5"/>
        <v>56.3</v>
      </c>
      <c r="AD23" s="386">
        <f t="shared" si="5"/>
        <v>500</v>
      </c>
      <c r="AE23" s="386">
        <f t="shared" si="5"/>
        <v>160</v>
      </c>
      <c r="AF23" s="386">
        <f t="shared" si="5"/>
        <v>494</v>
      </c>
      <c r="AG23" s="386">
        <f t="shared" si="2"/>
        <v>17631.632867</v>
      </c>
      <c r="AH23" s="386">
        <f t="shared" ref="AH23:AK23" si="6">SUM(AH7:AH22)</f>
        <v>15595</v>
      </c>
      <c r="AI23" s="386">
        <f t="shared" si="6"/>
        <v>6604.39</v>
      </c>
      <c r="AJ23" s="386">
        <f>+AG23+AH23+AI23</f>
        <v>39831.022867</v>
      </c>
      <c r="AK23" s="395"/>
    </row>
    <row r="24" s="365" customFormat="1" ht="29" hidden="1" customHeight="1" spans="1:37">
      <c r="A24" s="387"/>
      <c r="B24" s="388"/>
      <c r="C24" s="388"/>
      <c r="D24" s="389"/>
      <c r="E24" s="388"/>
      <c r="F24" s="388"/>
      <c r="G24" s="389" t="s">
        <v>920</v>
      </c>
      <c r="H24" s="389">
        <v>420</v>
      </c>
      <c r="I24" s="389"/>
      <c r="J24" s="389">
        <v>36</v>
      </c>
      <c r="K24" s="389">
        <f>8.21+5.28+0.77</f>
        <v>14.26</v>
      </c>
      <c r="L24" s="389">
        <v>400</v>
      </c>
      <c r="M24" s="389">
        <v>197</v>
      </c>
      <c r="N24" s="389">
        <v>0</v>
      </c>
      <c r="O24" s="389"/>
      <c r="P24" s="389"/>
      <c r="Q24" s="389"/>
      <c r="R24" s="389"/>
      <c r="S24" s="389"/>
      <c r="T24" s="389"/>
      <c r="U24" s="389"/>
      <c r="V24" s="389"/>
      <c r="W24" s="389"/>
      <c r="X24" s="389"/>
      <c r="Y24" s="389"/>
      <c r="Z24" s="389"/>
      <c r="AA24" s="389">
        <v>4.2</v>
      </c>
      <c r="AB24" s="389"/>
      <c r="AC24" s="389">
        <v>14.1</v>
      </c>
      <c r="AD24" s="389"/>
      <c r="AE24" s="389"/>
      <c r="AF24" s="389">
        <v>225</v>
      </c>
      <c r="AG24" s="389"/>
      <c r="AH24" s="389"/>
      <c r="AI24" s="389"/>
      <c r="AJ24" s="389">
        <f>+AJ23-G23</f>
        <v>0</v>
      </c>
      <c r="AK24" s="396"/>
    </row>
    <row r="25" s="365" customFormat="1" ht="29" hidden="1" customHeight="1" spans="1:37">
      <c r="A25" s="387"/>
      <c r="B25" s="388"/>
      <c r="C25" s="388"/>
      <c r="D25" s="389"/>
      <c r="E25" s="388"/>
      <c r="F25" s="388"/>
      <c r="G25" s="389" t="s">
        <v>921</v>
      </c>
      <c r="H25" s="389"/>
      <c r="I25" s="389"/>
      <c r="J25" s="389"/>
      <c r="K25" s="389"/>
      <c r="L25" s="389"/>
      <c r="M25" s="389"/>
      <c r="N25" s="389"/>
      <c r="O25" s="389"/>
      <c r="P25" s="389"/>
      <c r="Q25" s="389"/>
      <c r="R25" s="389"/>
      <c r="S25" s="389">
        <v>-20</v>
      </c>
      <c r="T25" s="389"/>
      <c r="U25" s="389"/>
      <c r="V25" s="389"/>
      <c r="W25" s="389"/>
      <c r="X25" s="389"/>
      <c r="Y25" s="389">
        <v>-43.87</v>
      </c>
      <c r="Z25" s="389"/>
      <c r="AA25" s="389">
        <v>-20</v>
      </c>
      <c r="AB25" s="389"/>
      <c r="AC25" s="389"/>
      <c r="AD25" s="389"/>
      <c r="AE25" s="389">
        <v>-45</v>
      </c>
      <c r="AF25" s="389"/>
      <c r="AG25" s="389"/>
      <c r="AH25" s="389"/>
      <c r="AI25" s="389"/>
      <c r="AJ25" s="389"/>
      <c r="AK25" s="396"/>
    </row>
    <row r="26" s="363" customFormat="1" ht="23" customHeight="1" spans="1:36">
      <c r="A26" s="363" t="s">
        <v>922</v>
      </c>
      <c r="B26" s="366"/>
      <c r="C26" s="366"/>
      <c r="D26" s="367"/>
      <c r="E26" s="367"/>
      <c r="F26" s="367"/>
      <c r="G26" s="367"/>
      <c r="H26" s="367"/>
      <c r="I26" s="368"/>
      <c r="J26" s="368"/>
      <c r="K26" s="368"/>
      <c r="L26" s="368"/>
      <c r="M26" s="368"/>
      <c r="N26" s="368"/>
      <c r="O26" s="368"/>
      <c r="P26" s="368"/>
      <c r="Q26" s="368"/>
      <c r="R26" s="369"/>
      <c r="S26" s="368"/>
      <c r="T26" s="368"/>
      <c r="U26" s="368"/>
      <c r="V26" s="368"/>
      <c r="W26" s="368"/>
      <c r="X26" s="368"/>
      <c r="Y26" s="368"/>
      <c r="Z26" s="368"/>
      <c r="AA26" s="368"/>
      <c r="AB26" s="368"/>
      <c r="AC26" s="368"/>
      <c r="AD26" s="368"/>
      <c r="AE26" s="368"/>
      <c r="AF26" s="368"/>
      <c r="AG26" s="368"/>
      <c r="AH26" s="368"/>
      <c r="AI26" s="368"/>
      <c r="AJ26" s="368"/>
    </row>
    <row r="27" s="363" customFormat="1" ht="23" customHeight="1" spans="1:36">
      <c r="A27" s="390"/>
      <c r="B27" s="366"/>
      <c r="C27" s="366"/>
      <c r="D27" s="367"/>
      <c r="E27" s="367"/>
      <c r="F27" s="367"/>
      <c r="G27" s="367"/>
      <c r="H27" s="367"/>
      <c r="I27" s="368"/>
      <c r="J27" s="368"/>
      <c r="K27" s="368"/>
      <c r="L27" s="368"/>
      <c r="M27" s="368"/>
      <c r="N27" s="368"/>
      <c r="O27" s="368"/>
      <c r="P27" s="368"/>
      <c r="Q27" s="368"/>
      <c r="R27" s="369"/>
      <c r="S27" s="368"/>
      <c r="T27" s="368"/>
      <c r="U27" s="368"/>
      <c r="V27" s="368"/>
      <c r="W27" s="368"/>
      <c r="X27" s="368"/>
      <c r="Y27" s="368"/>
      <c r="Z27" s="368"/>
      <c r="AA27" s="368"/>
      <c r="AB27" s="368"/>
      <c r="AC27" s="368"/>
      <c r="AD27" s="368"/>
      <c r="AE27" s="368"/>
      <c r="AF27" s="368"/>
      <c r="AG27" s="368"/>
      <c r="AH27" s="368"/>
      <c r="AI27" s="368"/>
      <c r="AJ27" s="368"/>
    </row>
    <row r="28" s="363" customFormat="1" ht="23" customHeight="1" spans="2:36">
      <c r="B28" s="366"/>
      <c r="C28" s="366"/>
      <c r="D28" s="367"/>
      <c r="E28" s="367"/>
      <c r="F28" s="367"/>
      <c r="G28" s="367"/>
      <c r="H28" s="367"/>
      <c r="I28" s="368"/>
      <c r="J28" s="368"/>
      <c r="K28" s="368"/>
      <c r="L28" s="368"/>
      <c r="M28" s="368"/>
      <c r="N28" s="368"/>
      <c r="O28" s="368"/>
      <c r="P28" s="368"/>
      <c r="Q28" s="368"/>
      <c r="R28" s="369"/>
      <c r="S28" s="368"/>
      <c r="T28" s="368"/>
      <c r="U28" s="368"/>
      <c r="V28" s="368"/>
      <c r="W28" s="368"/>
      <c r="X28" s="368"/>
      <c r="Y28" s="368"/>
      <c r="Z28" s="368"/>
      <c r="AA28" s="368"/>
      <c r="AB28" s="368"/>
      <c r="AC28" s="368"/>
      <c r="AD28" s="368"/>
      <c r="AE28" s="368"/>
      <c r="AF28" s="368"/>
      <c r="AG28" s="368"/>
      <c r="AH28" s="368"/>
      <c r="AI28" s="368"/>
      <c r="AJ28" s="368"/>
    </row>
    <row r="29" s="363" customFormat="1" spans="2:36">
      <c r="B29" s="366"/>
      <c r="C29" s="366"/>
      <c r="D29" s="367"/>
      <c r="E29" s="367"/>
      <c r="F29" s="367"/>
      <c r="G29" s="367"/>
      <c r="H29" s="367"/>
      <c r="I29" s="368"/>
      <c r="J29" s="368"/>
      <c r="K29" s="368"/>
      <c r="L29" s="368"/>
      <c r="M29" s="368"/>
      <c r="N29" s="368"/>
      <c r="O29" s="368"/>
      <c r="P29" s="368"/>
      <c r="Q29" s="368"/>
      <c r="R29" s="369"/>
      <c r="S29" s="368"/>
      <c r="T29" s="368"/>
      <c r="U29" s="368"/>
      <c r="V29" s="368"/>
      <c r="W29" s="368"/>
      <c r="X29" s="368"/>
      <c r="Y29" s="368"/>
      <c r="Z29" s="368"/>
      <c r="AA29" s="368"/>
      <c r="AB29" s="368"/>
      <c r="AC29" s="368"/>
      <c r="AD29" s="368"/>
      <c r="AE29" s="368"/>
      <c r="AF29" s="368"/>
      <c r="AG29" s="368"/>
      <c r="AH29" s="368"/>
      <c r="AI29" s="368"/>
      <c r="AJ29" s="368"/>
    </row>
    <row r="30" s="363" customFormat="1" ht="19" customHeight="1" spans="2:36">
      <c r="B30" s="366"/>
      <c r="C30" s="366"/>
      <c r="D30" s="367"/>
      <c r="E30" s="367"/>
      <c r="F30" s="367"/>
      <c r="G30" s="367"/>
      <c r="H30" s="367"/>
      <c r="I30" s="368"/>
      <c r="J30" s="368"/>
      <c r="K30" s="368"/>
      <c r="L30" s="368"/>
      <c r="M30" s="368"/>
      <c r="N30" s="368"/>
      <c r="O30" s="368"/>
      <c r="P30" s="368"/>
      <c r="Q30" s="368"/>
      <c r="R30" s="369"/>
      <c r="S30" s="368"/>
      <c r="T30" s="368"/>
      <c r="U30" s="368"/>
      <c r="V30" s="368"/>
      <c r="W30" s="368"/>
      <c r="X30" s="368"/>
      <c r="Y30" s="368"/>
      <c r="Z30" s="368"/>
      <c r="AA30" s="368"/>
      <c r="AB30" s="368"/>
      <c r="AC30" s="368"/>
      <c r="AD30" s="368"/>
      <c r="AE30" s="368"/>
      <c r="AF30" s="368"/>
      <c r="AG30" s="368"/>
      <c r="AH30" s="368"/>
      <c r="AI30" s="368"/>
      <c r="AJ30" s="368"/>
    </row>
    <row r="31" s="363" customFormat="1" ht="19" customHeight="1" spans="2:36">
      <c r="B31" s="366"/>
      <c r="C31" s="366"/>
      <c r="D31" s="367"/>
      <c r="E31" s="367"/>
      <c r="F31" s="367"/>
      <c r="G31" s="367"/>
      <c r="H31" s="367"/>
      <c r="I31" s="368"/>
      <c r="J31" s="368"/>
      <c r="K31" s="368"/>
      <c r="L31" s="368"/>
      <c r="M31" s="368"/>
      <c r="N31" s="368"/>
      <c r="O31" s="368"/>
      <c r="P31" s="368"/>
      <c r="Q31" s="368"/>
      <c r="R31" s="369"/>
      <c r="S31" s="368"/>
      <c r="T31" s="368"/>
      <c r="U31" s="368"/>
      <c r="V31" s="368"/>
      <c r="W31" s="368"/>
      <c r="X31" s="368"/>
      <c r="Y31" s="368"/>
      <c r="Z31" s="368"/>
      <c r="AA31" s="368"/>
      <c r="AB31" s="368"/>
      <c r="AC31" s="368"/>
      <c r="AD31" s="368"/>
      <c r="AE31" s="368"/>
      <c r="AF31" s="368"/>
      <c r="AG31" s="368"/>
      <c r="AH31" s="368"/>
      <c r="AI31" s="368"/>
      <c r="AJ31" s="368"/>
    </row>
    <row r="32" s="363" customFormat="1" ht="19" customHeight="1" spans="2:36">
      <c r="B32" s="366"/>
      <c r="C32" s="366"/>
      <c r="D32" s="367"/>
      <c r="E32" s="367"/>
      <c r="F32" s="367"/>
      <c r="G32" s="367"/>
      <c r="H32" s="367"/>
      <c r="I32" s="368"/>
      <c r="J32" s="368"/>
      <c r="K32" s="368"/>
      <c r="L32" s="368"/>
      <c r="M32" s="368"/>
      <c r="N32" s="368"/>
      <c r="O32" s="368"/>
      <c r="P32" s="368"/>
      <c r="Q32" s="368"/>
      <c r="R32" s="369"/>
      <c r="S32" s="368"/>
      <c r="T32" s="368"/>
      <c r="U32" s="368"/>
      <c r="V32" s="368"/>
      <c r="W32" s="368"/>
      <c r="X32" s="368"/>
      <c r="Y32" s="368"/>
      <c r="Z32" s="368"/>
      <c r="AA32" s="368"/>
      <c r="AB32" s="368"/>
      <c r="AC32" s="368"/>
      <c r="AD32" s="368"/>
      <c r="AE32" s="368"/>
      <c r="AF32" s="368"/>
      <c r="AG32" s="368"/>
      <c r="AH32" s="368"/>
      <c r="AI32" s="368"/>
      <c r="AJ32" s="368"/>
    </row>
  </sheetData>
  <mergeCells count="11">
    <mergeCell ref="A2:AK2"/>
    <mergeCell ref="B4:G4"/>
    <mergeCell ref="H4:AJ4"/>
    <mergeCell ref="B5:D5"/>
    <mergeCell ref="E5:G5"/>
    <mergeCell ref="H5:AG5"/>
    <mergeCell ref="A4:A6"/>
    <mergeCell ref="AH5:AH6"/>
    <mergeCell ref="AI5:AI6"/>
    <mergeCell ref="AJ5:AJ6"/>
    <mergeCell ref="AK4:AK6"/>
  </mergeCells>
  <printOptions horizontalCentered="1"/>
  <pageMargins left="0.393055555555556" right="0.393055555555556" top="0.393055555555556" bottom="0.393055555555556" header="0.196527777777778" footer="0.196527777777778"/>
  <pageSetup paperSize="9" scale="46" fitToHeight="0"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A12" workbookViewId="0">
      <selection activeCell="E18" sqref="E18"/>
    </sheetView>
  </sheetViews>
  <sheetFormatPr defaultColWidth="9" defaultRowHeight="14.25"/>
  <cols>
    <col min="1" max="1" width="32" style="1" customWidth="1"/>
    <col min="2" max="9" width="11.375" style="326" customWidth="1"/>
    <col min="10" max="10" width="20.75" style="1" customWidth="1"/>
    <col min="11" max="11" width="10.5" style="1" customWidth="1"/>
    <col min="12" max="16384" width="9" style="1"/>
  </cols>
  <sheetData>
    <row r="1" s="58" customFormat="1" ht="21" customHeight="1" spans="1:10">
      <c r="A1" s="327" t="s">
        <v>923</v>
      </c>
      <c r="B1" s="328"/>
      <c r="C1" s="329"/>
      <c r="D1" s="328"/>
      <c r="E1" s="330"/>
      <c r="F1" s="328"/>
      <c r="G1" s="328"/>
      <c r="H1" s="328"/>
      <c r="I1" s="328"/>
      <c r="J1" s="356"/>
    </row>
    <row r="2" s="186" customFormat="1" ht="28" customHeight="1" spans="1:11">
      <c r="A2" s="331" t="s">
        <v>924</v>
      </c>
      <c r="B2" s="332"/>
      <c r="C2" s="332"/>
      <c r="D2" s="332"/>
      <c r="E2" s="333"/>
      <c r="F2" s="332"/>
      <c r="G2" s="332"/>
      <c r="H2" s="332"/>
      <c r="I2" s="332"/>
      <c r="J2" s="331"/>
      <c r="K2" s="1"/>
    </row>
    <row r="3" s="185" customFormat="1" ht="22" customHeight="1" spans="1:10">
      <c r="A3" s="334"/>
      <c r="B3" s="191"/>
      <c r="C3" s="192"/>
      <c r="D3" s="191"/>
      <c r="E3" s="193"/>
      <c r="F3" s="191"/>
      <c r="G3" s="191"/>
      <c r="H3" s="191"/>
      <c r="I3" s="191"/>
      <c r="J3" s="357" t="s">
        <v>5</v>
      </c>
    </row>
    <row r="4" s="39" customFormat="1" ht="27" customHeight="1" spans="1:10">
      <c r="A4" s="335" t="s">
        <v>6</v>
      </c>
      <c r="B4" s="336" t="s">
        <v>7</v>
      </c>
      <c r="C4" s="337"/>
      <c r="D4" s="338" t="s">
        <v>8</v>
      </c>
      <c r="E4" s="338"/>
      <c r="F4" s="338" t="s">
        <v>9</v>
      </c>
      <c r="G4" s="338"/>
      <c r="H4" s="338" t="s">
        <v>925</v>
      </c>
      <c r="I4" s="338"/>
      <c r="J4" s="358" t="s">
        <v>11</v>
      </c>
    </row>
    <row r="5" s="39" customFormat="1" ht="27" customHeight="1" spans="1:10">
      <c r="A5" s="339"/>
      <c r="B5" s="340" t="s">
        <v>12</v>
      </c>
      <c r="C5" s="341" t="s">
        <v>13</v>
      </c>
      <c r="D5" s="340" t="s">
        <v>12</v>
      </c>
      <c r="E5" s="341" t="s">
        <v>13</v>
      </c>
      <c r="F5" s="340" t="s">
        <v>12</v>
      </c>
      <c r="G5" s="341" t="s">
        <v>13</v>
      </c>
      <c r="H5" s="340" t="s">
        <v>12</v>
      </c>
      <c r="I5" s="341" t="s">
        <v>13</v>
      </c>
      <c r="J5" s="359"/>
    </row>
    <row r="6" s="324" customFormat="1" ht="27" customHeight="1" spans="1:10">
      <c r="A6" s="342" t="s">
        <v>926</v>
      </c>
      <c r="B6" s="343">
        <f t="shared" ref="B6:G6" si="0">SUM(B7:B15)</f>
        <v>396940</v>
      </c>
      <c r="C6" s="343">
        <f t="shared" si="0"/>
        <v>396940</v>
      </c>
      <c r="D6" s="343">
        <f t="shared" si="0"/>
        <v>-82874</v>
      </c>
      <c r="E6" s="343">
        <f t="shared" si="0"/>
        <v>-82874</v>
      </c>
      <c r="F6" s="343">
        <f t="shared" si="0"/>
        <v>314066</v>
      </c>
      <c r="G6" s="343">
        <f t="shared" si="0"/>
        <v>314066</v>
      </c>
      <c r="H6" s="344">
        <f t="shared" ref="H6:H22" si="1">IF(B6=0,IF(F6=0,0,100),100*(F6/B6-1))</f>
        <v>-20.8782183705346</v>
      </c>
      <c r="I6" s="344">
        <f t="shared" ref="I6:I22" si="2">IF(C6=0,IF(G6=0,0,100),100*(G6/C6-1))</f>
        <v>-20.8782183705346</v>
      </c>
      <c r="J6" s="359"/>
    </row>
    <row r="7" s="1" customFormat="1" ht="27" customHeight="1" spans="1:10">
      <c r="A7" s="228" t="s">
        <v>927</v>
      </c>
      <c r="B7" s="345">
        <v>19600</v>
      </c>
      <c r="C7" s="345">
        <v>19600</v>
      </c>
      <c r="D7" s="346">
        <v>-5200</v>
      </c>
      <c r="E7" s="346">
        <v>-5200</v>
      </c>
      <c r="F7" s="346">
        <f t="shared" ref="F7:F15" si="3">B7+D7</f>
        <v>14400</v>
      </c>
      <c r="G7" s="346">
        <v>14400</v>
      </c>
      <c r="H7" s="347">
        <f t="shared" si="1"/>
        <v>-26.530612244898</v>
      </c>
      <c r="I7" s="347">
        <f t="shared" si="2"/>
        <v>-26.530612244898</v>
      </c>
      <c r="J7" s="222"/>
    </row>
    <row r="8" s="1" customFormat="1" ht="27" customHeight="1" spans="1:10">
      <c r="A8" s="228" t="s">
        <v>928</v>
      </c>
      <c r="B8" s="345">
        <v>890</v>
      </c>
      <c r="C8" s="345">
        <v>890</v>
      </c>
      <c r="D8" s="346">
        <v>-80</v>
      </c>
      <c r="E8" s="346">
        <v>-80</v>
      </c>
      <c r="F8" s="346">
        <f t="shared" si="3"/>
        <v>810</v>
      </c>
      <c r="G8" s="346">
        <v>810</v>
      </c>
      <c r="H8" s="347">
        <f t="shared" si="1"/>
        <v>-8.98876404494382</v>
      </c>
      <c r="I8" s="347">
        <f t="shared" si="2"/>
        <v>-8.98876404494382</v>
      </c>
      <c r="J8" s="307"/>
    </row>
    <row r="9" s="1" customFormat="1" ht="27" customHeight="1" spans="1:10">
      <c r="A9" s="228" t="s">
        <v>929</v>
      </c>
      <c r="B9" s="345">
        <v>371950</v>
      </c>
      <c r="C9" s="345">
        <v>371950</v>
      </c>
      <c r="D9" s="348">
        <v>-84374</v>
      </c>
      <c r="E9" s="348">
        <v>-84374</v>
      </c>
      <c r="F9" s="346">
        <f t="shared" si="3"/>
        <v>287576</v>
      </c>
      <c r="G9" s="346">
        <v>287576</v>
      </c>
      <c r="H9" s="347">
        <f t="shared" si="1"/>
        <v>-22.6842317515795</v>
      </c>
      <c r="I9" s="347">
        <f t="shared" si="2"/>
        <v>-22.6842317515795</v>
      </c>
      <c r="J9" s="222"/>
    </row>
    <row r="10" s="1" customFormat="1" ht="27" customHeight="1" spans="1:10">
      <c r="A10" s="228" t="s">
        <v>930</v>
      </c>
      <c r="B10" s="345">
        <v>500</v>
      </c>
      <c r="C10" s="345">
        <v>500</v>
      </c>
      <c r="D10" s="348">
        <v>1100</v>
      </c>
      <c r="E10" s="348">
        <v>1100</v>
      </c>
      <c r="F10" s="346">
        <f t="shared" si="3"/>
        <v>1600</v>
      </c>
      <c r="G10" s="346">
        <v>1600</v>
      </c>
      <c r="H10" s="347">
        <f t="shared" si="1"/>
        <v>220</v>
      </c>
      <c r="I10" s="347">
        <f t="shared" si="2"/>
        <v>220</v>
      </c>
      <c r="J10" s="222"/>
    </row>
    <row r="11" s="1" customFormat="1" ht="27" customHeight="1" spans="1:10">
      <c r="A11" s="228" t="s">
        <v>931</v>
      </c>
      <c r="B11" s="345">
        <v>2300</v>
      </c>
      <c r="C11" s="345">
        <v>2300</v>
      </c>
      <c r="D11" s="348">
        <v>1700</v>
      </c>
      <c r="E11" s="348">
        <v>1700</v>
      </c>
      <c r="F11" s="346">
        <f t="shared" si="3"/>
        <v>4000</v>
      </c>
      <c r="G11" s="346">
        <v>4000</v>
      </c>
      <c r="H11" s="347">
        <f t="shared" si="1"/>
        <v>73.9130434782609</v>
      </c>
      <c r="I11" s="347">
        <f t="shared" si="2"/>
        <v>73.9130434782609</v>
      </c>
      <c r="J11" s="222"/>
    </row>
    <row r="12" s="1" customFormat="1" ht="27" customHeight="1" spans="1:10">
      <c r="A12" s="228" t="s">
        <v>932</v>
      </c>
      <c r="B12" s="345">
        <v>500</v>
      </c>
      <c r="C12" s="345">
        <v>500</v>
      </c>
      <c r="D12" s="348">
        <v>1730</v>
      </c>
      <c r="E12" s="348">
        <v>1730</v>
      </c>
      <c r="F12" s="346">
        <f t="shared" si="3"/>
        <v>2230</v>
      </c>
      <c r="G12" s="346">
        <v>2230</v>
      </c>
      <c r="H12" s="347">
        <f t="shared" si="1"/>
        <v>346</v>
      </c>
      <c r="I12" s="347">
        <f t="shared" si="2"/>
        <v>346</v>
      </c>
      <c r="J12" s="222"/>
    </row>
    <row r="13" s="1" customFormat="1" ht="27" customHeight="1" spans="1:10">
      <c r="A13" s="228" t="s">
        <v>933</v>
      </c>
      <c r="B13" s="345">
        <v>-4560</v>
      </c>
      <c r="C13" s="345">
        <v>-4560</v>
      </c>
      <c r="D13" s="348">
        <v>-50</v>
      </c>
      <c r="E13" s="348">
        <v>-50</v>
      </c>
      <c r="F13" s="346">
        <f t="shared" si="3"/>
        <v>-4610</v>
      </c>
      <c r="G13" s="346">
        <v>-4610</v>
      </c>
      <c r="H13" s="347">
        <f t="shared" si="1"/>
        <v>1.09649122807018</v>
      </c>
      <c r="I13" s="347">
        <f t="shared" si="2"/>
        <v>1.09649122807018</v>
      </c>
      <c r="J13" s="75"/>
    </row>
    <row r="14" s="1" customFormat="1" ht="27" customHeight="1" spans="1:10">
      <c r="A14" s="228" t="s">
        <v>934</v>
      </c>
      <c r="B14" s="345">
        <v>60</v>
      </c>
      <c r="C14" s="345">
        <v>60</v>
      </c>
      <c r="D14" s="348">
        <v>0</v>
      </c>
      <c r="E14" s="348">
        <v>0</v>
      </c>
      <c r="F14" s="346">
        <f t="shared" si="3"/>
        <v>60</v>
      </c>
      <c r="G14" s="346">
        <v>60</v>
      </c>
      <c r="H14" s="347">
        <f t="shared" si="1"/>
        <v>0</v>
      </c>
      <c r="I14" s="347">
        <f t="shared" si="2"/>
        <v>0</v>
      </c>
      <c r="J14" s="222"/>
    </row>
    <row r="15" s="1" customFormat="1" ht="27" customHeight="1" spans="1:10">
      <c r="A15" s="228" t="s">
        <v>935</v>
      </c>
      <c r="B15" s="345">
        <v>5700</v>
      </c>
      <c r="C15" s="345">
        <v>5700</v>
      </c>
      <c r="D15" s="348">
        <v>2300</v>
      </c>
      <c r="E15" s="348">
        <v>2300</v>
      </c>
      <c r="F15" s="346">
        <f t="shared" si="3"/>
        <v>8000</v>
      </c>
      <c r="G15" s="346">
        <v>8000</v>
      </c>
      <c r="H15" s="347">
        <f t="shared" si="1"/>
        <v>40.3508771929825</v>
      </c>
      <c r="I15" s="347">
        <f t="shared" si="2"/>
        <v>40.3508771929825</v>
      </c>
      <c r="J15" s="222"/>
    </row>
    <row r="16" s="325" customFormat="1" ht="27" customHeight="1" spans="1:10">
      <c r="A16" s="349" t="s">
        <v>43</v>
      </c>
      <c r="B16" s="350">
        <f t="shared" ref="B16:G16" si="4">SUM(B7:B15)</f>
        <v>396940</v>
      </c>
      <c r="C16" s="350">
        <f t="shared" si="4"/>
        <v>396940</v>
      </c>
      <c r="D16" s="350">
        <f t="shared" si="4"/>
        <v>-82874</v>
      </c>
      <c r="E16" s="350">
        <f t="shared" si="4"/>
        <v>-82874</v>
      </c>
      <c r="F16" s="350">
        <f t="shared" si="4"/>
        <v>314066</v>
      </c>
      <c r="G16" s="350">
        <f t="shared" si="4"/>
        <v>314066</v>
      </c>
      <c r="H16" s="351">
        <f t="shared" si="1"/>
        <v>-20.8782183705346</v>
      </c>
      <c r="I16" s="351">
        <f t="shared" si="2"/>
        <v>-20.8782183705346</v>
      </c>
      <c r="J16" s="360"/>
    </row>
    <row r="17" s="325" customFormat="1" ht="27" customHeight="1" spans="1:10">
      <c r="A17" s="352" t="s">
        <v>936</v>
      </c>
      <c r="B17" s="353">
        <f>B18+B19+B20+B21</f>
        <v>50358</v>
      </c>
      <c r="C17" s="353">
        <f>C18+C19+C20+C21</f>
        <v>50358</v>
      </c>
      <c r="D17" s="353">
        <f>D18+D19+D20+D21</f>
        <v>140355</v>
      </c>
      <c r="E17" s="353">
        <f>E18+E19+E20+E21</f>
        <v>140355</v>
      </c>
      <c r="F17" s="353">
        <f t="shared" ref="F17:F20" si="5">B17+D17</f>
        <v>190713</v>
      </c>
      <c r="G17" s="353">
        <f>C17+E17</f>
        <v>190713</v>
      </c>
      <c r="H17" s="344">
        <f t="shared" si="1"/>
        <v>278.714404861194</v>
      </c>
      <c r="I17" s="344">
        <f t="shared" si="2"/>
        <v>278.714404861194</v>
      </c>
      <c r="J17" s="360"/>
    </row>
    <row r="18" s="1" customFormat="1" ht="27" customHeight="1" spans="1:10">
      <c r="A18" s="228" t="s">
        <v>937</v>
      </c>
      <c r="B18" s="346">
        <v>5363</v>
      </c>
      <c r="C18" s="346">
        <v>5363</v>
      </c>
      <c r="D18" s="346">
        <v>75355</v>
      </c>
      <c r="E18" s="346">
        <v>75355</v>
      </c>
      <c r="F18" s="346">
        <f t="shared" si="5"/>
        <v>80718</v>
      </c>
      <c r="G18" s="346">
        <v>80718</v>
      </c>
      <c r="H18" s="347">
        <f t="shared" si="1"/>
        <v>1405.09043445833</v>
      </c>
      <c r="I18" s="347">
        <f t="shared" si="2"/>
        <v>1405.09043445833</v>
      </c>
      <c r="J18" s="222"/>
    </row>
    <row r="19" s="1" customFormat="1" ht="27" customHeight="1" spans="1:10">
      <c r="A19" s="228" t="s">
        <v>938</v>
      </c>
      <c r="B19" s="346">
        <v>14995</v>
      </c>
      <c r="C19" s="346">
        <v>14995</v>
      </c>
      <c r="D19" s="346">
        <v>0</v>
      </c>
      <c r="E19" s="346">
        <v>0</v>
      </c>
      <c r="F19" s="346">
        <f t="shared" si="5"/>
        <v>14995</v>
      </c>
      <c r="G19" s="346">
        <f>C19+E19</f>
        <v>14995</v>
      </c>
      <c r="H19" s="347">
        <f t="shared" si="1"/>
        <v>0</v>
      </c>
      <c r="I19" s="347">
        <f t="shared" si="2"/>
        <v>0</v>
      </c>
      <c r="J19" s="222"/>
    </row>
    <row r="20" s="1" customFormat="1" ht="27" customHeight="1" spans="1:10">
      <c r="A20" s="228" t="s">
        <v>939</v>
      </c>
      <c r="B20" s="346">
        <v>30000</v>
      </c>
      <c r="C20" s="346">
        <v>30000</v>
      </c>
      <c r="D20" s="346">
        <v>65000</v>
      </c>
      <c r="E20" s="346">
        <v>65000</v>
      </c>
      <c r="F20" s="346">
        <f t="shared" si="5"/>
        <v>95000</v>
      </c>
      <c r="G20" s="346">
        <v>95000</v>
      </c>
      <c r="H20" s="347">
        <f t="shared" si="1"/>
        <v>216.666666666667</v>
      </c>
      <c r="I20" s="347">
        <f t="shared" si="2"/>
        <v>216.666666666667</v>
      </c>
      <c r="J20" s="222"/>
    </row>
    <row r="21" s="1" customFormat="1" ht="27" hidden="1" customHeight="1" spans="1:10">
      <c r="A21" s="228" t="s">
        <v>940</v>
      </c>
      <c r="B21" s="346">
        <v>0</v>
      </c>
      <c r="C21" s="346"/>
      <c r="D21" s="346">
        <v>0</v>
      </c>
      <c r="E21" s="346">
        <v>0</v>
      </c>
      <c r="F21" s="346">
        <v>0</v>
      </c>
      <c r="G21" s="346">
        <v>0</v>
      </c>
      <c r="H21" s="347">
        <f t="shared" si="1"/>
        <v>0</v>
      </c>
      <c r="I21" s="347">
        <f t="shared" si="2"/>
        <v>0</v>
      </c>
      <c r="J21" s="222"/>
    </row>
    <row r="22" s="325" customFormat="1" ht="27" customHeight="1" spans="1:10">
      <c r="A22" s="354" t="s">
        <v>53</v>
      </c>
      <c r="B22" s="355">
        <f t="shared" ref="B22:G22" si="6">B16+B17</f>
        <v>447298</v>
      </c>
      <c r="C22" s="355">
        <f t="shared" si="6"/>
        <v>447298</v>
      </c>
      <c r="D22" s="355">
        <f t="shared" si="6"/>
        <v>57481</v>
      </c>
      <c r="E22" s="355">
        <f t="shared" si="6"/>
        <v>57481</v>
      </c>
      <c r="F22" s="355">
        <f t="shared" si="6"/>
        <v>504779</v>
      </c>
      <c r="G22" s="355">
        <f t="shared" si="6"/>
        <v>504779</v>
      </c>
      <c r="H22" s="355">
        <f t="shared" si="1"/>
        <v>12.8507169716833</v>
      </c>
      <c r="I22" s="355">
        <f t="shared" si="2"/>
        <v>12.8507169716833</v>
      </c>
      <c r="J22" s="361"/>
    </row>
  </sheetData>
  <mergeCells count="7">
    <mergeCell ref="A2:J2"/>
    <mergeCell ref="B4:C4"/>
    <mergeCell ref="D4:E4"/>
    <mergeCell ref="F4:G4"/>
    <mergeCell ref="H4:I4"/>
    <mergeCell ref="A4:A5"/>
    <mergeCell ref="J4:J5"/>
  </mergeCells>
  <printOptions horizontalCentered="1"/>
  <pageMargins left="0.393055555555556" right="0.393055555555556" top="0.393055555555556" bottom="0.393055555555556" header="0.196527777777778" footer="0.196527777777778"/>
  <pageSetup paperSize="9" scale="9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A8" workbookViewId="0">
      <selection activeCell="A23" sqref="$A23:$XFD28"/>
    </sheetView>
  </sheetViews>
  <sheetFormatPr defaultColWidth="9" defaultRowHeight="13.5"/>
  <cols>
    <col min="1" max="1" width="6.375" style="242" customWidth="1"/>
    <col min="2" max="2" width="13.25" style="242" customWidth="1"/>
    <col min="3" max="3" width="20.625" style="243" customWidth="1"/>
    <col min="4" max="4" width="20.625" style="238" customWidth="1"/>
    <col min="5" max="5" width="10.75" style="237" customWidth="1"/>
    <col min="6" max="6" width="12.875" style="237" customWidth="1"/>
    <col min="7" max="8" width="12.875" style="237" hidden="1" customWidth="1"/>
    <col min="9" max="10" width="12.875" style="237" customWidth="1"/>
    <col min="11" max="11" width="35.625" style="244" customWidth="1"/>
    <col min="12" max="12" width="10" style="237" customWidth="1"/>
    <col min="13" max="16384" width="9" style="237"/>
  </cols>
  <sheetData>
    <row r="1" s="237" customFormat="1" ht="23" customHeight="1" spans="1:12">
      <c r="A1" s="245" t="s">
        <v>941</v>
      </c>
      <c r="B1" s="246"/>
      <c r="C1" s="246"/>
      <c r="D1" s="246"/>
      <c r="E1" s="246"/>
      <c r="F1" s="246"/>
      <c r="G1" s="246"/>
      <c r="H1" s="246"/>
      <c r="I1" s="246"/>
      <c r="J1" s="246"/>
      <c r="K1" s="246"/>
      <c r="L1" s="246"/>
    </row>
    <row r="2" s="237" customFormat="1" ht="32" customHeight="1" spans="1:12">
      <c r="A2" s="247" t="s">
        <v>942</v>
      </c>
      <c r="B2" s="247"/>
      <c r="C2" s="247"/>
      <c r="D2" s="247"/>
      <c r="E2" s="247"/>
      <c r="F2" s="247"/>
      <c r="G2" s="247"/>
      <c r="H2" s="247"/>
      <c r="I2" s="247"/>
      <c r="J2" s="247"/>
      <c r="K2" s="247"/>
      <c r="L2" s="247"/>
    </row>
    <row r="3" s="238" customFormat="1" ht="21" customHeight="1" spans="1:12">
      <c r="A3" s="248"/>
      <c r="B3" s="248"/>
      <c r="C3" s="248"/>
      <c r="K3" s="303"/>
      <c r="L3" s="238" t="s">
        <v>5</v>
      </c>
    </row>
    <row r="4" s="239" customFormat="1" ht="26" customHeight="1" spans="1:12">
      <c r="A4" s="249" t="s">
        <v>943</v>
      </c>
      <c r="B4" s="250" t="s">
        <v>944</v>
      </c>
      <c r="C4" s="250" t="s">
        <v>945</v>
      </c>
      <c r="D4" s="250" t="s">
        <v>946</v>
      </c>
      <c r="E4" s="250" t="s">
        <v>947</v>
      </c>
      <c r="F4" s="251" t="s">
        <v>873</v>
      </c>
      <c r="G4" s="251" t="s">
        <v>948</v>
      </c>
      <c r="H4" s="251" t="s">
        <v>949</v>
      </c>
      <c r="I4" s="251" t="s">
        <v>950</v>
      </c>
      <c r="J4" s="251" t="s">
        <v>951</v>
      </c>
      <c r="K4" s="251" t="s">
        <v>952</v>
      </c>
      <c r="L4" s="304" t="s">
        <v>953</v>
      </c>
    </row>
    <row r="5" s="239" customFormat="1" ht="26" customHeight="1" spans="1:12">
      <c r="A5" s="252">
        <v>1</v>
      </c>
      <c r="B5" s="253" t="s">
        <v>954</v>
      </c>
      <c r="C5" s="254" t="s">
        <v>955</v>
      </c>
      <c r="D5" s="255" t="s">
        <v>956</v>
      </c>
      <c r="E5" s="256">
        <v>120.06</v>
      </c>
      <c r="F5" s="257">
        <v>61400</v>
      </c>
      <c r="G5" s="258">
        <v>61400</v>
      </c>
      <c r="H5" s="258">
        <v>61400</v>
      </c>
      <c r="I5" s="258">
        <f t="shared" ref="I5:I10" si="0">J5-F5</f>
        <v>0</v>
      </c>
      <c r="J5" s="258">
        <v>61400</v>
      </c>
      <c r="K5" s="305" t="s">
        <v>957</v>
      </c>
      <c r="L5" s="306" t="s">
        <v>958</v>
      </c>
    </row>
    <row r="6" s="240" customFormat="1" ht="26" customHeight="1" spans="1:12">
      <c r="A6" s="252">
        <v>2</v>
      </c>
      <c r="B6" s="253" t="s">
        <v>954</v>
      </c>
      <c r="C6" s="254" t="s">
        <v>959</v>
      </c>
      <c r="D6" s="254" t="s">
        <v>960</v>
      </c>
      <c r="E6" s="254">
        <v>137.7885</v>
      </c>
      <c r="F6" s="259">
        <v>60000</v>
      </c>
      <c r="G6" s="260">
        <v>0</v>
      </c>
      <c r="H6" s="260">
        <v>60000</v>
      </c>
      <c r="I6" s="258">
        <f t="shared" si="0"/>
        <v>-60000</v>
      </c>
      <c r="J6" s="260"/>
      <c r="K6" s="227"/>
      <c r="L6" s="307" t="s">
        <v>958</v>
      </c>
    </row>
    <row r="7" s="240" customFormat="1" ht="26" customHeight="1" spans="1:12">
      <c r="A7" s="252">
        <v>3</v>
      </c>
      <c r="B7" s="253" t="s">
        <v>954</v>
      </c>
      <c r="C7" s="254" t="s">
        <v>961</v>
      </c>
      <c r="D7" s="254" t="s">
        <v>962</v>
      </c>
      <c r="E7" s="254">
        <v>96.7605</v>
      </c>
      <c r="F7" s="259">
        <v>40000</v>
      </c>
      <c r="G7" s="260">
        <v>0</v>
      </c>
      <c r="H7" s="260">
        <v>40000</v>
      </c>
      <c r="I7" s="258">
        <f t="shared" si="0"/>
        <v>0</v>
      </c>
      <c r="J7" s="260">
        <v>40000</v>
      </c>
      <c r="K7" s="227"/>
      <c r="L7" s="307" t="s">
        <v>958</v>
      </c>
    </row>
    <row r="8" s="240" customFormat="1" ht="26" customHeight="1" spans="1:12">
      <c r="A8" s="252">
        <v>4</v>
      </c>
      <c r="B8" s="253" t="s">
        <v>954</v>
      </c>
      <c r="C8" s="254" t="s">
        <v>963</v>
      </c>
      <c r="D8" s="254" t="s">
        <v>964</v>
      </c>
      <c r="E8" s="254">
        <v>54</v>
      </c>
      <c r="F8" s="259">
        <v>15000</v>
      </c>
      <c r="G8" s="260">
        <v>0</v>
      </c>
      <c r="H8" s="260">
        <v>15000</v>
      </c>
      <c r="I8" s="258">
        <f t="shared" si="0"/>
        <v>10000</v>
      </c>
      <c r="J8" s="260">
        <v>25000</v>
      </c>
      <c r="K8" s="227"/>
      <c r="L8" s="307" t="s">
        <v>958</v>
      </c>
    </row>
    <row r="9" s="239" customFormat="1" ht="26" customHeight="1" spans="1:12">
      <c r="A9" s="252">
        <v>5</v>
      </c>
      <c r="B9" s="253" t="s">
        <v>954</v>
      </c>
      <c r="C9" s="254" t="s">
        <v>965</v>
      </c>
      <c r="D9" s="254" t="s">
        <v>966</v>
      </c>
      <c r="E9" s="254">
        <v>26.367</v>
      </c>
      <c r="F9" s="254">
        <v>4600</v>
      </c>
      <c r="G9" s="260">
        <v>3740</v>
      </c>
      <c r="H9" s="260">
        <v>3740</v>
      </c>
      <c r="I9" s="258">
        <f t="shared" si="0"/>
        <v>-860</v>
      </c>
      <c r="J9" s="260">
        <v>3740</v>
      </c>
      <c r="K9" s="308" t="s">
        <v>967</v>
      </c>
      <c r="L9" s="306" t="s">
        <v>958</v>
      </c>
    </row>
    <row r="10" s="239" customFormat="1" ht="26" customHeight="1" spans="1:12">
      <c r="A10" s="252">
        <v>6</v>
      </c>
      <c r="B10" s="253" t="s">
        <v>954</v>
      </c>
      <c r="C10" s="254" t="s">
        <v>968</v>
      </c>
      <c r="D10" s="254" t="s">
        <v>969</v>
      </c>
      <c r="E10" s="254">
        <v>12.7575</v>
      </c>
      <c r="F10" s="254">
        <v>5500</v>
      </c>
      <c r="G10" s="260">
        <v>2904</v>
      </c>
      <c r="H10" s="260">
        <v>2904</v>
      </c>
      <c r="I10" s="258">
        <f t="shared" si="0"/>
        <v>-2596</v>
      </c>
      <c r="J10" s="260">
        <v>2904</v>
      </c>
      <c r="K10" s="308" t="s">
        <v>970</v>
      </c>
      <c r="L10" s="306" t="s">
        <v>958</v>
      </c>
    </row>
    <row r="11" s="239" customFormat="1" ht="26" customHeight="1" spans="1:12">
      <c r="A11" s="261" t="s">
        <v>971</v>
      </c>
      <c r="B11" s="262"/>
      <c r="C11" s="262"/>
      <c r="D11" s="262"/>
      <c r="E11" s="263">
        <f t="shared" ref="E11:J11" si="1">SUM(E5:E10)</f>
        <v>447.7335</v>
      </c>
      <c r="F11" s="263">
        <f t="shared" si="1"/>
        <v>186500</v>
      </c>
      <c r="G11" s="263">
        <f t="shared" si="1"/>
        <v>68044</v>
      </c>
      <c r="H11" s="263">
        <f t="shared" si="1"/>
        <v>183044</v>
      </c>
      <c r="I11" s="263">
        <f t="shared" si="1"/>
        <v>-53456</v>
      </c>
      <c r="J11" s="263">
        <f t="shared" si="1"/>
        <v>133044</v>
      </c>
      <c r="K11" s="309"/>
      <c r="L11" s="310" t="s">
        <v>958</v>
      </c>
    </row>
    <row r="12" s="239" customFormat="1" ht="26" customHeight="1" spans="1:12">
      <c r="A12" s="264">
        <v>7</v>
      </c>
      <c r="B12" s="254" t="s">
        <v>972</v>
      </c>
      <c r="C12" s="254" t="s">
        <v>973</v>
      </c>
      <c r="D12" s="265" t="s">
        <v>974</v>
      </c>
      <c r="E12" s="266">
        <v>15.71</v>
      </c>
      <c r="F12" s="267">
        <v>6070</v>
      </c>
      <c r="G12" s="267">
        <v>6070</v>
      </c>
      <c r="H12" s="267">
        <v>6070</v>
      </c>
      <c r="I12" s="258">
        <f t="shared" ref="I12:I45" si="2">J12-F12</f>
        <v>0</v>
      </c>
      <c r="J12" s="267">
        <v>6070</v>
      </c>
      <c r="K12" s="311" t="s">
        <v>975</v>
      </c>
      <c r="L12" s="310" t="s">
        <v>958</v>
      </c>
    </row>
    <row r="13" s="239" customFormat="1" ht="26" customHeight="1" spans="1:12">
      <c r="A13" s="264">
        <v>8</v>
      </c>
      <c r="B13" s="254" t="s">
        <v>972</v>
      </c>
      <c r="C13" s="254" t="s">
        <v>973</v>
      </c>
      <c r="D13" s="265" t="s">
        <v>976</v>
      </c>
      <c r="E13" s="268"/>
      <c r="F13" s="267">
        <v>500</v>
      </c>
      <c r="G13" s="267">
        <v>509.88</v>
      </c>
      <c r="H13" s="267">
        <v>510</v>
      </c>
      <c r="I13" s="258">
        <f t="shared" si="2"/>
        <v>10</v>
      </c>
      <c r="J13" s="267">
        <v>510</v>
      </c>
      <c r="K13" s="305"/>
      <c r="L13" s="310" t="s">
        <v>977</v>
      </c>
    </row>
    <row r="14" s="237" customFormat="1" ht="26" customHeight="1" spans="1:12">
      <c r="A14" s="264">
        <v>9</v>
      </c>
      <c r="B14" s="269" t="s">
        <v>978</v>
      </c>
      <c r="C14" s="270" t="s">
        <v>979</v>
      </c>
      <c r="D14" s="270" t="s">
        <v>980</v>
      </c>
      <c r="E14" s="271">
        <v>73.46</v>
      </c>
      <c r="F14" s="272">
        <v>24150</v>
      </c>
      <c r="G14" s="273">
        <v>3000</v>
      </c>
      <c r="H14" s="273">
        <v>24150</v>
      </c>
      <c r="I14" s="258">
        <f t="shared" si="2"/>
        <v>0</v>
      </c>
      <c r="J14" s="273">
        <v>24150</v>
      </c>
      <c r="K14" s="305" t="s">
        <v>981</v>
      </c>
      <c r="L14" s="310" t="s">
        <v>958</v>
      </c>
    </row>
    <row r="15" s="237" customFormat="1" ht="26" customHeight="1" spans="1:12">
      <c r="A15" s="264">
        <v>10</v>
      </c>
      <c r="B15" s="269" t="s">
        <v>978</v>
      </c>
      <c r="C15" s="270" t="s">
        <v>982</v>
      </c>
      <c r="D15" s="270" t="s">
        <v>983</v>
      </c>
      <c r="E15" s="271">
        <v>89.56</v>
      </c>
      <c r="F15" s="254">
        <v>18000</v>
      </c>
      <c r="G15" s="267">
        <v>0</v>
      </c>
      <c r="H15" s="267">
        <v>18000</v>
      </c>
      <c r="I15" s="258">
        <f t="shared" si="2"/>
        <v>18000</v>
      </c>
      <c r="J15" s="267">
        <v>36000</v>
      </c>
      <c r="K15" s="227" t="s">
        <v>984</v>
      </c>
      <c r="L15" s="310" t="s">
        <v>958</v>
      </c>
    </row>
    <row r="16" s="237" customFormat="1" ht="26" customHeight="1" spans="1:12">
      <c r="A16" s="264">
        <v>11</v>
      </c>
      <c r="B16" s="269" t="s">
        <v>978</v>
      </c>
      <c r="C16" s="270" t="s">
        <v>982</v>
      </c>
      <c r="D16" s="270" t="s">
        <v>985</v>
      </c>
      <c r="E16" s="271">
        <v>151.49</v>
      </c>
      <c r="F16" s="254">
        <v>36000</v>
      </c>
      <c r="G16" s="267">
        <v>0</v>
      </c>
      <c r="H16" s="267">
        <v>60000</v>
      </c>
      <c r="I16" s="258">
        <f t="shared" si="2"/>
        <v>35820</v>
      </c>
      <c r="J16" s="267">
        <v>71820</v>
      </c>
      <c r="K16" s="227" t="s">
        <v>986</v>
      </c>
      <c r="L16" s="310" t="s">
        <v>958</v>
      </c>
    </row>
    <row r="17" s="237" customFormat="1" ht="26" customHeight="1" spans="1:12">
      <c r="A17" s="264">
        <v>12</v>
      </c>
      <c r="B17" s="269" t="s">
        <v>978</v>
      </c>
      <c r="C17" s="270" t="s">
        <v>982</v>
      </c>
      <c r="D17" s="270" t="s">
        <v>987</v>
      </c>
      <c r="E17" s="271">
        <v>200</v>
      </c>
      <c r="F17" s="254">
        <v>50000</v>
      </c>
      <c r="G17" s="267">
        <v>0</v>
      </c>
      <c r="H17" s="267">
        <v>50000</v>
      </c>
      <c r="I17" s="258">
        <f t="shared" si="2"/>
        <v>-33000</v>
      </c>
      <c r="J17" s="267">
        <v>17000</v>
      </c>
      <c r="K17" s="312"/>
      <c r="L17" s="310" t="s">
        <v>958</v>
      </c>
    </row>
    <row r="18" s="237" customFormat="1" ht="26" customHeight="1" spans="1:12">
      <c r="A18" s="264">
        <v>13</v>
      </c>
      <c r="B18" s="254" t="s">
        <v>972</v>
      </c>
      <c r="C18" s="254" t="s">
        <v>988</v>
      </c>
      <c r="D18" s="255" t="s">
        <v>989</v>
      </c>
      <c r="E18" s="255">
        <v>300</v>
      </c>
      <c r="F18" s="274">
        <v>18000</v>
      </c>
      <c r="G18" s="260">
        <v>0</v>
      </c>
      <c r="H18" s="260">
        <v>18000</v>
      </c>
      <c r="I18" s="313">
        <f t="shared" si="2"/>
        <v>-18000</v>
      </c>
      <c r="J18" s="260"/>
      <c r="K18" s="312"/>
      <c r="L18" s="314" t="s">
        <v>958</v>
      </c>
    </row>
    <row r="19" s="237" customFormat="1" ht="26" customHeight="1" spans="1:12">
      <c r="A19" s="264">
        <v>14</v>
      </c>
      <c r="B19" s="254" t="s">
        <v>972</v>
      </c>
      <c r="C19" s="254" t="s">
        <v>990</v>
      </c>
      <c r="D19" s="255" t="s">
        <v>991</v>
      </c>
      <c r="E19" s="255">
        <v>390</v>
      </c>
      <c r="F19" s="255">
        <v>5000</v>
      </c>
      <c r="G19" s="260">
        <v>0</v>
      </c>
      <c r="H19" s="260">
        <v>5000</v>
      </c>
      <c r="I19" s="313">
        <f t="shared" si="2"/>
        <v>-5000</v>
      </c>
      <c r="J19" s="260"/>
      <c r="K19" s="312"/>
      <c r="L19" s="314" t="s">
        <v>958</v>
      </c>
    </row>
    <row r="20" s="237" customFormat="1" ht="26" customHeight="1" spans="1:12">
      <c r="A20" s="264">
        <v>15</v>
      </c>
      <c r="B20" s="254" t="s">
        <v>972</v>
      </c>
      <c r="C20" s="254" t="s">
        <v>992</v>
      </c>
      <c r="D20" s="255" t="s">
        <v>993</v>
      </c>
      <c r="E20" s="255">
        <v>240</v>
      </c>
      <c r="F20" s="275">
        <v>10000</v>
      </c>
      <c r="G20" s="260">
        <v>0</v>
      </c>
      <c r="H20" s="260">
        <v>10000</v>
      </c>
      <c r="I20" s="313">
        <f t="shared" si="2"/>
        <v>-10000</v>
      </c>
      <c r="J20" s="260"/>
      <c r="K20" s="312"/>
      <c r="L20" s="314" t="s">
        <v>958</v>
      </c>
    </row>
    <row r="21" s="237" customFormat="1" ht="26" customHeight="1" spans="1:12">
      <c r="A21" s="264">
        <v>16</v>
      </c>
      <c r="B21" s="254" t="s">
        <v>972</v>
      </c>
      <c r="C21" s="254" t="s">
        <v>994</v>
      </c>
      <c r="D21" s="255" t="s">
        <v>995</v>
      </c>
      <c r="E21" s="255">
        <v>56</v>
      </c>
      <c r="F21" s="275">
        <v>25000</v>
      </c>
      <c r="G21" s="260">
        <v>0</v>
      </c>
      <c r="H21" s="260">
        <v>25000</v>
      </c>
      <c r="I21" s="313">
        <f t="shared" si="2"/>
        <v>-25000</v>
      </c>
      <c r="J21" s="260"/>
      <c r="K21" s="312"/>
      <c r="L21" s="314" t="s">
        <v>958</v>
      </c>
    </row>
    <row r="22" s="237" customFormat="1" ht="26" customHeight="1" spans="1:12">
      <c r="A22" s="264">
        <v>17</v>
      </c>
      <c r="B22" s="254" t="s">
        <v>972</v>
      </c>
      <c r="C22" s="254" t="s">
        <v>996</v>
      </c>
      <c r="D22" s="254" t="s">
        <v>997</v>
      </c>
      <c r="E22" s="255">
        <v>72.31</v>
      </c>
      <c r="F22" s="275">
        <v>4300</v>
      </c>
      <c r="G22" s="260">
        <v>0</v>
      </c>
      <c r="H22" s="260">
        <v>4300</v>
      </c>
      <c r="I22" s="313">
        <f t="shared" si="2"/>
        <v>-4300</v>
      </c>
      <c r="J22" s="260"/>
      <c r="K22" s="312"/>
      <c r="L22" s="314" t="s">
        <v>958</v>
      </c>
    </row>
    <row r="23" s="237" customFormat="1" ht="30" customHeight="1" spans="1:12">
      <c r="A23" s="264">
        <v>18</v>
      </c>
      <c r="B23" s="254" t="s">
        <v>972</v>
      </c>
      <c r="C23" s="271" t="s">
        <v>998</v>
      </c>
      <c r="D23" s="276" t="s">
        <v>999</v>
      </c>
      <c r="E23" s="271">
        <v>123.559</v>
      </c>
      <c r="F23" s="255">
        <v>2768</v>
      </c>
      <c r="G23" s="260">
        <v>0</v>
      </c>
      <c r="H23" s="260">
        <v>2768</v>
      </c>
      <c r="I23" s="313">
        <f t="shared" si="2"/>
        <v>-2768</v>
      </c>
      <c r="J23" s="260"/>
      <c r="K23" s="227" t="s">
        <v>1000</v>
      </c>
      <c r="L23" s="314" t="s">
        <v>958</v>
      </c>
    </row>
    <row r="24" s="237" customFormat="1" ht="30" customHeight="1" spans="1:12">
      <c r="A24" s="264">
        <v>19</v>
      </c>
      <c r="B24" s="254" t="s">
        <v>972</v>
      </c>
      <c r="C24" s="254" t="s">
        <v>1001</v>
      </c>
      <c r="D24" s="276" t="s">
        <v>1002</v>
      </c>
      <c r="E24" s="254">
        <v>84.714</v>
      </c>
      <c r="F24" s="271">
        <v>5082</v>
      </c>
      <c r="G24" s="260">
        <v>0</v>
      </c>
      <c r="H24" s="260">
        <v>5082</v>
      </c>
      <c r="I24" s="313">
        <f t="shared" si="2"/>
        <v>668</v>
      </c>
      <c r="J24" s="315">
        <v>5750</v>
      </c>
      <c r="K24" s="227" t="s">
        <v>1003</v>
      </c>
      <c r="L24" s="314" t="s">
        <v>958</v>
      </c>
    </row>
    <row r="25" s="237" customFormat="1" ht="30" customHeight="1" spans="1:12">
      <c r="A25" s="264">
        <v>20</v>
      </c>
      <c r="B25" s="254" t="s">
        <v>972</v>
      </c>
      <c r="C25" s="254" t="s">
        <v>1004</v>
      </c>
      <c r="D25" s="277" t="s">
        <v>1005</v>
      </c>
      <c r="E25" s="254">
        <v>14.25</v>
      </c>
      <c r="F25" s="278">
        <v>585</v>
      </c>
      <c r="G25" s="260">
        <v>0</v>
      </c>
      <c r="H25" s="260">
        <v>783.75</v>
      </c>
      <c r="I25" s="313">
        <f t="shared" si="2"/>
        <v>410</v>
      </c>
      <c r="J25" s="260">
        <v>995</v>
      </c>
      <c r="K25" s="227" t="s">
        <v>1006</v>
      </c>
      <c r="L25" s="314" t="s">
        <v>958</v>
      </c>
    </row>
    <row r="26" s="237" customFormat="1" ht="30" customHeight="1" spans="1:12">
      <c r="A26" s="264">
        <v>21</v>
      </c>
      <c r="B26" s="254" t="s">
        <v>972</v>
      </c>
      <c r="C26" s="254" t="s">
        <v>1004</v>
      </c>
      <c r="D26" s="277" t="s">
        <v>1007</v>
      </c>
      <c r="E26" s="254">
        <v>15.14</v>
      </c>
      <c r="F26" s="278">
        <v>606</v>
      </c>
      <c r="G26" s="260">
        <v>0</v>
      </c>
      <c r="H26" s="260">
        <v>832.7</v>
      </c>
      <c r="I26" s="258">
        <f t="shared" si="2"/>
        <v>444</v>
      </c>
      <c r="J26" s="260">
        <v>1050</v>
      </c>
      <c r="K26" s="227" t="s">
        <v>1008</v>
      </c>
      <c r="L26" s="314" t="s">
        <v>958</v>
      </c>
    </row>
    <row r="27" s="237" customFormat="1" ht="30" customHeight="1" spans="1:12">
      <c r="A27" s="264">
        <v>22</v>
      </c>
      <c r="B27" s="254" t="s">
        <v>972</v>
      </c>
      <c r="C27" s="254" t="s">
        <v>1009</v>
      </c>
      <c r="D27" s="277" t="s">
        <v>1010</v>
      </c>
      <c r="E27" s="254">
        <v>62</v>
      </c>
      <c r="F27" s="278">
        <v>0</v>
      </c>
      <c r="G27" s="260">
        <v>0</v>
      </c>
      <c r="H27" s="260">
        <v>0</v>
      </c>
      <c r="I27" s="258">
        <f t="shared" si="2"/>
        <v>3900</v>
      </c>
      <c r="J27" s="260">
        <v>3900</v>
      </c>
      <c r="K27" s="227" t="s">
        <v>1011</v>
      </c>
      <c r="L27" s="314" t="s">
        <v>958</v>
      </c>
    </row>
    <row r="28" s="237" customFormat="1" ht="30" customHeight="1" spans="1:12">
      <c r="A28" s="264">
        <v>23</v>
      </c>
      <c r="B28" s="254" t="s">
        <v>972</v>
      </c>
      <c r="C28" s="254" t="s">
        <v>1012</v>
      </c>
      <c r="D28" s="279" t="s">
        <v>1013</v>
      </c>
      <c r="E28" s="280">
        <v>29.261</v>
      </c>
      <c r="F28" s="278"/>
      <c r="G28" s="260"/>
      <c r="H28" s="260"/>
      <c r="I28" s="258">
        <f t="shared" si="2"/>
        <v>2550</v>
      </c>
      <c r="J28" s="260">
        <v>2550</v>
      </c>
      <c r="K28" s="227" t="s">
        <v>1014</v>
      </c>
      <c r="L28" s="314"/>
    </row>
    <row r="29" s="237" customFormat="1" ht="26" customHeight="1" spans="1:12">
      <c r="A29" s="264">
        <v>24</v>
      </c>
      <c r="B29" s="254" t="s">
        <v>972</v>
      </c>
      <c r="C29" s="254" t="s">
        <v>1015</v>
      </c>
      <c r="D29" s="277" t="s">
        <v>1016</v>
      </c>
      <c r="E29" s="254">
        <v>1.77</v>
      </c>
      <c r="F29" s="278">
        <v>99</v>
      </c>
      <c r="G29" s="260">
        <v>99</v>
      </c>
      <c r="H29" s="260">
        <v>99</v>
      </c>
      <c r="I29" s="258">
        <f t="shared" si="2"/>
        <v>0</v>
      </c>
      <c r="J29" s="260">
        <v>99</v>
      </c>
      <c r="K29" s="308" t="s">
        <v>1017</v>
      </c>
      <c r="L29" s="314" t="s">
        <v>958</v>
      </c>
    </row>
    <row r="30" s="237" customFormat="1" ht="26" customHeight="1" spans="1:12">
      <c r="A30" s="264">
        <v>25</v>
      </c>
      <c r="B30" s="254" t="s">
        <v>972</v>
      </c>
      <c r="C30" s="254" t="s">
        <v>1015</v>
      </c>
      <c r="D30" s="277" t="s">
        <v>1018</v>
      </c>
      <c r="E30" s="280">
        <v>1.014</v>
      </c>
      <c r="F30" s="278"/>
      <c r="G30" s="260">
        <v>27</v>
      </c>
      <c r="H30" s="260"/>
      <c r="I30" s="258">
        <f t="shared" si="2"/>
        <v>27</v>
      </c>
      <c r="J30" s="260">
        <v>27</v>
      </c>
      <c r="K30" s="308" t="s">
        <v>1017</v>
      </c>
      <c r="L30" s="314"/>
    </row>
    <row r="31" s="237" customFormat="1" ht="26" customHeight="1" spans="1:12">
      <c r="A31" s="264">
        <v>26</v>
      </c>
      <c r="B31" s="269" t="s">
        <v>1019</v>
      </c>
      <c r="C31" s="255" t="s">
        <v>1020</v>
      </c>
      <c r="D31" s="269" t="s">
        <v>1021</v>
      </c>
      <c r="E31" s="254">
        <v>10</v>
      </c>
      <c r="F31" s="278">
        <v>720</v>
      </c>
      <c r="G31" s="260">
        <v>720</v>
      </c>
      <c r="H31" s="260">
        <v>720</v>
      </c>
      <c r="I31" s="258">
        <f t="shared" si="2"/>
        <v>0</v>
      </c>
      <c r="J31" s="260">
        <v>720</v>
      </c>
      <c r="K31" s="308" t="s">
        <v>1017</v>
      </c>
      <c r="L31" s="314" t="s">
        <v>958</v>
      </c>
    </row>
    <row r="32" s="237" customFormat="1" ht="26" customHeight="1" spans="1:12">
      <c r="A32" s="264">
        <v>27</v>
      </c>
      <c r="B32" s="255" t="s">
        <v>672</v>
      </c>
      <c r="C32" s="254" t="s">
        <v>1022</v>
      </c>
      <c r="D32" s="254" t="s">
        <v>1023</v>
      </c>
      <c r="E32" s="281">
        <v>28.19</v>
      </c>
      <c r="F32" s="278">
        <v>1300</v>
      </c>
      <c r="G32" s="260">
        <v>0</v>
      </c>
      <c r="H32" s="260">
        <v>300</v>
      </c>
      <c r="I32" s="313">
        <f t="shared" si="2"/>
        <v>-1300</v>
      </c>
      <c r="J32" s="260">
        <v>0</v>
      </c>
      <c r="K32" s="308" t="s">
        <v>1024</v>
      </c>
      <c r="L32" s="310" t="s">
        <v>1025</v>
      </c>
    </row>
    <row r="33" s="237" customFormat="1" ht="40" customHeight="1" spans="1:12">
      <c r="A33" s="264">
        <v>28</v>
      </c>
      <c r="B33" s="255" t="s">
        <v>672</v>
      </c>
      <c r="C33" s="254" t="s">
        <v>1022</v>
      </c>
      <c r="D33" s="254" t="s">
        <v>1026</v>
      </c>
      <c r="E33" s="281">
        <v>8.1585</v>
      </c>
      <c r="F33" s="278">
        <v>400</v>
      </c>
      <c r="G33" s="260">
        <v>0</v>
      </c>
      <c r="H33" s="260">
        <v>0</v>
      </c>
      <c r="I33" s="313">
        <f t="shared" si="2"/>
        <v>-400</v>
      </c>
      <c r="J33" s="260">
        <v>0</v>
      </c>
      <c r="K33" s="308" t="s">
        <v>1027</v>
      </c>
      <c r="L33" s="310" t="s">
        <v>1028</v>
      </c>
    </row>
    <row r="34" s="237" customFormat="1" ht="40" customHeight="1" spans="1:12">
      <c r="A34" s="264">
        <v>29</v>
      </c>
      <c r="B34" s="255" t="s">
        <v>672</v>
      </c>
      <c r="C34" s="254" t="s">
        <v>1022</v>
      </c>
      <c r="D34" s="254" t="s">
        <v>1029</v>
      </c>
      <c r="E34" s="281">
        <v>6</v>
      </c>
      <c r="F34" s="278">
        <v>300</v>
      </c>
      <c r="G34" s="260">
        <v>0</v>
      </c>
      <c r="H34" s="260">
        <v>0</v>
      </c>
      <c r="I34" s="313">
        <f t="shared" si="2"/>
        <v>-300</v>
      </c>
      <c r="J34" s="260">
        <v>0</v>
      </c>
      <c r="K34" s="308" t="s">
        <v>1027</v>
      </c>
      <c r="L34" s="310" t="s">
        <v>1028</v>
      </c>
    </row>
    <row r="35" s="237" customFormat="1" ht="26" customHeight="1" spans="1:12">
      <c r="A35" s="264">
        <v>30</v>
      </c>
      <c r="B35" s="255" t="s">
        <v>672</v>
      </c>
      <c r="C35" s="269" t="s">
        <v>1030</v>
      </c>
      <c r="D35" s="255" t="s">
        <v>956</v>
      </c>
      <c r="E35" s="281"/>
      <c r="F35" s="278"/>
      <c r="G35" s="282">
        <v>1090.020556</v>
      </c>
      <c r="H35" s="282">
        <v>1090.020556</v>
      </c>
      <c r="I35" s="313">
        <f t="shared" si="2"/>
        <v>1090.020556</v>
      </c>
      <c r="J35" s="282">
        <v>1090.020556</v>
      </c>
      <c r="K35" s="308" t="s">
        <v>1017</v>
      </c>
      <c r="L35" s="310" t="s">
        <v>977</v>
      </c>
    </row>
    <row r="36" s="237" customFormat="1" ht="26" customHeight="1" spans="1:12">
      <c r="A36" s="264">
        <v>31</v>
      </c>
      <c r="B36" s="255" t="s">
        <v>672</v>
      </c>
      <c r="C36" s="283" t="s">
        <v>1031</v>
      </c>
      <c r="D36" s="277" t="s">
        <v>1032</v>
      </c>
      <c r="E36" s="281"/>
      <c r="F36" s="278"/>
      <c r="G36" s="282">
        <v>2708.69</v>
      </c>
      <c r="H36" s="282">
        <v>2708.69</v>
      </c>
      <c r="I36" s="258">
        <f t="shared" si="2"/>
        <v>2708.69</v>
      </c>
      <c r="J36" s="282">
        <v>2708.69</v>
      </c>
      <c r="K36" s="308" t="s">
        <v>1033</v>
      </c>
      <c r="L36" s="310" t="s">
        <v>1028</v>
      </c>
    </row>
    <row r="37" s="237" customFormat="1" ht="26" customHeight="1" spans="1:12">
      <c r="A37" s="264">
        <v>32</v>
      </c>
      <c r="B37" s="255" t="s">
        <v>672</v>
      </c>
      <c r="C37" s="283" t="s">
        <v>1031</v>
      </c>
      <c r="D37" s="271" t="s">
        <v>1034</v>
      </c>
      <c r="E37" s="281"/>
      <c r="F37" s="278"/>
      <c r="G37" s="282"/>
      <c r="H37" s="282">
        <v>1122</v>
      </c>
      <c r="I37" s="258">
        <f t="shared" si="2"/>
        <v>1122</v>
      </c>
      <c r="J37" s="282">
        <v>1122</v>
      </c>
      <c r="K37" s="308" t="s">
        <v>1035</v>
      </c>
      <c r="L37" s="310" t="s">
        <v>1028</v>
      </c>
    </row>
    <row r="38" s="237" customFormat="1" ht="26" customHeight="1" spans="1:12">
      <c r="A38" s="264">
        <v>33</v>
      </c>
      <c r="B38" s="255" t="s">
        <v>672</v>
      </c>
      <c r="C38" s="269" t="s">
        <v>1036</v>
      </c>
      <c r="D38" s="284"/>
      <c r="E38" s="285"/>
      <c r="F38" s="278">
        <v>800</v>
      </c>
      <c r="G38" s="260">
        <f>1614+54</f>
        <v>1668</v>
      </c>
      <c r="H38" s="260">
        <v>2400</v>
      </c>
      <c r="I38" s="258">
        <f t="shared" si="2"/>
        <v>1600</v>
      </c>
      <c r="J38" s="260">
        <v>2400</v>
      </c>
      <c r="K38" s="316" t="s">
        <v>1037</v>
      </c>
      <c r="L38" s="310" t="s">
        <v>1038</v>
      </c>
    </row>
    <row r="39" s="237" customFormat="1" ht="26" customHeight="1" spans="1:12">
      <c r="A39" s="264">
        <v>34</v>
      </c>
      <c r="B39" s="269" t="s">
        <v>522</v>
      </c>
      <c r="C39" s="269" t="s">
        <v>1039</v>
      </c>
      <c r="D39" s="269"/>
      <c r="E39" s="285"/>
      <c r="F39" s="275">
        <v>-5000</v>
      </c>
      <c r="G39" s="260">
        <v>-2633</v>
      </c>
      <c r="H39" s="260">
        <v>-5000</v>
      </c>
      <c r="I39" s="313">
        <f t="shared" si="2"/>
        <v>0</v>
      </c>
      <c r="J39" s="260">
        <v>-5000</v>
      </c>
      <c r="K39" s="316"/>
      <c r="L39" s="310"/>
    </row>
    <row r="40" s="237" customFormat="1" ht="26" customHeight="1" spans="1:12">
      <c r="A40" s="286" t="s">
        <v>1040</v>
      </c>
      <c r="B40" s="287"/>
      <c r="C40" s="287"/>
      <c r="D40" s="288"/>
      <c r="E40" s="289">
        <f t="shared" ref="E40:H40" si="3">SUM(E12:E39)</f>
        <v>1972.5865</v>
      </c>
      <c r="F40" s="289">
        <f t="shared" si="3"/>
        <v>204680</v>
      </c>
      <c r="G40" s="290">
        <f t="shared" si="3"/>
        <v>13259.590556</v>
      </c>
      <c r="H40" s="290">
        <f t="shared" si="3"/>
        <v>233936.160556</v>
      </c>
      <c r="I40" s="317">
        <f t="shared" si="2"/>
        <v>-31718.289444</v>
      </c>
      <c r="J40" s="290">
        <f>SUM(J12:J39)</f>
        <v>172961.710556</v>
      </c>
      <c r="K40" s="316"/>
      <c r="L40" s="318"/>
    </row>
    <row r="41" s="241" customFormat="1" ht="26" customHeight="1" spans="1:12">
      <c r="A41" s="291" t="s">
        <v>1041</v>
      </c>
      <c r="B41" s="292"/>
      <c r="C41" s="292"/>
      <c r="D41" s="293"/>
      <c r="E41" s="294">
        <f>E40+E11</f>
        <v>2420.32</v>
      </c>
      <c r="F41" s="294">
        <f>F40+F11</f>
        <v>391180</v>
      </c>
      <c r="G41" s="290">
        <f t="shared" ref="G41:J41" si="4">SUM(G11+G40)</f>
        <v>81303.590556</v>
      </c>
      <c r="H41" s="290">
        <f t="shared" si="4"/>
        <v>416980.160556</v>
      </c>
      <c r="I41" s="317">
        <f t="shared" si="2"/>
        <v>-85174.289444</v>
      </c>
      <c r="J41" s="290">
        <f t="shared" si="4"/>
        <v>306005.710556</v>
      </c>
      <c r="K41" s="316"/>
      <c r="L41" s="319"/>
    </row>
    <row r="42" s="241" customFormat="1" ht="26" customHeight="1" spans="1:12">
      <c r="A42" s="291" t="s">
        <v>1042</v>
      </c>
      <c r="B42" s="292"/>
      <c r="C42" s="292"/>
      <c r="D42" s="293"/>
      <c r="E42" s="295"/>
      <c r="F42" s="296">
        <v>5700</v>
      </c>
      <c r="G42" s="290">
        <v>5206</v>
      </c>
      <c r="H42" s="290">
        <v>8000</v>
      </c>
      <c r="I42" s="317">
        <f t="shared" si="2"/>
        <v>2300</v>
      </c>
      <c r="J42" s="290">
        <v>8000</v>
      </c>
      <c r="K42" s="316"/>
      <c r="L42" s="320"/>
    </row>
    <row r="43" s="237" customFormat="1" ht="26" customHeight="1" spans="1:12">
      <c r="A43" s="291" t="s">
        <v>1043</v>
      </c>
      <c r="B43" s="292"/>
      <c r="C43" s="292"/>
      <c r="D43" s="293"/>
      <c r="E43" s="297"/>
      <c r="F43" s="296">
        <v>60</v>
      </c>
      <c r="G43" s="296">
        <v>60</v>
      </c>
      <c r="H43" s="296">
        <v>60</v>
      </c>
      <c r="I43" s="317">
        <f t="shared" si="2"/>
        <v>0</v>
      </c>
      <c r="J43" s="296">
        <v>60</v>
      </c>
      <c r="K43" s="316"/>
      <c r="L43" s="320"/>
    </row>
    <row r="44" s="237" customFormat="1" ht="26" customHeight="1" spans="1:12">
      <c r="A44" s="291" t="s">
        <v>1044</v>
      </c>
      <c r="B44" s="292"/>
      <c r="C44" s="292"/>
      <c r="D44" s="293"/>
      <c r="E44" s="296"/>
      <c r="F44" s="296">
        <f t="shared" ref="F44:H44" si="5">F41+F42+F43</f>
        <v>396940</v>
      </c>
      <c r="G44" s="296">
        <f t="shared" si="5"/>
        <v>86569.590556</v>
      </c>
      <c r="H44" s="296">
        <f t="shared" si="5"/>
        <v>425040.160556</v>
      </c>
      <c r="I44" s="317">
        <f t="shared" si="2"/>
        <v>-82874.289444</v>
      </c>
      <c r="J44" s="296">
        <f>J41+J42+J43</f>
        <v>314065.710556</v>
      </c>
      <c r="K44" s="316"/>
      <c r="L44" s="320"/>
    </row>
    <row r="45" s="237" customFormat="1" ht="26" customHeight="1" spans="1:12">
      <c r="A45" s="298" t="s">
        <v>1045</v>
      </c>
      <c r="B45" s="299"/>
      <c r="C45" s="299"/>
      <c r="D45" s="300"/>
      <c r="E45" s="301"/>
      <c r="F45" s="302">
        <f t="shared" ref="F45:H45" si="6">F40+F42+F43</f>
        <v>210440</v>
      </c>
      <c r="G45" s="302">
        <f t="shared" si="6"/>
        <v>18525.590556</v>
      </c>
      <c r="H45" s="302">
        <f t="shared" si="6"/>
        <v>241996.160556</v>
      </c>
      <c r="I45" s="321">
        <f t="shared" si="2"/>
        <v>-29418.289444</v>
      </c>
      <c r="J45" s="302">
        <f>J40+J42+J43</f>
        <v>181021.710556</v>
      </c>
      <c r="K45" s="322"/>
      <c r="L45" s="323"/>
    </row>
    <row r="46" s="237" customFormat="1" spans="1:11">
      <c r="A46" s="242"/>
      <c r="B46" s="242"/>
      <c r="C46" s="243"/>
      <c r="D46" s="238"/>
      <c r="K46" s="244"/>
    </row>
  </sheetData>
  <autoFilter xmlns:etc="http://www.wps.cn/officeDocument/2017/etCustomData" ref="A4:L45" etc:filterBottomFollowUsedRange="0">
    <extLst/>
  </autoFilter>
  <mergeCells count="11">
    <mergeCell ref="A2:L2"/>
    <mergeCell ref="A11:D11"/>
    <mergeCell ref="C39:D39"/>
    <mergeCell ref="A40:D40"/>
    <mergeCell ref="A41:D41"/>
    <mergeCell ref="A42:D42"/>
    <mergeCell ref="A43:D43"/>
    <mergeCell ref="A44:D44"/>
    <mergeCell ref="A45:D45"/>
    <mergeCell ref="E12:E13"/>
    <mergeCell ref="K12:K13"/>
  </mergeCells>
  <printOptions horizontalCentered="1"/>
  <pageMargins left="0.393055555555556" right="0.393055555555556" top="0.786805555555556" bottom="0.786805555555556" header="0.196527777777778" footer="0.196527777777778"/>
  <pageSetup paperSize="9" scale="8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15"/>
  <sheetViews>
    <sheetView zoomScale="80" zoomScaleNormal="80" topLeftCell="A94" workbookViewId="0">
      <selection activeCell="G24" sqref="G24"/>
    </sheetView>
  </sheetViews>
  <sheetFormatPr defaultColWidth="9" defaultRowHeight="23" customHeight="1"/>
  <cols>
    <col min="1" max="1" width="8.05" style="187" customWidth="1"/>
    <col min="2" max="2" width="6" style="188" hidden="1" customWidth="1"/>
    <col min="3" max="3" width="49.0583333333333" style="3" customWidth="1"/>
    <col min="4" max="6" width="10.1333333333333" style="1" customWidth="1"/>
    <col min="7" max="7" width="11.9333333333333" style="1" customWidth="1"/>
    <col min="8" max="10" width="10.1333333333333" style="1" hidden="1" customWidth="1"/>
    <col min="11" max="15" width="10.1333333333333" style="1" customWidth="1"/>
    <col min="16" max="16" width="7.35833333333333" style="189" customWidth="1"/>
    <col min="17" max="17" width="15.7833333333333" style="1" customWidth="1"/>
    <col min="18" max="18" width="10.5" style="1" customWidth="1"/>
    <col min="19" max="16384" width="9" style="1"/>
  </cols>
  <sheetData>
    <row r="1" s="185" customFormat="1" customHeight="1" spans="1:12">
      <c r="A1" s="190" t="s">
        <v>1046</v>
      </c>
      <c r="B1" s="191"/>
      <c r="C1" s="192"/>
      <c r="D1" s="191"/>
      <c r="E1" s="193"/>
      <c r="F1" s="191"/>
      <c r="G1" s="191"/>
      <c r="H1" s="191"/>
      <c r="I1" s="191"/>
      <c r="J1" s="191"/>
      <c r="K1" s="214"/>
      <c r="L1" s="215"/>
    </row>
    <row r="2" s="186" customFormat="1" customHeight="1" spans="1:17">
      <c r="A2" s="194" t="s">
        <v>1047</v>
      </c>
      <c r="B2" s="194"/>
      <c r="C2" s="194"/>
      <c r="D2" s="194"/>
      <c r="E2" s="194"/>
      <c r="F2" s="194"/>
      <c r="G2" s="194"/>
      <c r="H2" s="194"/>
      <c r="I2" s="194"/>
      <c r="J2" s="194"/>
      <c r="K2" s="194"/>
      <c r="L2" s="194"/>
      <c r="M2" s="194"/>
      <c r="N2" s="194"/>
      <c r="O2" s="194"/>
      <c r="P2" s="194"/>
      <c r="Q2" s="194"/>
    </row>
    <row r="3" s="186" customFormat="1" customHeight="1" spans="1:17">
      <c r="A3" s="195"/>
      <c r="B3" s="195"/>
      <c r="C3" s="195"/>
      <c r="D3" s="195"/>
      <c r="E3" s="196"/>
      <c r="F3" s="196"/>
      <c r="G3" s="196"/>
      <c r="H3" s="196"/>
      <c r="I3" s="196"/>
      <c r="J3" s="196"/>
      <c r="K3" s="195"/>
      <c r="L3" s="195"/>
      <c r="Q3" s="219" t="s">
        <v>5</v>
      </c>
    </row>
    <row r="4" s="3" customFormat="1" customHeight="1" spans="1:17">
      <c r="A4" s="197" t="s">
        <v>1048</v>
      </c>
      <c r="B4" s="198"/>
      <c r="C4" s="199" t="s">
        <v>6</v>
      </c>
      <c r="D4" s="199" t="s">
        <v>7</v>
      </c>
      <c r="E4" s="199"/>
      <c r="F4" s="200"/>
      <c r="G4" s="199" t="s">
        <v>8</v>
      </c>
      <c r="H4" s="199"/>
      <c r="I4" s="199"/>
      <c r="J4" s="199"/>
      <c r="K4" s="199"/>
      <c r="L4" s="199"/>
      <c r="M4" s="199" t="s">
        <v>9</v>
      </c>
      <c r="N4" s="199"/>
      <c r="O4" s="199"/>
      <c r="P4" s="216" t="s">
        <v>58</v>
      </c>
      <c r="Q4" s="220" t="s">
        <v>11</v>
      </c>
    </row>
    <row r="5" s="3" customFormat="1" customHeight="1" spans="1:17">
      <c r="A5" s="201"/>
      <c r="B5" s="202"/>
      <c r="C5" s="203"/>
      <c r="D5" s="204" t="s">
        <v>1049</v>
      </c>
      <c r="E5" s="203" t="s">
        <v>1050</v>
      </c>
      <c r="F5" s="204" t="s">
        <v>506</v>
      </c>
      <c r="G5" s="204" t="s">
        <v>1051</v>
      </c>
      <c r="H5" s="204" t="s">
        <v>1052</v>
      </c>
      <c r="I5" s="204" t="s">
        <v>1053</v>
      </c>
      <c r="J5" s="204" t="s">
        <v>1054</v>
      </c>
      <c r="K5" s="204" t="s">
        <v>1055</v>
      </c>
      <c r="L5" s="204" t="s">
        <v>1050</v>
      </c>
      <c r="M5" s="203" t="s">
        <v>1049</v>
      </c>
      <c r="N5" s="203" t="s">
        <v>1050</v>
      </c>
      <c r="O5" s="203" t="s">
        <v>506</v>
      </c>
      <c r="P5" s="217"/>
      <c r="Q5" s="221"/>
    </row>
    <row r="6" s="3" customFormat="1" hidden="1" customHeight="1" spans="1:17">
      <c r="A6" s="205" t="s">
        <v>1056</v>
      </c>
      <c r="B6" s="202"/>
      <c r="C6" s="206" t="s">
        <v>1057</v>
      </c>
      <c r="D6" s="207"/>
      <c r="E6" s="207"/>
      <c r="F6" s="207"/>
      <c r="G6" s="207"/>
      <c r="H6" s="207"/>
      <c r="I6" s="207"/>
      <c r="J6" s="207"/>
      <c r="K6" s="207"/>
      <c r="L6" s="207"/>
      <c r="M6" s="207">
        <f t="shared" ref="M6:M69" si="0">D6+G6+H6+I6+J6+K6</f>
        <v>0</v>
      </c>
      <c r="N6" s="207"/>
      <c r="O6" s="207"/>
      <c r="P6" s="218">
        <f t="shared" ref="P6:P69" si="1">IF(F6=0,IF(O6=0,0,100),100*(O6/F6-1))</f>
        <v>0</v>
      </c>
      <c r="Q6" s="222"/>
    </row>
    <row r="7" s="3" customFormat="1" hidden="1" customHeight="1" spans="1:17">
      <c r="A7" s="205" t="s">
        <v>1058</v>
      </c>
      <c r="B7" s="202"/>
      <c r="C7" s="206" t="s">
        <v>1059</v>
      </c>
      <c r="D7" s="207"/>
      <c r="E7" s="207"/>
      <c r="F7" s="207"/>
      <c r="G7" s="207"/>
      <c r="H7" s="207"/>
      <c r="I7" s="207"/>
      <c r="J7" s="207"/>
      <c r="K7" s="207"/>
      <c r="L7" s="207"/>
      <c r="M7" s="207">
        <f t="shared" si="0"/>
        <v>0</v>
      </c>
      <c r="N7" s="207"/>
      <c r="O7" s="207"/>
      <c r="P7" s="218">
        <f t="shared" si="1"/>
        <v>0</v>
      </c>
      <c r="Q7" s="222"/>
    </row>
    <row r="8" s="3" customFormat="1" hidden="1" customHeight="1" spans="1:17">
      <c r="A8" s="205" t="s">
        <v>1060</v>
      </c>
      <c r="B8" s="202"/>
      <c r="C8" s="206" t="s">
        <v>1061</v>
      </c>
      <c r="D8" s="207"/>
      <c r="E8" s="207"/>
      <c r="F8" s="207"/>
      <c r="G8" s="207"/>
      <c r="H8" s="207"/>
      <c r="I8" s="207"/>
      <c r="J8" s="207"/>
      <c r="K8" s="207"/>
      <c r="L8" s="207"/>
      <c r="M8" s="207">
        <f t="shared" si="0"/>
        <v>0</v>
      </c>
      <c r="N8" s="207"/>
      <c r="O8" s="207"/>
      <c r="P8" s="218">
        <f t="shared" si="1"/>
        <v>0</v>
      </c>
      <c r="Q8" s="222"/>
    </row>
    <row r="9" s="3" customFormat="1" hidden="1" customHeight="1" spans="1:17">
      <c r="A9" s="205" t="s">
        <v>1062</v>
      </c>
      <c r="B9" s="202"/>
      <c r="C9" s="206" t="s">
        <v>1063</v>
      </c>
      <c r="D9" s="207"/>
      <c r="E9" s="207"/>
      <c r="F9" s="207"/>
      <c r="G9" s="207"/>
      <c r="H9" s="207"/>
      <c r="I9" s="207"/>
      <c r="J9" s="207"/>
      <c r="K9" s="207"/>
      <c r="L9" s="207"/>
      <c r="M9" s="207">
        <f t="shared" si="0"/>
        <v>0</v>
      </c>
      <c r="N9" s="207"/>
      <c r="O9" s="207"/>
      <c r="P9" s="218">
        <f t="shared" si="1"/>
        <v>0</v>
      </c>
      <c r="Q9" s="222"/>
    </row>
    <row r="10" s="1" customFormat="1" customHeight="1" spans="1:17">
      <c r="A10" s="205" t="s">
        <v>1064</v>
      </c>
      <c r="B10" s="208"/>
      <c r="C10" s="209" t="s">
        <v>1065</v>
      </c>
      <c r="D10" s="207"/>
      <c r="E10" s="207"/>
      <c r="F10" s="207">
        <f t="shared" ref="F10:F73" si="2">D10+E10</f>
        <v>0</v>
      </c>
      <c r="G10" s="207"/>
      <c r="H10" s="207"/>
      <c r="I10" s="207"/>
      <c r="J10" s="207"/>
      <c r="K10" s="207"/>
      <c r="L10" s="207">
        <v>3</v>
      </c>
      <c r="M10" s="207">
        <f t="shared" si="0"/>
        <v>0</v>
      </c>
      <c r="N10" s="207">
        <f>+N11</f>
        <v>3</v>
      </c>
      <c r="O10" s="207">
        <f t="shared" ref="O10:O73" si="3">M10+N10</f>
        <v>3</v>
      </c>
      <c r="P10" s="218">
        <f t="shared" si="1"/>
        <v>100</v>
      </c>
      <c r="Q10" s="75"/>
    </row>
    <row r="11" s="1" customFormat="1" customHeight="1" spans="1:17">
      <c r="A11" s="205" t="s">
        <v>1066</v>
      </c>
      <c r="B11" s="208"/>
      <c r="C11" s="209" t="s">
        <v>1067</v>
      </c>
      <c r="D11" s="207"/>
      <c r="E11" s="207"/>
      <c r="F11" s="207">
        <f t="shared" si="2"/>
        <v>0</v>
      </c>
      <c r="G11" s="207"/>
      <c r="H11" s="207"/>
      <c r="I11" s="207"/>
      <c r="J11" s="207"/>
      <c r="K11" s="207"/>
      <c r="L11" s="207">
        <v>3</v>
      </c>
      <c r="M11" s="207">
        <f t="shared" si="0"/>
        <v>0</v>
      </c>
      <c r="N11" s="207">
        <f>+N12</f>
        <v>3</v>
      </c>
      <c r="O11" s="207">
        <f t="shared" si="3"/>
        <v>3</v>
      </c>
      <c r="P11" s="218">
        <f t="shared" si="1"/>
        <v>100</v>
      </c>
      <c r="Q11" s="75"/>
    </row>
    <row r="12" s="1" customFormat="1" customHeight="1" spans="1:17">
      <c r="A12" s="205" t="s">
        <v>1068</v>
      </c>
      <c r="B12" s="208"/>
      <c r="C12" s="209" t="s">
        <v>1069</v>
      </c>
      <c r="D12" s="207"/>
      <c r="E12" s="207"/>
      <c r="F12" s="207">
        <f t="shared" si="2"/>
        <v>0</v>
      </c>
      <c r="G12" s="207"/>
      <c r="H12" s="207"/>
      <c r="I12" s="207"/>
      <c r="J12" s="207"/>
      <c r="K12" s="207"/>
      <c r="L12" s="207">
        <v>3</v>
      </c>
      <c r="M12" s="207">
        <f t="shared" si="0"/>
        <v>0</v>
      </c>
      <c r="N12" s="207">
        <v>3</v>
      </c>
      <c r="O12" s="207">
        <f t="shared" si="3"/>
        <v>3</v>
      </c>
      <c r="P12" s="218">
        <f t="shared" si="1"/>
        <v>100</v>
      </c>
      <c r="Q12" s="75"/>
    </row>
    <row r="13" s="1" customFormat="1" hidden="1" customHeight="1" spans="1:17">
      <c r="A13" s="205" t="s">
        <v>1070</v>
      </c>
      <c r="B13" s="208"/>
      <c r="C13" s="209" t="s">
        <v>1071</v>
      </c>
      <c r="D13" s="207">
        <f>D14</f>
        <v>0</v>
      </c>
      <c r="E13" s="207"/>
      <c r="F13" s="207">
        <f t="shared" si="2"/>
        <v>0</v>
      </c>
      <c r="G13" s="207"/>
      <c r="H13" s="207"/>
      <c r="I13" s="207"/>
      <c r="J13" s="207"/>
      <c r="K13" s="207"/>
      <c r="L13" s="207"/>
      <c r="M13" s="207">
        <f t="shared" si="0"/>
        <v>0</v>
      </c>
      <c r="N13" s="207"/>
      <c r="O13" s="207">
        <f t="shared" si="3"/>
        <v>0</v>
      </c>
      <c r="P13" s="218">
        <f t="shared" si="1"/>
        <v>0</v>
      </c>
      <c r="Q13" s="222"/>
    </row>
    <row r="14" s="1" customFormat="1" hidden="1" customHeight="1" spans="1:17">
      <c r="A14" s="205">
        <v>2079901</v>
      </c>
      <c r="B14" s="208"/>
      <c r="C14" s="209" t="s">
        <v>1072</v>
      </c>
      <c r="D14" s="207"/>
      <c r="E14" s="207"/>
      <c r="F14" s="207">
        <f t="shared" si="2"/>
        <v>0</v>
      </c>
      <c r="G14" s="207"/>
      <c r="H14" s="207"/>
      <c r="I14" s="207"/>
      <c r="J14" s="207"/>
      <c r="K14" s="207"/>
      <c r="L14" s="207"/>
      <c r="M14" s="207">
        <f t="shared" si="0"/>
        <v>0</v>
      </c>
      <c r="N14" s="207"/>
      <c r="O14" s="207">
        <f t="shared" si="3"/>
        <v>0</v>
      </c>
      <c r="P14" s="218">
        <f t="shared" si="1"/>
        <v>0</v>
      </c>
      <c r="Q14" s="222"/>
    </row>
    <row r="15" s="1" customFormat="1" hidden="1" customHeight="1" spans="1:17">
      <c r="A15" s="205" t="s">
        <v>1073</v>
      </c>
      <c r="B15" s="208"/>
      <c r="C15" s="209" t="s">
        <v>1074</v>
      </c>
      <c r="D15" s="207"/>
      <c r="E15" s="207"/>
      <c r="F15" s="207">
        <f t="shared" si="2"/>
        <v>0</v>
      </c>
      <c r="G15" s="207"/>
      <c r="H15" s="207"/>
      <c r="I15" s="207"/>
      <c r="J15" s="207"/>
      <c r="K15" s="207"/>
      <c r="L15" s="207"/>
      <c r="M15" s="207">
        <f t="shared" si="0"/>
        <v>0</v>
      </c>
      <c r="N15" s="207"/>
      <c r="O15" s="207">
        <f t="shared" si="3"/>
        <v>0</v>
      </c>
      <c r="P15" s="218">
        <f t="shared" si="1"/>
        <v>0</v>
      </c>
      <c r="Q15" s="222"/>
    </row>
    <row r="16" s="1" customFormat="1" hidden="1" customHeight="1" spans="1:17">
      <c r="A16" s="205" t="s">
        <v>1075</v>
      </c>
      <c r="B16" s="208"/>
      <c r="C16" s="209" t="s">
        <v>1076</v>
      </c>
      <c r="D16" s="207"/>
      <c r="E16" s="207"/>
      <c r="F16" s="207">
        <f t="shared" si="2"/>
        <v>0</v>
      </c>
      <c r="G16" s="207"/>
      <c r="H16" s="207"/>
      <c r="I16" s="207"/>
      <c r="J16" s="207"/>
      <c r="K16" s="207"/>
      <c r="L16" s="207"/>
      <c r="M16" s="207">
        <f t="shared" si="0"/>
        <v>0</v>
      </c>
      <c r="N16" s="207"/>
      <c r="O16" s="207">
        <f t="shared" si="3"/>
        <v>0</v>
      </c>
      <c r="P16" s="218">
        <f t="shared" si="1"/>
        <v>0</v>
      </c>
      <c r="Q16" s="222"/>
    </row>
    <row r="17" s="1" customFormat="1" hidden="1" customHeight="1" spans="1:17">
      <c r="A17" s="205">
        <v>2081107</v>
      </c>
      <c r="B17" s="208"/>
      <c r="C17" s="209" t="s">
        <v>1077</v>
      </c>
      <c r="D17" s="207"/>
      <c r="E17" s="207"/>
      <c r="F17" s="207">
        <f t="shared" si="2"/>
        <v>0</v>
      </c>
      <c r="G17" s="207"/>
      <c r="H17" s="207"/>
      <c r="I17" s="207"/>
      <c r="J17" s="207"/>
      <c r="K17" s="207"/>
      <c r="L17" s="207"/>
      <c r="M17" s="207">
        <f t="shared" si="0"/>
        <v>0</v>
      </c>
      <c r="N17" s="207"/>
      <c r="O17" s="207">
        <f t="shared" si="3"/>
        <v>0</v>
      </c>
      <c r="P17" s="218">
        <f t="shared" si="1"/>
        <v>0</v>
      </c>
      <c r="Q17" s="222"/>
    </row>
    <row r="18" s="1" customFormat="1" hidden="1" customHeight="1" spans="1:17">
      <c r="A18" s="205">
        <v>2081199</v>
      </c>
      <c r="B18" s="208"/>
      <c r="C18" s="209" t="s">
        <v>1078</v>
      </c>
      <c r="D18" s="207"/>
      <c r="E18" s="207"/>
      <c r="F18" s="207">
        <f t="shared" si="2"/>
        <v>0</v>
      </c>
      <c r="G18" s="207"/>
      <c r="H18" s="207"/>
      <c r="I18" s="207"/>
      <c r="J18" s="207"/>
      <c r="K18" s="207"/>
      <c r="L18" s="207"/>
      <c r="M18" s="207">
        <f t="shared" si="0"/>
        <v>0</v>
      </c>
      <c r="N18" s="207"/>
      <c r="O18" s="207">
        <f t="shared" si="3"/>
        <v>0</v>
      </c>
      <c r="P18" s="218">
        <f t="shared" si="1"/>
        <v>0</v>
      </c>
      <c r="Q18" s="222"/>
    </row>
    <row r="19" s="1" customFormat="1" hidden="1" customHeight="1" spans="1:17">
      <c r="A19" s="205" t="s">
        <v>1079</v>
      </c>
      <c r="B19" s="208"/>
      <c r="C19" s="209" t="s">
        <v>1080</v>
      </c>
      <c r="D19" s="207"/>
      <c r="E19" s="207"/>
      <c r="F19" s="207">
        <f t="shared" si="2"/>
        <v>0</v>
      </c>
      <c r="G19" s="207"/>
      <c r="H19" s="207"/>
      <c r="I19" s="207"/>
      <c r="J19" s="207"/>
      <c r="K19" s="207"/>
      <c r="L19" s="207"/>
      <c r="M19" s="207">
        <f t="shared" si="0"/>
        <v>0</v>
      </c>
      <c r="N19" s="207"/>
      <c r="O19" s="207">
        <f t="shared" si="3"/>
        <v>0</v>
      </c>
      <c r="P19" s="218">
        <f t="shared" si="1"/>
        <v>0</v>
      </c>
      <c r="Q19" s="222"/>
    </row>
    <row r="20" s="1" customFormat="1" hidden="1" customHeight="1" spans="1:17">
      <c r="A20" s="205">
        <v>2086099</v>
      </c>
      <c r="B20" s="208"/>
      <c r="C20" s="209" t="s">
        <v>1081</v>
      </c>
      <c r="D20" s="207"/>
      <c r="E20" s="207"/>
      <c r="F20" s="207">
        <f t="shared" si="2"/>
        <v>0</v>
      </c>
      <c r="G20" s="207"/>
      <c r="H20" s="207"/>
      <c r="I20" s="207"/>
      <c r="J20" s="207"/>
      <c r="K20" s="207"/>
      <c r="L20" s="207"/>
      <c r="M20" s="207">
        <f t="shared" si="0"/>
        <v>0</v>
      </c>
      <c r="N20" s="207"/>
      <c r="O20" s="207">
        <f t="shared" si="3"/>
        <v>0</v>
      </c>
      <c r="P20" s="218">
        <f t="shared" si="1"/>
        <v>0</v>
      </c>
      <c r="Q20" s="222"/>
    </row>
    <row r="21" s="1" customFormat="1" customHeight="1" spans="1:17">
      <c r="A21" s="205" t="s">
        <v>1082</v>
      </c>
      <c r="B21" s="208"/>
      <c r="C21" s="209" t="s">
        <v>1083</v>
      </c>
      <c r="D21" s="207">
        <f>D22+D24+D37+D41+D45+D46+D49</f>
        <v>394016</v>
      </c>
      <c r="E21" s="207">
        <v>5332</v>
      </c>
      <c r="F21" s="207">
        <f t="shared" si="2"/>
        <v>399348</v>
      </c>
      <c r="G21" s="207">
        <f>G22+G24+G37+G41+G45+G46+G49</f>
        <v>-91523</v>
      </c>
      <c r="H21" s="207"/>
      <c r="I21" s="207"/>
      <c r="J21" s="207"/>
      <c r="K21" s="207">
        <f>K22+K24+K37+K41+K45+K46+K49</f>
        <v>-30000</v>
      </c>
      <c r="L21" s="207">
        <f t="shared" ref="L21:L84" si="4">N21-E21</f>
        <v>36851.5</v>
      </c>
      <c r="M21" s="207">
        <f t="shared" si="0"/>
        <v>272493</v>
      </c>
      <c r="N21" s="207">
        <f>+N22+N24+N37+N41+N45+N46+N49</f>
        <v>42183.5</v>
      </c>
      <c r="O21" s="207">
        <f t="shared" si="3"/>
        <v>314676.5</v>
      </c>
      <c r="P21" s="218">
        <f t="shared" si="1"/>
        <v>-21.2024349689995</v>
      </c>
      <c r="Q21" s="222"/>
    </row>
    <row r="22" s="1" customFormat="1" hidden="1" customHeight="1" spans="1:17">
      <c r="A22" s="205" t="s">
        <v>1084</v>
      </c>
      <c r="B22" s="208"/>
      <c r="C22" s="209" t="s">
        <v>1085</v>
      </c>
      <c r="D22" s="207"/>
      <c r="E22" s="207"/>
      <c r="F22" s="207">
        <f t="shared" si="2"/>
        <v>0</v>
      </c>
      <c r="G22" s="207"/>
      <c r="H22" s="207"/>
      <c r="I22" s="207"/>
      <c r="J22" s="207"/>
      <c r="K22" s="207"/>
      <c r="L22" s="207">
        <f t="shared" si="4"/>
        <v>0</v>
      </c>
      <c r="M22" s="207">
        <f t="shared" si="0"/>
        <v>0</v>
      </c>
      <c r="N22" s="207"/>
      <c r="O22" s="207">
        <f t="shared" si="3"/>
        <v>0</v>
      </c>
      <c r="P22" s="218">
        <f t="shared" si="1"/>
        <v>0</v>
      </c>
      <c r="Q22" s="222"/>
    </row>
    <row r="23" s="1" customFormat="1" hidden="1" customHeight="1" spans="1:17">
      <c r="A23" s="205">
        <v>2120705</v>
      </c>
      <c r="B23" s="208"/>
      <c r="C23" s="209" t="s">
        <v>1086</v>
      </c>
      <c r="D23" s="207"/>
      <c r="E23" s="207"/>
      <c r="F23" s="207">
        <f t="shared" si="2"/>
        <v>0</v>
      </c>
      <c r="G23" s="207"/>
      <c r="H23" s="207"/>
      <c r="I23" s="207"/>
      <c r="J23" s="207"/>
      <c r="K23" s="207"/>
      <c r="L23" s="207">
        <f t="shared" si="4"/>
        <v>0</v>
      </c>
      <c r="M23" s="207">
        <f t="shared" si="0"/>
        <v>0</v>
      </c>
      <c r="N23" s="207"/>
      <c r="O23" s="207">
        <f t="shared" si="3"/>
        <v>0</v>
      </c>
      <c r="P23" s="218">
        <f t="shared" si="1"/>
        <v>0</v>
      </c>
      <c r="Q23" s="222"/>
    </row>
    <row r="24" s="1" customFormat="1" customHeight="1" spans="1:17">
      <c r="A24" s="205" t="s">
        <v>1087</v>
      </c>
      <c r="B24" s="208"/>
      <c r="C24" s="209" t="s">
        <v>1088</v>
      </c>
      <c r="D24" s="207">
        <f>SUM(D25:D36)</f>
        <v>369092</v>
      </c>
      <c r="E24" s="207">
        <v>5332</v>
      </c>
      <c r="F24" s="207">
        <f t="shared" si="2"/>
        <v>374424</v>
      </c>
      <c r="G24" s="207">
        <f>SUM(G25:G36)</f>
        <v>-87645</v>
      </c>
      <c r="H24" s="207"/>
      <c r="I24" s="207"/>
      <c r="J24" s="207"/>
      <c r="K24" s="207">
        <v>-30000</v>
      </c>
      <c r="L24" s="207">
        <f t="shared" si="4"/>
        <v>36851.5</v>
      </c>
      <c r="M24" s="207">
        <f t="shared" si="0"/>
        <v>251447</v>
      </c>
      <c r="N24" s="207">
        <f>+N25+N26+N27+N28+N29+N30+N31+N32+N33+N34+N35+N36</f>
        <v>42183.5</v>
      </c>
      <c r="O24" s="207">
        <f t="shared" si="3"/>
        <v>293630.5</v>
      </c>
      <c r="P24" s="218">
        <f t="shared" si="1"/>
        <v>-21.5780772600047</v>
      </c>
      <c r="Q24" s="223"/>
    </row>
    <row r="25" s="1" customFormat="1" ht="21" customHeight="1" spans="1:17">
      <c r="A25" s="205">
        <v>2120801</v>
      </c>
      <c r="B25" s="208"/>
      <c r="C25" s="210" t="s">
        <v>1089</v>
      </c>
      <c r="D25" s="211">
        <v>13440</v>
      </c>
      <c r="E25" s="211"/>
      <c r="F25" s="207">
        <f t="shared" si="2"/>
        <v>13440</v>
      </c>
      <c r="G25" s="212">
        <v>11899</v>
      </c>
      <c r="H25" s="207"/>
      <c r="I25" s="207"/>
      <c r="J25" s="207"/>
      <c r="K25" s="207"/>
      <c r="L25" s="207">
        <f t="shared" si="4"/>
        <v>1610</v>
      </c>
      <c r="M25" s="207">
        <f t="shared" si="0"/>
        <v>25339</v>
      </c>
      <c r="N25" s="207">
        <v>1610</v>
      </c>
      <c r="O25" s="207">
        <f t="shared" si="3"/>
        <v>26949</v>
      </c>
      <c r="P25" s="218">
        <f t="shared" si="1"/>
        <v>100.513392857143</v>
      </c>
      <c r="Q25" s="222"/>
    </row>
    <row r="26" s="1" customFormat="1" customHeight="1" spans="1:17">
      <c r="A26" s="205">
        <v>2120802</v>
      </c>
      <c r="B26" s="208"/>
      <c r="C26" s="210" t="s">
        <v>1090</v>
      </c>
      <c r="D26" s="211">
        <v>252111</v>
      </c>
      <c r="E26" s="211"/>
      <c r="F26" s="207">
        <f t="shared" si="2"/>
        <v>252111</v>
      </c>
      <c r="G26" s="213">
        <v>-82452</v>
      </c>
      <c r="H26" s="207"/>
      <c r="I26" s="207"/>
      <c r="J26" s="207"/>
      <c r="K26" s="207"/>
      <c r="L26" s="207">
        <f t="shared" si="4"/>
        <v>0</v>
      </c>
      <c r="M26" s="207">
        <f t="shared" si="0"/>
        <v>169659</v>
      </c>
      <c r="N26" s="207"/>
      <c r="O26" s="207">
        <f t="shared" si="3"/>
        <v>169659</v>
      </c>
      <c r="P26" s="218">
        <f t="shared" si="1"/>
        <v>-32.7046420029273</v>
      </c>
      <c r="Q26" s="222"/>
    </row>
    <row r="27" s="1" customFormat="1" customHeight="1" spans="1:17">
      <c r="A27" s="205">
        <v>2120803</v>
      </c>
      <c r="B27" s="208"/>
      <c r="C27" s="209" t="s">
        <v>1091</v>
      </c>
      <c r="D27" s="211">
        <f>34124+30000</f>
        <v>64124</v>
      </c>
      <c r="E27" s="211"/>
      <c r="F27" s="207">
        <f t="shared" si="2"/>
        <v>64124</v>
      </c>
      <c r="G27" s="211">
        <v>-11198</v>
      </c>
      <c r="H27" s="207"/>
      <c r="I27" s="207"/>
      <c r="J27" s="207"/>
      <c r="K27" s="207">
        <v>-30000</v>
      </c>
      <c r="L27" s="207">
        <f t="shared" si="4"/>
        <v>4972.72</v>
      </c>
      <c r="M27" s="207">
        <f t="shared" si="0"/>
        <v>22926</v>
      </c>
      <c r="N27" s="207">
        <v>4972.72</v>
      </c>
      <c r="O27" s="207">
        <f t="shared" si="3"/>
        <v>27898.72</v>
      </c>
      <c r="P27" s="218">
        <f t="shared" si="1"/>
        <v>-56.4925456927204</v>
      </c>
      <c r="Q27" s="222"/>
    </row>
    <row r="28" s="1" customFormat="1" customHeight="1" spans="1:17">
      <c r="A28" s="205">
        <v>2120804</v>
      </c>
      <c r="B28" s="208"/>
      <c r="C28" s="210" t="s">
        <v>1092</v>
      </c>
      <c r="D28" s="211">
        <v>2080</v>
      </c>
      <c r="E28" s="211"/>
      <c r="F28" s="207">
        <f t="shared" si="2"/>
        <v>2080</v>
      </c>
      <c r="G28" s="211"/>
      <c r="H28" s="207"/>
      <c r="I28" s="207"/>
      <c r="J28" s="207"/>
      <c r="K28" s="207"/>
      <c r="L28" s="207">
        <f t="shared" si="4"/>
        <v>4688.5</v>
      </c>
      <c r="M28" s="207">
        <f t="shared" si="0"/>
        <v>2080</v>
      </c>
      <c r="N28" s="207">
        <v>4688.5</v>
      </c>
      <c r="O28" s="207">
        <f t="shared" si="3"/>
        <v>6768.5</v>
      </c>
      <c r="P28" s="218">
        <f t="shared" si="1"/>
        <v>225.408653846154</v>
      </c>
      <c r="Q28" s="222"/>
    </row>
    <row r="29" s="1" customFormat="1" customHeight="1" spans="1:17">
      <c r="A29" s="205">
        <v>2120805</v>
      </c>
      <c r="B29" s="208"/>
      <c r="C29" s="209" t="s">
        <v>1093</v>
      </c>
      <c r="D29" s="211">
        <v>903</v>
      </c>
      <c r="E29" s="211"/>
      <c r="F29" s="207">
        <f t="shared" si="2"/>
        <v>903</v>
      </c>
      <c r="G29" s="211">
        <v>-69</v>
      </c>
      <c r="H29" s="207"/>
      <c r="I29" s="207"/>
      <c r="J29" s="207"/>
      <c r="K29" s="207"/>
      <c r="L29" s="207">
        <f t="shared" si="4"/>
        <v>0</v>
      </c>
      <c r="M29" s="207">
        <f t="shared" si="0"/>
        <v>834</v>
      </c>
      <c r="N29" s="207"/>
      <c r="O29" s="207">
        <f t="shared" si="3"/>
        <v>834</v>
      </c>
      <c r="P29" s="218">
        <f t="shared" si="1"/>
        <v>-7.64119601328903</v>
      </c>
      <c r="Q29" s="222"/>
    </row>
    <row r="30" s="1" customFormat="1" customHeight="1" spans="1:17">
      <c r="A30" s="205">
        <v>2120806</v>
      </c>
      <c r="B30" s="208"/>
      <c r="C30" s="210" t="s">
        <v>1094</v>
      </c>
      <c r="D30" s="211">
        <v>2386</v>
      </c>
      <c r="E30" s="211"/>
      <c r="F30" s="207">
        <f t="shared" si="2"/>
        <v>2386</v>
      </c>
      <c r="G30" s="211">
        <v>87</v>
      </c>
      <c r="H30" s="207"/>
      <c r="I30" s="207"/>
      <c r="J30" s="207"/>
      <c r="K30" s="207"/>
      <c r="L30" s="207">
        <f t="shared" si="4"/>
        <v>0</v>
      </c>
      <c r="M30" s="207">
        <f t="shared" si="0"/>
        <v>2473</v>
      </c>
      <c r="N30" s="207"/>
      <c r="O30" s="207">
        <f t="shared" si="3"/>
        <v>2473</v>
      </c>
      <c r="P30" s="218">
        <f t="shared" si="1"/>
        <v>3.64626990779546</v>
      </c>
      <c r="Q30" s="222"/>
    </row>
    <row r="31" s="1" customFormat="1" hidden="1" customHeight="1" spans="1:17">
      <c r="A31" s="205">
        <v>2120807</v>
      </c>
      <c r="B31" s="208"/>
      <c r="C31" s="210" t="s">
        <v>1095</v>
      </c>
      <c r="D31" s="211"/>
      <c r="E31" s="211"/>
      <c r="F31" s="207">
        <f t="shared" si="2"/>
        <v>0</v>
      </c>
      <c r="G31" s="211"/>
      <c r="H31" s="207"/>
      <c r="I31" s="207"/>
      <c r="J31" s="207"/>
      <c r="K31" s="207"/>
      <c r="L31" s="207">
        <f t="shared" si="4"/>
        <v>0</v>
      </c>
      <c r="M31" s="207">
        <f t="shared" si="0"/>
        <v>0</v>
      </c>
      <c r="N31" s="207"/>
      <c r="O31" s="207">
        <f t="shared" si="3"/>
        <v>0</v>
      </c>
      <c r="P31" s="218">
        <f t="shared" si="1"/>
        <v>0</v>
      </c>
      <c r="Q31" s="222"/>
    </row>
    <row r="32" s="1" customFormat="1" hidden="1" customHeight="1" spans="1:17">
      <c r="A32" s="205">
        <v>2120808</v>
      </c>
      <c r="B32" s="208"/>
      <c r="C32" s="209" t="s">
        <v>1096</v>
      </c>
      <c r="D32" s="211"/>
      <c r="E32" s="211"/>
      <c r="F32" s="207">
        <f t="shared" si="2"/>
        <v>0</v>
      </c>
      <c r="G32" s="211"/>
      <c r="H32" s="207"/>
      <c r="I32" s="207"/>
      <c r="J32" s="207"/>
      <c r="K32" s="207"/>
      <c r="L32" s="207">
        <f t="shared" si="4"/>
        <v>0</v>
      </c>
      <c r="M32" s="207">
        <f t="shared" si="0"/>
        <v>0</v>
      </c>
      <c r="N32" s="207"/>
      <c r="O32" s="207">
        <f t="shared" si="3"/>
        <v>0</v>
      </c>
      <c r="P32" s="218">
        <f t="shared" si="1"/>
        <v>0</v>
      </c>
      <c r="Q32" s="222"/>
    </row>
    <row r="33" s="1" customFormat="1" hidden="1" customHeight="1" spans="1:17">
      <c r="A33" s="205" t="s">
        <v>1097</v>
      </c>
      <c r="B33" s="208"/>
      <c r="C33" s="209" t="s">
        <v>1098</v>
      </c>
      <c r="D33" s="211"/>
      <c r="E33" s="211"/>
      <c r="F33" s="207">
        <f t="shared" si="2"/>
        <v>0</v>
      </c>
      <c r="G33" s="211"/>
      <c r="H33" s="207"/>
      <c r="I33" s="207"/>
      <c r="J33" s="207"/>
      <c r="K33" s="207"/>
      <c r="L33" s="207">
        <f t="shared" si="4"/>
        <v>0</v>
      </c>
      <c r="M33" s="207">
        <f t="shared" si="0"/>
        <v>0</v>
      </c>
      <c r="N33" s="207"/>
      <c r="O33" s="207">
        <f t="shared" si="3"/>
        <v>0</v>
      </c>
      <c r="P33" s="218">
        <f t="shared" si="1"/>
        <v>0</v>
      </c>
      <c r="Q33" s="222"/>
    </row>
    <row r="34" s="1" customFormat="1" customHeight="1" spans="1:17">
      <c r="A34" s="205">
        <v>2120811</v>
      </c>
      <c r="B34" s="208"/>
      <c r="C34" s="209" t="s">
        <v>1099</v>
      </c>
      <c r="D34" s="211">
        <v>688</v>
      </c>
      <c r="E34" s="211"/>
      <c r="F34" s="207">
        <f t="shared" si="2"/>
        <v>688</v>
      </c>
      <c r="G34" s="211">
        <v>-20</v>
      </c>
      <c r="H34" s="207"/>
      <c r="I34" s="207"/>
      <c r="J34" s="207"/>
      <c r="K34" s="207"/>
      <c r="L34" s="207">
        <f t="shared" si="4"/>
        <v>0</v>
      </c>
      <c r="M34" s="207">
        <f t="shared" si="0"/>
        <v>668</v>
      </c>
      <c r="N34" s="207"/>
      <c r="O34" s="207">
        <f t="shared" si="3"/>
        <v>668</v>
      </c>
      <c r="P34" s="218">
        <f t="shared" si="1"/>
        <v>-2.90697674418605</v>
      </c>
      <c r="Q34" s="222"/>
    </row>
    <row r="35" s="1" customFormat="1" hidden="1" customHeight="1" spans="1:17">
      <c r="A35" s="205">
        <v>2120812</v>
      </c>
      <c r="B35" s="208"/>
      <c r="C35" s="209" t="s">
        <v>1100</v>
      </c>
      <c r="D35" s="211"/>
      <c r="E35" s="211"/>
      <c r="F35" s="207">
        <f t="shared" si="2"/>
        <v>0</v>
      </c>
      <c r="G35" s="211"/>
      <c r="H35" s="207"/>
      <c r="I35" s="207"/>
      <c r="J35" s="207"/>
      <c r="K35" s="207"/>
      <c r="L35" s="207">
        <f t="shared" si="4"/>
        <v>0</v>
      </c>
      <c r="M35" s="207">
        <f t="shared" si="0"/>
        <v>0</v>
      </c>
      <c r="N35" s="207"/>
      <c r="O35" s="207">
        <f t="shared" si="3"/>
        <v>0</v>
      </c>
      <c r="P35" s="218">
        <f t="shared" si="1"/>
        <v>0</v>
      </c>
      <c r="Q35" s="222"/>
    </row>
    <row r="36" s="1" customFormat="1" customHeight="1" spans="1:17">
      <c r="A36" s="205">
        <v>2120899</v>
      </c>
      <c r="B36" s="208"/>
      <c r="C36" s="209" t="s">
        <v>1101</v>
      </c>
      <c r="D36" s="211">
        <v>33360</v>
      </c>
      <c r="E36" s="211">
        <v>5332</v>
      </c>
      <c r="F36" s="207">
        <f t="shared" si="2"/>
        <v>38692</v>
      </c>
      <c r="G36" s="211">
        <v>-5892</v>
      </c>
      <c r="H36" s="207"/>
      <c r="I36" s="207"/>
      <c r="J36" s="207"/>
      <c r="K36" s="207"/>
      <c r="L36" s="207">
        <f t="shared" si="4"/>
        <v>25580.28</v>
      </c>
      <c r="M36" s="207">
        <f t="shared" si="0"/>
        <v>27468</v>
      </c>
      <c r="N36" s="207">
        <v>30912.28</v>
      </c>
      <c r="O36" s="207">
        <f t="shared" si="3"/>
        <v>58380.28</v>
      </c>
      <c r="P36" s="218">
        <f t="shared" si="1"/>
        <v>50.8846273131397</v>
      </c>
      <c r="Q36" s="222"/>
    </row>
    <row r="37" s="1" customFormat="1" hidden="1" customHeight="1" spans="1:17">
      <c r="A37" s="205" t="s">
        <v>1102</v>
      </c>
      <c r="B37" s="208"/>
      <c r="C37" s="209" t="s">
        <v>1103</v>
      </c>
      <c r="D37" s="207"/>
      <c r="E37" s="207"/>
      <c r="F37" s="207">
        <f t="shared" si="2"/>
        <v>0</v>
      </c>
      <c r="G37" s="207"/>
      <c r="H37" s="207"/>
      <c r="I37" s="207"/>
      <c r="J37" s="207"/>
      <c r="K37" s="207"/>
      <c r="L37" s="207">
        <f t="shared" si="4"/>
        <v>0</v>
      </c>
      <c r="M37" s="207">
        <f t="shared" si="0"/>
        <v>0</v>
      </c>
      <c r="N37" s="207"/>
      <c r="O37" s="207">
        <f t="shared" si="3"/>
        <v>0</v>
      </c>
      <c r="P37" s="218">
        <f t="shared" si="1"/>
        <v>0</v>
      </c>
      <c r="Q37" s="222"/>
    </row>
    <row r="38" s="1" customFormat="1" hidden="1" customHeight="1" spans="1:17">
      <c r="A38" s="205" t="s">
        <v>1104</v>
      </c>
      <c r="B38" s="208"/>
      <c r="C38" s="209" t="s">
        <v>1105</v>
      </c>
      <c r="D38" s="211"/>
      <c r="E38" s="211"/>
      <c r="F38" s="207">
        <f t="shared" si="2"/>
        <v>0</v>
      </c>
      <c r="G38" s="211"/>
      <c r="H38" s="207"/>
      <c r="I38" s="207"/>
      <c r="J38" s="207"/>
      <c r="K38" s="207"/>
      <c r="L38" s="207">
        <f t="shared" si="4"/>
        <v>0</v>
      </c>
      <c r="M38" s="207">
        <f t="shared" si="0"/>
        <v>0</v>
      </c>
      <c r="N38" s="207"/>
      <c r="O38" s="207">
        <f t="shared" si="3"/>
        <v>0</v>
      </c>
      <c r="P38" s="218">
        <f t="shared" si="1"/>
        <v>0</v>
      </c>
      <c r="Q38" s="222"/>
    </row>
    <row r="39" s="1" customFormat="1" hidden="1" customHeight="1" spans="1:17">
      <c r="A39" s="205" t="s">
        <v>1106</v>
      </c>
      <c r="B39" s="208"/>
      <c r="C39" s="209" t="s">
        <v>1107</v>
      </c>
      <c r="D39" s="211"/>
      <c r="E39" s="211"/>
      <c r="F39" s="207">
        <f t="shared" si="2"/>
        <v>0</v>
      </c>
      <c r="G39" s="211"/>
      <c r="H39" s="207"/>
      <c r="I39" s="207"/>
      <c r="J39" s="207"/>
      <c r="K39" s="207"/>
      <c r="L39" s="207">
        <f t="shared" si="4"/>
        <v>0</v>
      </c>
      <c r="M39" s="207">
        <f t="shared" si="0"/>
        <v>0</v>
      </c>
      <c r="N39" s="207"/>
      <c r="O39" s="207">
        <f t="shared" si="3"/>
        <v>0</v>
      </c>
      <c r="P39" s="218">
        <f t="shared" si="1"/>
        <v>0</v>
      </c>
      <c r="Q39" s="222"/>
    </row>
    <row r="40" s="1" customFormat="1" hidden="1" customHeight="1" spans="1:17">
      <c r="A40" s="205">
        <v>2120999</v>
      </c>
      <c r="B40" s="208"/>
      <c r="C40" s="209" t="s">
        <v>1108</v>
      </c>
      <c r="D40" s="211"/>
      <c r="E40" s="211"/>
      <c r="F40" s="207">
        <f t="shared" si="2"/>
        <v>0</v>
      </c>
      <c r="G40" s="211"/>
      <c r="H40" s="207"/>
      <c r="I40" s="207"/>
      <c r="J40" s="207"/>
      <c r="K40" s="207"/>
      <c r="L40" s="207">
        <f t="shared" si="4"/>
        <v>0</v>
      </c>
      <c r="M40" s="207">
        <f t="shared" si="0"/>
        <v>0</v>
      </c>
      <c r="N40" s="207"/>
      <c r="O40" s="207">
        <f t="shared" si="3"/>
        <v>0</v>
      </c>
      <c r="P40" s="218">
        <f t="shared" si="1"/>
        <v>0</v>
      </c>
      <c r="Q40" s="222"/>
    </row>
    <row r="41" s="1" customFormat="1" customHeight="1" spans="1:17">
      <c r="A41" s="205" t="s">
        <v>1109</v>
      </c>
      <c r="B41" s="208"/>
      <c r="C41" s="209" t="s">
        <v>1110</v>
      </c>
      <c r="D41" s="207">
        <f>SUM(D42:D44)</f>
        <v>19600</v>
      </c>
      <c r="E41" s="207"/>
      <c r="F41" s="207">
        <f t="shared" si="2"/>
        <v>19600</v>
      </c>
      <c r="G41" s="207">
        <f>SUM(G42:G44)</f>
        <v>-5200</v>
      </c>
      <c r="H41" s="207"/>
      <c r="I41" s="207"/>
      <c r="J41" s="207"/>
      <c r="K41" s="207"/>
      <c r="L41" s="207">
        <f t="shared" si="4"/>
        <v>0</v>
      </c>
      <c r="M41" s="207">
        <f t="shared" si="0"/>
        <v>14400</v>
      </c>
      <c r="N41" s="207"/>
      <c r="O41" s="207">
        <f t="shared" si="3"/>
        <v>14400</v>
      </c>
      <c r="P41" s="218">
        <f t="shared" si="1"/>
        <v>-26.530612244898</v>
      </c>
      <c r="Q41" s="222"/>
    </row>
    <row r="42" s="1" customFormat="1" hidden="1" customHeight="1" spans="1:17">
      <c r="A42" s="205">
        <v>2121001</v>
      </c>
      <c r="B42" s="208"/>
      <c r="C42" s="209" t="s">
        <v>1111</v>
      </c>
      <c r="D42" s="211"/>
      <c r="E42" s="211"/>
      <c r="F42" s="207">
        <f t="shared" si="2"/>
        <v>0</v>
      </c>
      <c r="G42" s="211"/>
      <c r="H42" s="207"/>
      <c r="I42" s="207"/>
      <c r="J42" s="207"/>
      <c r="K42" s="207"/>
      <c r="L42" s="207">
        <f t="shared" si="4"/>
        <v>0</v>
      </c>
      <c r="M42" s="207">
        <f t="shared" si="0"/>
        <v>0</v>
      </c>
      <c r="N42" s="207"/>
      <c r="O42" s="207">
        <f t="shared" si="3"/>
        <v>0</v>
      </c>
      <c r="P42" s="218">
        <f t="shared" si="1"/>
        <v>0</v>
      </c>
      <c r="Q42" s="223"/>
    </row>
    <row r="43" s="1" customFormat="1" customHeight="1" spans="1:17">
      <c r="A43" s="205">
        <v>2121002</v>
      </c>
      <c r="B43" s="208"/>
      <c r="C43" s="209" t="s">
        <v>1112</v>
      </c>
      <c r="D43" s="211">
        <v>19600</v>
      </c>
      <c r="E43" s="211"/>
      <c r="F43" s="207">
        <f t="shared" si="2"/>
        <v>19600</v>
      </c>
      <c r="G43" s="211">
        <v>-5200</v>
      </c>
      <c r="H43" s="207"/>
      <c r="I43" s="207"/>
      <c r="J43" s="207"/>
      <c r="K43" s="207"/>
      <c r="L43" s="207">
        <f t="shared" si="4"/>
        <v>0</v>
      </c>
      <c r="M43" s="207">
        <f t="shared" si="0"/>
        <v>14400</v>
      </c>
      <c r="N43" s="207"/>
      <c r="O43" s="207">
        <f t="shared" si="3"/>
        <v>14400</v>
      </c>
      <c r="P43" s="218">
        <f t="shared" si="1"/>
        <v>-26.530612244898</v>
      </c>
      <c r="Q43" s="223"/>
    </row>
    <row r="44" s="1" customFormat="1" hidden="1" customHeight="1" spans="1:17">
      <c r="A44" s="205">
        <v>2121099</v>
      </c>
      <c r="B44" s="208"/>
      <c r="C44" s="209" t="s">
        <v>1113</v>
      </c>
      <c r="D44" s="211"/>
      <c r="E44" s="211"/>
      <c r="F44" s="207">
        <f t="shared" si="2"/>
        <v>0</v>
      </c>
      <c r="G44" s="211"/>
      <c r="H44" s="207"/>
      <c r="I44" s="207"/>
      <c r="J44" s="207"/>
      <c r="K44" s="207"/>
      <c r="L44" s="207">
        <f t="shared" si="4"/>
        <v>0</v>
      </c>
      <c r="M44" s="207">
        <f t="shared" si="0"/>
        <v>0</v>
      </c>
      <c r="N44" s="207"/>
      <c r="O44" s="207">
        <f t="shared" si="3"/>
        <v>0</v>
      </c>
      <c r="P44" s="218">
        <f t="shared" si="1"/>
        <v>0</v>
      </c>
      <c r="Q44" s="222"/>
    </row>
    <row r="45" s="1" customFormat="1" customHeight="1" spans="1:17">
      <c r="A45" s="205" t="s">
        <v>1114</v>
      </c>
      <c r="B45" s="208"/>
      <c r="C45" s="209" t="s">
        <v>1115</v>
      </c>
      <c r="D45" s="211">
        <v>885</v>
      </c>
      <c r="E45" s="211"/>
      <c r="F45" s="207">
        <f t="shared" si="2"/>
        <v>885</v>
      </c>
      <c r="G45" s="211">
        <v>-65</v>
      </c>
      <c r="H45" s="207"/>
      <c r="I45" s="207"/>
      <c r="J45" s="207"/>
      <c r="K45" s="207"/>
      <c r="L45" s="207">
        <f t="shared" si="4"/>
        <v>0</v>
      </c>
      <c r="M45" s="207">
        <f t="shared" si="0"/>
        <v>820</v>
      </c>
      <c r="N45" s="207"/>
      <c r="O45" s="207">
        <f t="shared" si="3"/>
        <v>820</v>
      </c>
      <c r="P45" s="218">
        <f t="shared" si="1"/>
        <v>-7.34463276836158</v>
      </c>
      <c r="Q45" s="222"/>
    </row>
    <row r="46" s="1" customFormat="1" hidden="1" customHeight="1" spans="1:17">
      <c r="A46" s="205" t="s">
        <v>1116</v>
      </c>
      <c r="B46" s="208"/>
      <c r="C46" s="209" t="s">
        <v>1117</v>
      </c>
      <c r="D46" s="211"/>
      <c r="E46" s="207"/>
      <c r="F46" s="207">
        <f t="shared" si="2"/>
        <v>0</v>
      </c>
      <c r="G46" s="211"/>
      <c r="H46" s="207"/>
      <c r="I46" s="207"/>
      <c r="J46" s="207"/>
      <c r="K46" s="207"/>
      <c r="L46" s="207">
        <f t="shared" si="4"/>
        <v>0</v>
      </c>
      <c r="M46" s="207">
        <f t="shared" si="0"/>
        <v>0</v>
      </c>
      <c r="N46" s="207"/>
      <c r="O46" s="207">
        <f t="shared" si="3"/>
        <v>0</v>
      </c>
      <c r="P46" s="218">
        <f t="shared" si="1"/>
        <v>0</v>
      </c>
      <c r="Q46" s="222"/>
    </row>
    <row r="47" s="1" customFormat="1" hidden="1" customHeight="1" spans="1:17">
      <c r="A47" s="205">
        <v>2121202</v>
      </c>
      <c r="B47" s="208"/>
      <c r="C47" s="209" t="s">
        <v>1118</v>
      </c>
      <c r="D47" s="211"/>
      <c r="E47" s="211"/>
      <c r="F47" s="207">
        <f t="shared" si="2"/>
        <v>0</v>
      </c>
      <c r="G47" s="211"/>
      <c r="H47" s="207"/>
      <c r="I47" s="207"/>
      <c r="J47" s="207"/>
      <c r="K47" s="207"/>
      <c r="L47" s="207">
        <f t="shared" si="4"/>
        <v>0</v>
      </c>
      <c r="M47" s="207">
        <f t="shared" si="0"/>
        <v>0</v>
      </c>
      <c r="N47" s="207"/>
      <c r="O47" s="207">
        <f t="shared" si="3"/>
        <v>0</v>
      </c>
      <c r="P47" s="218">
        <f t="shared" si="1"/>
        <v>0</v>
      </c>
      <c r="Q47" s="222"/>
    </row>
    <row r="48" s="1" customFormat="1" hidden="1" customHeight="1" spans="1:17">
      <c r="A48" s="205">
        <v>2121203</v>
      </c>
      <c r="B48" s="208"/>
      <c r="C48" s="209" t="s">
        <v>1119</v>
      </c>
      <c r="D48" s="211"/>
      <c r="E48" s="207"/>
      <c r="F48" s="207">
        <f t="shared" si="2"/>
        <v>0</v>
      </c>
      <c r="G48" s="211"/>
      <c r="H48" s="207"/>
      <c r="I48" s="207"/>
      <c r="J48" s="207"/>
      <c r="K48" s="207"/>
      <c r="L48" s="207">
        <f t="shared" si="4"/>
        <v>0</v>
      </c>
      <c r="M48" s="207">
        <f t="shared" si="0"/>
        <v>0</v>
      </c>
      <c r="N48" s="207"/>
      <c r="O48" s="207">
        <f t="shared" si="3"/>
        <v>0</v>
      </c>
      <c r="P48" s="218">
        <f t="shared" si="1"/>
        <v>0</v>
      </c>
      <c r="Q48" s="222"/>
    </row>
    <row r="49" s="1" customFormat="1" customHeight="1" spans="1:17">
      <c r="A49" s="205" t="s">
        <v>1120</v>
      </c>
      <c r="B49" s="208"/>
      <c r="C49" s="209" t="s">
        <v>1121</v>
      </c>
      <c r="D49" s="207">
        <f>SUM(D50:D52)</f>
        <v>4439</v>
      </c>
      <c r="E49" s="207"/>
      <c r="F49" s="207">
        <f t="shared" si="2"/>
        <v>4439</v>
      </c>
      <c r="G49" s="207">
        <f>SUM(G50:G52)</f>
        <v>1387</v>
      </c>
      <c r="H49" s="207"/>
      <c r="I49" s="207"/>
      <c r="J49" s="207"/>
      <c r="K49" s="207"/>
      <c r="L49" s="207">
        <f t="shared" si="4"/>
        <v>0</v>
      </c>
      <c r="M49" s="207">
        <f t="shared" si="0"/>
        <v>5826</v>
      </c>
      <c r="N49" s="207"/>
      <c r="O49" s="207">
        <f t="shared" si="3"/>
        <v>5826</v>
      </c>
      <c r="P49" s="218">
        <f t="shared" si="1"/>
        <v>31.2457760756927</v>
      </c>
      <c r="Q49" s="222"/>
    </row>
    <row r="50" s="1" customFormat="1" customHeight="1" spans="1:17">
      <c r="A50" s="205" t="s">
        <v>1122</v>
      </c>
      <c r="B50" s="208"/>
      <c r="C50" s="209" t="s">
        <v>1105</v>
      </c>
      <c r="D50" s="211">
        <f>480+55</f>
        <v>535</v>
      </c>
      <c r="E50" s="211"/>
      <c r="F50" s="207">
        <f t="shared" si="2"/>
        <v>535</v>
      </c>
      <c r="G50" s="211">
        <v>70</v>
      </c>
      <c r="H50" s="207"/>
      <c r="I50" s="207"/>
      <c r="J50" s="207"/>
      <c r="K50" s="207"/>
      <c r="L50" s="207">
        <f t="shared" si="4"/>
        <v>0</v>
      </c>
      <c r="M50" s="207">
        <f t="shared" si="0"/>
        <v>605</v>
      </c>
      <c r="N50" s="207"/>
      <c r="O50" s="207">
        <f t="shared" si="3"/>
        <v>605</v>
      </c>
      <c r="P50" s="218">
        <f t="shared" si="1"/>
        <v>13.0841121495327</v>
      </c>
      <c r="Q50" s="222"/>
    </row>
    <row r="51" s="1" customFormat="1" customHeight="1" spans="1:40">
      <c r="A51" s="205" t="s">
        <v>1123</v>
      </c>
      <c r="B51" s="208"/>
      <c r="C51" s="209" t="s">
        <v>1124</v>
      </c>
      <c r="D51" s="211">
        <v>2055</v>
      </c>
      <c r="E51" s="211"/>
      <c r="F51" s="207">
        <f t="shared" si="2"/>
        <v>2055</v>
      </c>
      <c r="G51" s="211">
        <v>1543</v>
      </c>
      <c r="H51" s="207"/>
      <c r="I51" s="207"/>
      <c r="J51" s="207"/>
      <c r="K51" s="207"/>
      <c r="L51" s="207">
        <f t="shared" si="4"/>
        <v>0</v>
      </c>
      <c r="M51" s="207">
        <f t="shared" si="0"/>
        <v>3598</v>
      </c>
      <c r="N51" s="207"/>
      <c r="O51" s="207">
        <f t="shared" si="3"/>
        <v>3598</v>
      </c>
      <c r="P51" s="218">
        <f t="shared" si="1"/>
        <v>75.0851581508516</v>
      </c>
      <c r="Q51" s="222"/>
      <c r="R51" s="2"/>
      <c r="S51" s="2"/>
      <c r="T51" s="2"/>
      <c r="U51" s="2"/>
      <c r="V51" s="2"/>
      <c r="W51" s="2"/>
      <c r="X51" s="2"/>
      <c r="Y51" s="2"/>
      <c r="Z51" s="2"/>
      <c r="AA51" s="2"/>
      <c r="AB51" s="2"/>
      <c r="AC51" s="2"/>
      <c r="AD51" s="2"/>
      <c r="AE51" s="2"/>
      <c r="AF51" s="2"/>
      <c r="AG51" s="2"/>
      <c r="AH51" s="2"/>
      <c r="AI51" s="2"/>
      <c r="AJ51" s="2"/>
      <c r="AK51" s="2"/>
      <c r="AL51" s="2"/>
      <c r="AM51" s="2"/>
      <c r="AN51" s="2"/>
    </row>
    <row r="52" s="1" customFormat="1" customHeight="1" spans="1:40">
      <c r="A52" s="205">
        <v>2121399</v>
      </c>
      <c r="B52" s="208"/>
      <c r="C52" s="209" t="s">
        <v>1125</v>
      </c>
      <c r="D52" s="211">
        <v>1849</v>
      </c>
      <c r="E52" s="211"/>
      <c r="F52" s="207">
        <f t="shared" si="2"/>
        <v>1849</v>
      </c>
      <c r="G52" s="211">
        <v>-226</v>
      </c>
      <c r="H52" s="207"/>
      <c r="I52" s="207"/>
      <c r="J52" s="207"/>
      <c r="K52" s="207"/>
      <c r="L52" s="207">
        <f t="shared" si="4"/>
        <v>0</v>
      </c>
      <c r="M52" s="207">
        <f t="shared" si="0"/>
        <v>1623</v>
      </c>
      <c r="N52" s="207"/>
      <c r="O52" s="207">
        <f t="shared" si="3"/>
        <v>1623</v>
      </c>
      <c r="P52" s="218">
        <f t="shared" si="1"/>
        <v>-12.2228231476474</v>
      </c>
      <c r="Q52" s="222"/>
      <c r="R52" s="2"/>
      <c r="S52" s="2"/>
      <c r="T52" s="2"/>
      <c r="U52" s="2"/>
      <c r="V52" s="2"/>
      <c r="W52" s="2"/>
      <c r="X52" s="2"/>
      <c r="Y52" s="2"/>
      <c r="Z52" s="2"/>
      <c r="AA52" s="2"/>
      <c r="AB52" s="2"/>
      <c r="AC52" s="2"/>
      <c r="AD52" s="2"/>
      <c r="AE52" s="2"/>
      <c r="AF52" s="2"/>
      <c r="AG52" s="2"/>
      <c r="AH52" s="2"/>
      <c r="AI52" s="2"/>
      <c r="AJ52" s="2"/>
      <c r="AK52" s="2"/>
      <c r="AL52" s="2"/>
      <c r="AM52" s="2"/>
      <c r="AN52" s="2"/>
    </row>
    <row r="53" s="1" customFormat="1" hidden="1" customHeight="1" spans="1:40">
      <c r="A53" s="205" t="s">
        <v>1126</v>
      </c>
      <c r="B53" s="208"/>
      <c r="C53" s="209" t="s">
        <v>1127</v>
      </c>
      <c r="D53" s="207"/>
      <c r="E53" s="207"/>
      <c r="F53" s="207">
        <f t="shared" si="2"/>
        <v>0</v>
      </c>
      <c r="G53" s="207"/>
      <c r="H53" s="207"/>
      <c r="I53" s="207"/>
      <c r="J53" s="207"/>
      <c r="K53" s="207"/>
      <c r="L53" s="207">
        <f t="shared" si="4"/>
        <v>0</v>
      </c>
      <c r="M53" s="207">
        <f t="shared" si="0"/>
        <v>0</v>
      </c>
      <c r="N53" s="207"/>
      <c r="O53" s="207">
        <f t="shared" si="3"/>
        <v>0</v>
      </c>
      <c r="P53" s="218">
        <f t="shared" si="1"/>
        <v>0</v>
      </c>
      <c r="Q53" s="222"/>
      <c r="R53" s="2"/>
      <c r="S53" s="2"/>
      <c r="T53" s="2"/>
      <c r="U53" s="2"/>
      <c r="V53" s="2"/>
      <c r="W53" s="2"/>
      <c r="X53" s="2"/>
      <c r="Y53" s="2"/>
      <c r="Z53" s="2"/>
      <c r="AA53" s="2"/>
      <c r="AB53" s="2"/>
      <c r="AC53" s="2"/>
      <c r="AD53" s="2"/>
      <c r="AE53" s="2"/>
      <c r="AF53" s="2"/>
      <c r="AG53" s="2"/>
      <c r="AH53" s="2"/>
      <c r="AI53" s="2"/>
      <c r="AJ53" s="2"/>
      <c r="AK53" s="2"/>
      <c r="AL53" s="2"/>
      <c r="AM53" s="2"/>
      <c r="AN53" s="2"/>
    </row>
    <row r="54" s="1" customFormat="1" hidden="1" customHeight="1" spans="1:40">
      <c r="A54" s="205" t="s">
        <v>1128</v>
      </c>
      <c r="B54" s="208"/>
      <c r="C54" s="209" t="s">
        <v>1129</v>
      </c>
      <c r="D54" s="207"/>
      <c r="E54" s="207"/>
      <c r="F54" s="207">
        <f t="shared" si="2"/>
        <v>0</v>
      </c>
      <c r="G54" s="207"/>
      <c r="H54" s="207"/>
      <c r="I54" s="207"/>
      <c r="J54" s="207"/>
      <c r="K54" s="207"/>
      <c r="L54" s="207">
        <f t="shared" si="4"/>
        <v>0</v>
      </c>
      <c r="M54" s="207">
        <f t="shared" si="0"/>
        <v>0</v>
      </c>
      <c r="N54" s="207"/>
      <c r="O54" s="207">
        <f t="shared" si="3"/>
        <v>0</v>
      </c>
      <c r="P54" s="218">
        <f t="shared" si="1"/>
        <v>0</v>
      </c>
      <c r="Q54" s="222"/>
      <c r="R54" s="2"/>
      <c r="S54" s="2"/>
      <c r="T54" s="2"/>
      <c r="U54" s="2"/>
      <c r="V54" s="2"/>
      <c r="W54" s="2"/>
      <c r="X54" s="2"/>
      <c r="Y54" s="2"/>
      <c r="Z54" s="2"/>
      <c r="AA54" s="2"/>
      <c r="AB54" s="2"/>
      <c r="AC54" s="2"/>
      <c r="AD54" s="2"/>
      <c r="AE54" s="2"/>
      <c r="AF54" s="2"/>
      <c r="AG54" s="2"/>
      <c r="AH54" s="2"/>
      <c r="AI54" s="2"/>
      <c r="AJ54" s="2"/>
      <c r="AK54" s="2"/>
      <c r="AL54" s="2"/>
      <c r="AM54" s="2"/>
      <c r="AN54" s="2"/>
    </row>
    <row r="55" s="1" customFormat="1" hidden="1" customHeight="1" spans="1:40">
      <c r="A55" s="205">
        <v>2136203</v>
      </c>
      <c r="B55" s="208"/>
      <c r="C55" s="209" t="s">
        <v>1130</v>
      </c>
      <c r="D55" s="207"/>
      <c r="E55" s="207"/>
      <c r="F55" s="207">
        <f t="shared" si="2"/>
        <v>0</v>
      </c>
      <c r="G55" s="207"/>
      <c r="H55" s="207"/>
      <c r="I55" s="207"/>
      <c r="J55" s="207"/>
      <c r="K55" s="207"/>
      <c r="L55" s="207">
        <f t="shared" si="4"/>
        <v>0</v>
      </c>
      <c r="M55" s="207">
        <f t="shared" si="0"/>
        <v>0</v>
      </c>
      <c r="N55" s="207"/>
      <c r="O55" s="207">
        <f t="shared" si="3"/>
        <v>0</v>
      </c>
      <c r="P55" s="218">
        <f t="shared" si="1"/>
        <v>0</v>
      </c>
      <c r="Q55" s="222"/>
      <c r="R55" s="2"/>
      <c r="S55" s="2"/>
      <c r="T55" s="2"/>
      <c r="U55" s="2"/>
      <c r="V55" s="2"/>
      <c r="W55" s="2"/>
      <c r="X55" s="2"/>
      <c r="Y55" s="2"/>
      <c r="Z55" s="2"/>
      <c r="AA55" s="2"/>
      <c r="AB55" s="2"/>
      <c r="AC55" s="2"/>
      <c r="AD55" s="2"/>
      <c r="AE55" s="2"/>
      <c r="AF55" s="2"/>
      <c r="AG55" s="2"/>
      <c r="AH55" s="2"/>
      <c r="AI55" s="2"/>
      <c r="AJ55" s="2"/>
      <c r="AK55" s="2"/>
      <c r="AL55" s="2"/>
      <c r="AM55" s="2"/>
      <c r="AN55" s="2"/>
    </row>
    <row r="56" s="1" customFormat="1" hidden="1" customHeight="1" spans="1:40">
      <c r="A56" s="205">
        <v>2136299</v>
      </c>
      <c r="B56" s="208"/>
      <c r="C56" s="209" t="s">
        <v>1131</v>
      </c>
      <c r="D56" s="207"/>
      <c r="E56" s="207"/>
      <c r="F56" s="207">
        <f t="shared" si="2"/>
        <v>0</v>
      </c>
      <c r="G56" s="207"/>
      <c r="H56" s="207"/>
      <c r="I56" s="207"/>
      <c r="J56" s="207"/>
      <c r="K56" s="207"/>
      <c r="L56" s="207">
        <f t="shared" si="4"/>
        <v>0</v>
      </c>
      <c r="M56" s="207">
        <f t="shared" si="0"/>
        <v>0</v>
      </c>
      <c r="N56" s="207"/>
      <c r="O56" s="207">
        <f t="shared" si="3"/>
        <v>0</v>
      </c>
      <c r="P56" s="218">
        <f t="shared" si="1"/>
        <v>0</v>
      </c>
      <c r="Q56" s="222"/>
      <c r="R56" s="2"/>
      <c r="S56" s="2"/>
      <c r="T56" s="2"/>
      <c r="U56" s="2"/>
      <c r="V56" s="2"/>
      <c r="W56" s="2"/>
      <c r="X56" s="2"/>
      <c r="Y56" s="2"/>
      <c r="Z56" s="2"/>
      <c r="AA56" s="2"/>
      <c r="AB56" s="2"/>
      <c r="AC56" s="2"/>
      <c r="AD56" s="2"/>
      <c r="AE56" s="2"/>
      <c r="AF56" s="2"/>
      <c r="AG56" s="2"/>
      <c r="AH56" s="2"/>
      <c r="AI56" s="2"/>
      <c r="AJ56" s="2"/>
      <c r="AK56" s="2"/>
      <c r="AL56" s="2"/>
      <c r="AM56" s="2"/>
      <c r="AN56" s="2"/>
    </row>
    <row r="57" s="1" customFormat="1" hidden="1" customHeight="1" spans="1:40">
      <c r="A57" s="205" t="s">
        <v>1132</v>
      </c>
      <c r="B57" s="208"/>
      <c r="C57" s="209" t="s">
        <v>1133</v>
      </c>
      <c r="D57" s="207"/>
      <c r="E57" s="207"/>
      <c r="F57" s="207">
        <f t="shared" si="2"/>
        <v>0</v>
      </c>
      <c r="G57" s="207"/>
      <c r="H57" s="207"/>
      <c r="I57" s="207"/>
      <c r="J57" s="207"/>
      <c r="K57" s="207"/>
      <c r="L57" s="207">
        <f t="shared" si="4"/>
        <v>0</v>
      </c>
      <c r="M57" s="207">
        <f t="shared" si="0"/>
        <v>0</v>
      </c>
      <c r="N57" s="207"/>
      <c r="O57" s="207">
        <f t="shared" si="3"/>
        <v>0</v>
      </c>
      <c r="P57" s="218">
        <f t="shared" si="1"/>
        <v>0</v>
      </c>
      <c r="Q57" s="222"/>
      <c r="R57" s="2"/>
      <c r="S57" s="2"/>
      <c r="T57" s="2"/>
      <c r="U57" s="2"/>
      <c r="V57" s="2"/>
      <c r="W57" s="2"/>
      <c r="X57" s="2"/>
      <c r="Y57" s="2"/>
      <c r="Z57" s="2"/>
      <c r="AA57" s="2"/>
      <c r="AB57" s="2"/>
      <c r="AC57" s="2"/>
      <c r="AD57" s="2"/>
      <c r="AE57" s="2"/>
      <c r="AF57" s="2"/>
      <c r="AG57" s="2"/>
      <c r="AH57" s="2"/>
      <c r="AI57" s="2"/>
      <c r="AJ57" s="2"/>
      <c r="AK57" s="2"/>
      <c r="AL57" s="2"/>
      <c r="AM57" s="2"/>
      <c r="AN57" s="2"/>
    </row>
    <row r="58" s="1" customFormat="1" hidden="1" customHeight="1" spans="1:40">
      <c r="A58" s="205">
        <v>2136499</v>
      </c>
      <c r="B58" s="208"/>
      <c r="C58" s="209" t="s">
        <v>1134</v>
      </c>
      <c r="D58" s="207"/>
      <c r="E58" s="207"/>
      <c r="F58" s="207">
        <f t="shared" si="2"/>
        <v>0</v>
      </c>
      <c r="G58" s="207"/>
      <c r="H58" s="207"/>
      <c r="I58" s="207"/>
      <c r="J58" s="207"/>
      <c r="K58" s="207"/>
      <c r="L58" s="207">
        <f t="shared" si="4"/>
        <v>0</v>
      </c>
      <c r="M58" s="207">
        <f t="shared" si="0"/>
        <v>0</v>
      </c>
      <c r="N58" s="207"/>
      <c r="O58" s="207">
        <f t="shared" si="3"/>
        <v>0</v>
      </c>
      <c r="P58" s="218">
        <f t="shared" si="1"/>
        <v>0</v>
      </c>
      <c r="Q58" s="222"/>
      <c r="R58" s="2"/>
      <c r="S58" s="2"/>
      <c r="T58" s="2"/>
      <c r="U58" s="2"/>
      <c r="V58" s="2"/>
      <c r="W58" s="2"/>
      <c r="X58" s="2"/>
      <c r="Y58" s="2"/>
      <c r="Z58" s="2"/>
      <c r="AA58" s="2"/>
      <c r="AB58" s="2"/>
      <c r="AC58" s="2"/>
      <c r="AD58" s="2"/>
      <c r="AE58" s="2"/>
      <c r="AF58" s="2"/>
      <c r="AG58" s="2"/>
      <c r="AH58" s="2"/>
      <c r="AI58" s="2"/>
      <c r="AJ58" s="2"/>
      <c r="AK58" s="2"/>
      <c r="AL58" s="2"/>
      <c r="AM58" s="2"/>
      <c r="AN58" s="2"/>
    </row>
    <row r="59" s="1" customFormat="1" hidden="1" customHeight="1" spans="1:40">
      <c r="A59" s="205" t="s">
        <v>1135</v>
      </c>
      <c r="B59" s="208"/>
      <c r="C59" s="209" t="s">
        <v>1136</v>
      </c>
      <c r="D59" s="207"/>
      <c r="E59" s="207"/>
      <c r="F59" s="207">
        <f t="shared" si="2"/>
        <v>0</v>
      </c>
      <c r="G59" s="207"/>
      <c r="H59" s="207"/>
      <c r="I59" s="207"/>
      <c r="J59" s="207"/>
      <c r="K59" s="207"/>
      <c r="L59" s="207">
        <f t="shared" si="4"/>
        <v>0</v>
      </c>
      <c r="M59" s="207">
        <f t="shared" si="0"/>
        <v>0</v>
      </c>
      <c r="N59" s="207"/>
      <c r="O59" s="207">
        <f t="shared" si="3"/>
        <v>0</v>
      </c>
      <c r="P59" s="218">
        <f t="shared" si="1"/>
        <v>0</v>
      </c>
      <c r="Q59" s="222"/>
      <c r="R59" s="2"/>
      <c r="S59" s="2"/>
      <c r="T59" s="2"/>
      <c r="U59" s="2"/>
      <c r="V59" s="2"/>
      <c r="W59" s="2"/>
      <c r="X59" s="2"/>
      <c r="Y59" s="2"/>
      <c r="Z59" s="2"/>
      <c r="AA59" s="2"/>
      <c r="AB59" s="2"/>
      <c r="AC59" s="2"/>
      <c r="AD59" s="2"/>
      <c r="AE59" s="2"/>
      <c r="AF59" s="2"/>
      <c r="AG59" s="2"/>
      <c r="AH59" s="2"/>
      <c r="AI59" s="2"/>
      <c r="AJ59" s="2"/>
      <c r="AK59" s="2"/>
      <c r="AL59" s="2"/>
      <c r="AM59" s="2"/>
      <c r="AN59" s="2"/>
    </row>
    <row r="60" s="1" customFormat="1" hidden="1" customHeight="1" spans="1:40">
      <c r="A60" s="205" t="s">
        <v>1137</v>
      </c>
      <c r="B60" s="208"/>
      <c r="C60" s="209" t="s">
        <v>1138</v>
      </c>
      <c r="D60" s="207"/>
      <c r="E60" s="207"/>
      <c r="F60" s="207">
        <f t="shared" si="2"/>
        <v>0</v>
      </c>
      <c r="G60" s="207"/>
      <c r="H60" s="207"/>
      <c r="I60" s="207"/>
      <c r="J60" s="207"/>
      <c r="K60" s="207"/>
      <c r="L60" s="207">
        <f t="shared" si="4"/>
        <v>0</v>
      </c>
      <c r="M60" s="207">
        <f t="shared" si="0"/>
        <v>0</v>
      </c>
      <c r="N60" s="207"/>
      <c r="O60" s="207">
        <f t="shared" si="3"/>
        <v>0</v>
      </c>
      <c r="P60" s="218">
        <f t="shared" si="1"/>
        <v>0</v>
      </c>
      <c r="Q60" s="222"/>
      <c r="R60" s="2"/>
      <c r="S60" s="2"/>
      <c r="T60" s="2"/>
      <c r="U60" s="2"/>
      <c r="V60" s="2"/>
      <c r="W60" s="2"/>
      <c r="X60" s="2"/>
      <c r="Y60" s="2"/>
      <c r="Z60" s="2"/>
      <c r="AA60" s="2"/>
      <c r="AB60" s="2"/>
      <c r="AC60" s="2"/>
      <c r="AD60" s="2"/>
      <c r="AE60" s="2"/>
      <c r="AF60" s="2"/>
      <c r="AG60" s="2"/>
      <c r="AH60" s="2"/>
      <c r="AI60" s="2"/>
      <c r="AJ60" s="2"/>
      <c r="AK60" s="2"/>
      <c r="AL60" s="2"/>
      <c r="AM60" s="2"/>
      <c r="AN60" s="2"/>
    </row>
    <row r="61" s="1" customFormat="1" hidden="1" customHeight="1" spans="1:40">
      <c r="A61" s="205" t="s">
        <v>1139</v>
      </c>
      <c r="B61" s="208"/>
      <c r="C61" s="209"/>
      <c r="D61" s="207"/>
      <c r="E61" s="207"/>
      <c r="F61" s="207">
        <f t="shared" si="2"/>
        <v>0</v>
      </c>
      <c r="G61" s="207"/>
      <c r="H61" s="207"/>
      <c r="I61" s="207"/>
      <c r="J61" s="207"/>
      <c r="K61" s="207"/>
      <c r="L61" s="207">
        <f t="shared" si="4"/>
        <v>0</v>
      </c>
      <c r="M61" s="207">
        <f t="shared" si="0"/>
        <v>0</v>
      </c>
      <c r="N61" s="207"/>
      <c r="O61" s="207">
        <f t="shared" si="3"/>
        <v>0</v>
      </c>
      <c r="P61" s="218">
        <f t="shared" si="1"/>
        <v>0</v>
      </c>
      <c r="Q61" s="222"/>
      <c r="R61" s="2"/>
      <c r="S61" s="2"/>
      <c r="T61" s="2"/>
      <c r="U61" s="2"/>
      <c r="V61" s="2"/>
      <c r="W61" s="2"/>
      <c r="X61" s="2"/>
      <c r="Y61" s="2"/>
      <c r="Z61" s="2"/>
      <c r="AA61" s="2"/>
      <c r="AB61" s="2"/>
      <c r="AC61" s="2"/>
      <c r="AD61" s="2"/>
      <c r="AE61" s="2"/>
      <c r="AF61" s="2"/>
      <c r="AG61" s="2"/>
      <c r="AH61" s="2"/>
      <c r="AI61" s="2"/>
      <c r="AJ61" s="2"/>
      <c r="AK61" s="2"/>
      <c r="AL61" s="2"/>
      <c r="AM61" s="2"/>
      <c r="AN61" s="2"/>
    </row>
    <row r="62" s="1" customFormat="1" hidden="1" customHeight="1" spans="1:40">
      <c r="A62" s="205" t="s">
        <v>1140</v>
      </c>
      <c r="B62" s="208"/>
      <c r="C62" s="209"/>
      <c r="D62" s="207"/>
      <c r="E62" s="207"/>
      <c r="F62" s="207">
        <f t="shared" si="2"/>
        <v>0</v>
      </c>
      <c r="G62" s="207"/>
      <c r="H62" s="207"/>
      <c r="I62" s="207"/>
      <c r="J62" s="207"/>
      <c r="K62" s="207"/>
      <c r="L62" s="207">
        <f t="shared" si="4"/>
        <v>0</v>
      </c>
      <c r="M62" s="207">
        <f t="shared" si="0"/>
        <v>0</v>
      </c>
      <c r="N62" s="207"/>
      <c r="O62" s="207">
        <f t="shared" si="3"/>
        <v>0</v>
      </c>
      <c r="P62" s="218">
        <f t="shared" si="1"/>
        <v>0</v>
      </c>
      <c r="Q62" s="222"/>
      <c r="R62" s="2"/>
      <c r="S62" s="2"/>
      <c r="T62" s="2"/>
      <c r="U62" s="2"/>
      <c r="V62" s="2"/>
      <c r="W62" s="2"/>
      <c r="X62" s="2"/>
      <c r="Y62" s="2"/>
      <c r="Z62" s="2"/>
      <c r="AA62" s="2"/>
      <c r="AB62" s="2"/>
      <c r="AC62" s="2"/>
      <c r="AD62" s="2"/>
      <c r="AE62" s="2"/>
      <c r="AF62" s="2"/>
      <c r="AG62" s="2"/>
      <c r="AH62" s="2"/>
      <c r="AI62" s="2"/>
      <c r="AJ62" s="2"/>
      <c r="AK62" s="2"/>
      <c r="AL62" s="2"/>
      <c r="AM62" s="2"/>
      <c r="AN62" s="2"/>
    </row>
    <row r="63" s="1" customFormat="1" hidden="1" customHeight="1" spans="1:40">
      <c r="A63" s="205" t="s">
        <v>1141</v>
      </c>
      <c r="B63" s="208"/>
      <c r="C63" s="209" t="s">
        <v>1142</v>
      </c>
      <c r="D63" s="207"/>
      <c r="E63" s="207"/>
      <c r="F63" s="207">
        <f t="shared" si="2"/>
        <v>0</v>
      </c>
      <c r="G63" s="207"/>
      <c r="H63" s="207"/>
      <c r="I63" s="207"/>
      <c r="J63" s="207"/>
      <c r="K63" s="207"/>
      <c r="L63" s="207">
        <f t="shared" si="4"/>
        <v>0</v>
      </c>
      <c r="M63" s="207">
        <f t="shared" si="0"/>
        <v>0</v>
      </c>
      <c r="N63" s="207"/>
      <c r="O63" s="207">
        <f t="shared" si="3"/>
        <v>0</v>
      </c>
      <c r="P63" s="218">
        <f t="shared" si="1"/>
        <v>0</v>
      </c>
      <c r="Q63" s="222"/>
      <c r="R63" s="2"/>
      <c r="S63" s="2"/>
      <c r="T63" s="2"/>
      <c r="U63" s="2"/>
      <c r="V63" s="2"/>
      <c r="W63" s="2"/>
      <c r="X63" s="2"/>
      <c r="Y63" s="2"/>
      <c r="Z63" s="2"/>
      <c r="AA63" s="2"/>
      <c r="AB63" s="2"/>
      <c r="AC63" s="2"/>
      <c r="AD63" s="2"/>
      <c r="AE63" s="2"/>
      <c r="AF63" s="2"/>
      <c r="AG63" s="2"/>
      <c r="AH63" s="2"/>
      <c r="AI63" s="2"/>
      <c r="AJ63" s="2"/>
      <c r="AK63" s="2"/>
      <c r="AL63" s="2"/>
      <c r="AM63" s="2"/>
      <c r="AN63" s="2"/>
    </row>
    <row r="64" s="1" customFormat="1" hidden="1" customHeight="1" spans="1:40">
      <c r="A64" s="205" t="s">
        <v>1143</v>
      </c>
      <c r="B64" s="208"/>
      <c r="C64" s="209" t="s">
        <v>1144</v>
      </c>
      <c r="D64" s="207"/>
      <c r="E64" s="207"/>
      <c r="F64" s="207">
        <f t="shared" si="2"/>
        <v>0</v>
      </c>
      <c r="G64" s="207"/>
      <c r="H64" s="207"/>
      <c r="I64" s="207"/>
      <c r="J64" s="207"/>
      <c r="K64" s="207"/>
      <c r="L64" s="207">
        <f t="shared" si="4"/>
        <v>0</v>
      </c>
      <c r="M64" s="207">
        <f t="shared" si="0"/>
        <v>0</v>
      </c>
      <c r="N64" s="207"/>
      <c r="O64" s="207">
        <f t="shared" si="3"/>
        <v>0</v>
      </c>
      <c r="P64" s="218">
        <f t="shared" si="1"/>
        <v>0</v>
      </c>
      <c r="Q64" s="222"/>
      <c r="R64" s="2"/>
      <c r="S64" s="2"/>
      <c r="T64" s="2"/>
      <c r="U64" s="2"/>
      <c r="V64" s="2"/>
      <c r="W64" s="2"/>
      <c r="X64" s="2"/>
      <c r="Y64" s="2"/>
      <c r="Z64" s="2"/>
      <c r="AA64" s="2"/>
      <c r="AB64" s="2"/>
      <c r="AC64" s="2"/>
      <c r="AD64" s="2"/>
      <c r="AE64" s="2"/>
      <c r="AF64" s="2"/>
      <c r="AG64" s="2"/>
      <c r="AH64" s="2"/>
      <c r="AI64" s="2"/>
      <c r="AJ64" s="2"/>
      <c r="AK64" s="2"/>
      <c r="AL64" s="2"/>
      <c r="AM64" s="2"/>
      <c r="AN64" s="2"/>
    </row>
    <row r="65" s="1" customFormat="1" hidden="1" customHeight="1" spans="1:40">
      <c r="A65" s="205">
        <v>2140190</v>
      </c>
      <c r="B65" s="208"/>
      <c r="C65" s="209" t="s">
        <v>1145</v>
      </c>
      <c r="D65" s="207"/>
      <c r="E65" s="207"/>
      <c r="F65" s="207">
        <f t="shared" si="2"/>
        <v>0</v>
      </c>
      <c r="G65" s="207"/>
      <c r="H65" s="207"/>
      <c r="I65" s="207"/>
      <c r="J65" s="207"/>
      <c r="K65" s="207"/>
      <c r="L65" s="207">
        <f t="shared" si="4"/>
        <v>0</v>
      </c>
      <c r="M65" s="207">
        <f t="shared" si="0"/>
        <v>0</v>
      </c>
      <c r="N65" s="207"/>
      <c r="O65" s="207">
        <f t="shared" si="3"/>
        <v>0</v>
      </c>
      <c r="P65" s="218">
        <f t="shared" si="1"/>
        <v>0</v>
      </c>
      <c r="Q65" s="222"/>
      <c r="R65" s="2"/>
      <c r="S65" s="2"/>
      <c r="T65" s="2"/>
      <c r="U65" s="2"/>
      <c r="V65" s="2"/>
      <c r="W65" s="2"/>
      <c r="X65" s="2"/>
      <c r="Y65" s="2"/>
      <c r="Z65" s="2"/>
      <c r="AA65" s="2"/>
      <c r="AB65" s="2"/>
      <c r="AC65" s="2"/>
      <c r="AD65" s="2"/>
      <c r="AE65" s="2"/>
      <c r="AF65" s="2"/>
      <c r="AG65" s="2"/>
      <c r="AH65" s="2"/>
      <c r="AI65" s="2"/>
      <c r="AJ65" s="2"/>
      <c r="AK65" s="2"/>
      <c r="AL65" s="2"/>
      <c r="AM65" s="2"/>
      <c r="AN65" s="2"/>
    </row>
    <row r="66" s="1" customFormat="1" hidden="1" customHeight="1" spans="1:40">
      <c r="A66" s="205" t="s">
        <v>1146</v>
      </c>
      <c r="B66" s="208"/>
      <c r="C66" s="209" t="s">
        <v>1147</v>
      </c>
      <c r="D66" s="207"/>
      <c r="E66" s="207"/>
      <c r="F66" s="207">
        <f t="shared" si="2"/>
        <v>0</v>
      </c>
      <c r="G66" s="207"/>
      <c r="H66" s="207"/>
      <c r="I66" s="207"/>
      <c r="J66" s="207"/>
      <c r="K66" s="207"/>
      <c r="L66" s="207">
        <f t="shared" si="4"/>
        <v>0</v>
      </c>
      <c r="M66" s="207">
        <f t="shared" si="0"/>
        <v>0</v>
      </c>
      <c r="N66" s="207"/>
      <c r="O66" s="207">
        <f t="shared" si="3"/>
        <v>0</v>
      </c>
      <c r="P66" s="218">
        <f t="shared" si="1"/>
        <v>0</v>
      </c>
      <c r="Q66" s="222"/>
      <c r="R66" s="2"/>
      <c r="S66" s="2"/>
      <c r="T66" s="2"/>
      <c r="U66" s="2"/>
      <c r="V66" s="2"/>
      <c r="W66" s="2"/>
      <c r="X66" s="2"/>
      <c r="Y66" s="2"/>
      <c r="Z66" s="2"/>
      <c r="AA66" s="2"/>
      <c r="AB66" s="2"/>
      <c r="AC66" s="2"/>
      <c r="AD66" s="2"/>
      <c r="AE66" s="2"/>
      <c r="AF66" s="2"/>
      <c r="AG66" s="2"/>
      <c r="AH66" s="2"/>
      <c r="AI66" s="2"/>
      <c r="AJ66" s="2"/>
      <c r="AK66" s="2"/>
      <c r="AL66" s="2"/>
      <c r="AM66" s="2"/>
      <c r="AN66" s="2"/>
    </row>
    <row r="67" s="1" customFormat="1" hidden="1" customHeight="1" spans="1:40">
      <c r="A67" s="205" t="s">
        <v>1148</v>
      </c>
      <c r="B67" s="208"/>
      <c r="C67" s="209" t="s">
        <v>1149</v>
      </c>
      <c r="D67" s="207"/>
      <c r="E67" s="207"/>
      <c r="F67" s="207">
        <f t="shared" si="2"/>
        <v>0</v>
      </c>
      <c r="G67" s="207"/>
      <c r="H67" s="207"/>
      <c r="I67" s="207"/>
      <c r="J67" s="207"/>
      <c r="K67" s="207"/>
      <c r="L67" s="207">
        <f t="shared" si="4"/>
        <v>0</v>
      </c>
      <c r="M67" s="207">
        <f t="shared" si="0"/>
        <v>0</v>
      </c>
      <c r="N67" s="207"/>
      <c r="O67" s="207">
        <f t="shared" si="3"/>
        <v>0</v>
      </c>
      <c r="P67" s="218">
        <f t="shared" si="1"/>
        <v>0</v>
      </c>
      <c r="Q67" s="222"/>
      <c r="R67" s="2"/>
      <c r="S67" s="2"/>
      <c r="T67" s="2"/>
      <c r="U67" s="2"/>
      <c r="V67" s="2"/>
      <c r="W67" s="2"/>
      <c r="X67" s="2"/>
      <c r="Y67" s="2"/>
      <c r="Z67" s="2"/>
      <c r="AA67" s="2"/>
      <c r="AB67" s="2"/>
      <c r="AC67" s="2"/>
      <c r="AD67" s="2"/>
      <c r="AE67" s="2"/>
      <c r="AF67" s="2"/>
      <c r="AG67" s="2"/>
      <c r="AH67" s="2"/>
      <c r="AI67" s="2"/>
      <c r="AJ67" s="2"/>
      <c r="AK67" s="2"/>
      <c r="AL67" s="2"/>
      <c r="AM67" s="2"/>
      <c r="AN67" s="2"/>
    </row>
    <row r="68" s="1" customFormat="1" hidden="1" customHeight="1" spans="1:40">
      <c r="A68" s="224" t="s">
        <v>1150</v>
      </c>
      <c r="B68" s="209"/>
      <c r="C68" s="209" t="s">
        <v>1151</v>
      </c>
      <c r="D68" s="207"/>
      <c r="E68" s="207"/>
      <c r="F68" s="207">
        <f t="shared" si="2"/>
        <v>0</v>
      </c>
      <c r="G68" s="207"/>
      <c r="H68" s="207"/>
      <c r="I68" s="207"/>
      <c r="J68" s="207"/>
      <c r="K68" s="207"/>
      <c r="L68" s="207">
        <f t="shared" si="4"/>
        <v>0</v>
      </c>
      <c r="M68" s="207">
        <f t="shared" si="0"/>
        <v>0</v>
      </c>
      <c r="N68" s="207"/>
      <c r="O68" s="207">
        <f t="shared" si="3"/>
        <v>0</v>
      </c>
      <c r="P68" s="218">
        <f t="shared" si="1"/>
        <v>0</v>
      </c>
      <c r="Q68" s="222"/>
      <c r="R68" s="2"/>
      <c r="S68" s="2"/>
      <c r="T68" s="2"/>
      <c r="U68" s="2"/>
      <c r="V68" s="2"/>
      <c r="W68" s="2"/>
      <c r="X68" s="2"/>
      <c r="Y68" s="2"/>
      <c r="Z68" s="2"/>
      <c r="AA68" s="2"/>
      <c r="AB68" s="2"/>
      <c r="AC68" s="2"/>
      <c r="AD68" s="2"/>
      <c r="AE68" s="2"/>
      <c r="AF68" s="2"/>
      <c r="AG68" s="2"/>
      <c r="AH68" s="2"/>
      <c r="AI68" s="2"/>
      <c r="AJ68" s="2"/>
      <c r="AK68" s="2"/>
      <c r="AL68" s="2"/>
      <c r="AM68" s="2"/>
      <c r="AN68" s="2"/>
    </row>
    <row r="69" s="1" customFormat="1" hidden="1" customHeight="1" spans="1:40">
      <c r="A69" s="224" t="s">
        <v>1152</v>
      </c>
      <c r="B69" s="209"/>
      <c r="C69" s="209" t="s">
        <v>1153</v>
      </c>
      <c r="D69" s="207"/>
      <c r="E69" s="207"/>
      <c r="F69" s="207">
        <f t="shared" si="2"/>
        <v>0</v>
      </c>
      <c r="G69" s="207"/>
      <c r="H69" s="207"/>
      <c r="I69" s="207"/>
      <c r="J69" s="207"/>
      <c r="K69" s="207"/>
      <c r="L69" s="207">
        <f t="shared" si="4"/>
        <v>0</v>
      </c>
      <c r="M69" s="207">
        <f t="shared" si="0"/>
        <v>0</v>
      </c>
      <c r="N69" s="207"/>
      <c r="O69" s="207">
        <f t="shared" si="3"/>
        <v>0</v>
      </c>
      <c r="P69" s="218">
        <f t="shared" si="1"/>
        <v>0</v>
      </c>
      <c r="Q69" s="222"/>
      <c r="R69" s="2"/>
      <c r="S69" s="2"/>
      <c r="T69" s="2"/>
      <c r="U69" s="2"/>
      <c r="V69" s="2"/>
      <c r="W69" s="2"/>
      <c r="X69" s="2"/>
      <c r="Y69" s="2"/>
      <c r="Z69" s="2"/>
      <c r="AA69" s="2"/>
      <c r="AB69" s="2"/>
      <c r="AC69" s="2"/>
      <c r="AD69" s="2"/>
      <c r="AE69" s="2"/>
      <c r="AF69" s="2"/>
      <c r="AG69" s="2"/>
      <c r="AH69" s="2"/>
      <c r="AI69" s="2"/>
      <c r="AJ69" s="2"/>
      <c r="AK69" s="2"/>
      <c r="AL69" s="2"/>
      <c r="AM69" s="2"/>
      <c r="AN69" s="2"/>
    </row>
    <row r="70" s="1" customFormat="1" hidden="1" customHeight="1" spans="1:40">
      <c r="A70" s="224" t="s">
        <v>1154</v>
      </c>
      <c r="B70" s="209"/>
      <c r="C70" s="209" t="s">
        <v>1155</v>
      </c>
      <c r="D70" s="207"/>
      <c r="E70" s="207"/>
      <c r="F70" s="207">
        <f t="shared" si="2"/>
        <v>0</v>
      </c>
      <c r="G70" s="207"/>
      <c r="H70" s="207"/>
      <c r="I70" s="207"/>
      <c r="J70" s="207"/>
      <c r="K70" s="207"/>
      <c r="L70" s="207">
        <f t="shared" si="4"/>
        <v>0</v>
      </c>
      <c r="M70" s="207">
        <f t="shared" ref="M70:M104" si="5">D70+G70+H70+I70+J70+K70</f>
        <v>0</v>
      </c>
      <c r="N70" s="207"/>
      <c r="O70" s="207">
        <f t="shared" si="3"/>
        <v>0</v>
      </c>
      <c r="P70" s="218">
        <f t="shared" ref="P70:P109" si="6">IF(F70=0,IF(O70=0,0,100),100*(O70/F70-1))</f>
        <v>0</v>
      </c>
      <c r="Q70" s="222"/>
      <c r="R70" s="2"/>
      <c r="S70" s="2"/>
      <c r="T70" s="2"/>
      <c r="U70" s="2"/>
      <c r="V70" s="2"/>
      <c r="W70" s="2"/>
      <c r="X70" s="2"/>
      <c r="Y70" s="2"/>
      <c r="Z70" s="2"/>
      <c r="AA70" s="2"/>
      <c r="AB70" s="2"/>
      <c r="AC70" s="2"/>
      <c r="AD70" s="2"/>
      <c r="AE70" s="2"/>
      <c r="AF70" s="2"/>
      <c r="AG70" s="2"/>
      <c r="AH70" s="2"/>
      <c r="AI70" s="2"/>
      <c r="AJ70" s="2"/>
      <c r="AK70" s="2"/>
      <c r="AL70" s="2"/>
      <c r="AM70" s="2"/>
      <c r="AN70" s="2"/>
    </row>
    <row r="71" s="1" customFormat="1" hidden="1" customHeight="1" spans="1:40">
      <c r="A71" s="224" t="s">
        <v>1156</v>
      </c>
      <c r="B71" s="209"/>
      <c r="C71" s="209" t="s">
        <v>1157</v>
      </c>
      <c r="D71" s="207"/>
      <c r="E71" s="207"/>
      <c r="F71" s="207">
        <f t="shared" si="2"/>
        <v>0</v>
      </c>
      <c r="G71" s="207"/>
      <c r="H71" s="207"/>
      <c r="I71" s="207"/>
      <c r="J71" s="207"/>
      <c r="K71" s="207"/>
      <c r="L71" s="207">
        <f t="shared" si="4"/>
        <v>0</v>
      </c>
      <c r="M71" s="207">
        <f t="shared" si="5"/>
        <v>0</v>
      </c>
      <c r="N71" s="207"/>
      <c r="O71" s="207">
        <f t="shared" si="3"/>
        <v>0</v>
      </c>
      <c r="P71" s="218">
        <f t="shared" si="6"/>
        <v>0</v>
      </c>
      <c r="Q71" s="222"/>
      <c r="R71" s="2"/>
      <c r="S71" s="2"/>
      <c r="T71" s="2"/>
      <c r="U71" s="2"/>
      <c r="V71" s="2"/>
      <c r="W71" s="2"/>
      <c r="X71" s="2"/>
      <c r="Y71" s="2"/>
      <c r="Z71" s="2"/>
      <c r="AA71" s="2"/>
      <c r="AB71" s="2"/>
      <c r="AC71" s="2"/>
      <c r="AD71" s="2"/>
      <c r="AE71" s="2"/>
      <c r="AF71" s="2"/>
      <c r="AG71" s="2"/>
      <c r="AH71" s="2"/>
      <c r="AI71" s="2"/>
      <c r="AJ71" s="2"/>
      <c r="AK71" s="2"/>
      <c r="AL71" s="2"/>
      <c r="AM71" s="2"/>
      <c r="AN71" s="2"/>
    </row>
    <row r="72" s="1" customFormat="1" hidden="1" customHeight="1" spans="1:40">
      <c r="A72" s="224" t="s">
        <v>1158</v>
      </c>
      <c r="B72" s="209"/>
      <c r="C72" s="209" t="s">
        <v>1159</v>
      </c>
      <c r="D72" s="207"/>
      <c r="E72" s="207"/>
      <c r="F72" s="207">
        <f t="shared" si="2"/>
        <v>0</v>
      </c>
      <c r="G72" s="207"/>
      <c r="H72" s="207"/>
      <c r="I72" s="207"/>
      <c r="J72" s="207"/>
      <c r="K72" s="207"/>
      <c r="L72" s="207">
        <f t="shared" si="4"/>
        <v>0</v>
      </c>
      <c r="M72" s="207">
        <f t="shared" si="5"/>
        <v>0</v>
      </c>
      <c r="N72" s="207"/>
      <c r="O72" s="207">
        <f t="shared" si="3"/>
        <v>0</v>
      </c>
      <c r="P72" s="218">
        <f t="shared" si="6"/>
        <v>0</v>
      </c>
      <c r="Q72" s="222"/>
      <c r="R72" s="2"/>
      <c r="S72" s="2"/>
      <c r="T72" s="2"/>
      <c r="U72" s="2"/>
      <c r="V72" s="2"/>
      <c r="W72" s="2"/>
      <c r="X72" s="2"/>
      <c r="Y72" s="2"/>
      <c r="Z72" s="2"/>
      <c r="AA72" s="2"/>
      <c r="AB72" s="2"/>
      <c r="AC72" s="2"/>
      <c r="AD72" s="2"/>
      <c r="AE72" s="2"/>
      <c r="AF72" s="2"/>
      <c r="AG72" s="2"/>
      <c r="AH72" s="2"/>
      <c r="AI72" s="2"/>
      <c r="AJ72" s="2"/>
      <c r="AK72" s="2"/>
      <c r="AL72" s="2"/>
      <c r="AM72" s="2"/>
      <c r="AN72" s="2"/>
    </row>
    <row r="73" s="8" customFormat="1" hidden="1" customHeight="1" spans="1:40">
      <c r="A73" s="224" t="s">
        <v>1160</v>
      </c>
      <c r="B73" s="209"/>
      <c r="C73" s="209" t="s">
        <v>441</v>
      </c>
      <c r="D73" s="207"/>
      <c r="E73" s="207"/>
      <c r="F73" s="207">
        <f t="shared" si="2"/>
        <v>0</v>
      </c>
      <c r="G73" s="207"/>
      <c r="H73" s="207"/>
      <c r="I73" s="207"/>
      <c r="J73" s="207"/>
      <c r="K73" s="207"/>
      <c r="L73" s="207">
        <f t="shared" si="4"/>
        <v>0</v>
      </c>
      <c r="M73" s="207">
        <f t="shared" si="5"/>
        <v>0</v>
      </c>
      <c r="N73" s="207"/>
      <c r="O73" s="207">
        <f t="shared" si="3"/>
        <v>0</v>
      </c>
      <c r="P73" s="218">
        <f t="shared" si="6"/>
        <v>0</v>
      </c>
      <c r="Q73" s="222"/>
      <c r="R73" s="2"/>
      <c r="S73" s="2"/>
      <c r="T73" s="2"/>
      <c r="U73" s="2"/>
      <c r="V73" s="2"/>
      <c r="W73" s="2"/>
      <c r="X73" s="2"/>
      <c r="Y73" s="2"/>
      <c r="Z73" s="2"/>
      <c r="AA73" s="2"/>
      <c r="AB73" s="2"/>
      <c r="AC73" s="2"/>
      <c r="AD73" s="2"/>
      <c r="AE73" s="2"/>
      <c r="AF73" s="2"/>
      <c r="AG73" s="2"/>
      <c r="AH73" s="2"/>
      <c r="AI73" s="2"/>
      <c r="AJ73" s="2"/>
      <c r="AK73" s="2"/>
      <c r="AL73" s="2"/>
      <c r="AM73" s="2"/>
      <c r="AN73" s="2"/>
    </row>
    <row r="74" s="8" customFormat="1" hidden="1" customHeight="1" spans="1:40">
      <c r="A74" s="224" t="s">
        <v>1161</v>
      </c>
      <c r="B74" s="209"/>
      <c r="C74" s="209" t="s">
        <v>1162</v>
      </c>
      <c r="D74" s="207"/>
      <c r="E74" s="207"/>
      <c r="F74" s="207">
        <f t="shared" ref="F74:F108" si="7">D74+E74</f>
        <v>0</v>
      </c>
      <c r="G74" s="207"/>
      <c r="H74" s="207"/>
      <c r="I74" s="207"/>
      <c r="J74" s="207"/>
      <c r="K74" s="207"/>
      <c r="L74" s="207">
        <f t="shared" si="4"/>
        <v>0</v>
      </c>
      <c r="M74" s="207">
        <f t="shared" si="5"/>
        <v>0</v>
      </c>
      <c r="N74" s="207"/>
      <c r="O74" s="207">
        <f t="shared" ref="O74:O108" si="8">M74+N74</f>
        <v>0</v>
      </c>
      <c r="P74" s="218">
        <f t="shared" si="6"/>
        <v>0</v>
      </c>
      <c r="Q74" s="222"/>
      <c r="R74" s="2"/>
      <c r="S74" s="2"/>
      <c r="T74" s="2"/>
      <c r="U74" s="2"/>
      <c r="V74" s="2"/>
      <c r="W74" s="2"/>
      <c r="X74" s="2"/>
      <c r="Y74" s="2"/>
      <c r="Z74" s="2"/>
      <c r="AA74" s="2"/>
      <c r="AB74" s="2"/>
      <c r="AC74" s="2"/>
      <c r="AD74" s="2"/>
      <c r="AE74" s="2"/>
      <c r="AF74" s="2"/>
      <c r="AG74" s="2"/>
      <c r="AH74" s="2"/>
      <c r="AI74" s="2"/>
      <c r="AJ74" s="2"/>
      <c r="AK74" s="2"/>
      <c r="AL74" s="2"/>
      <c r="AM74" s="2"/>
      <c r="AN74" s="2"/>
    </row>
    <row r="75" s="8" customFormat="1" hidden="1" customHeight="1" spans="1:40">
      <c r="A75" s="224" t="s">
        <v>1163</v>
      </c>
      <c r="B75" s="209"/>
      <c r="C75" s="209" t="s">
        <v>1164</v>
      </c>
      <c r="D75" s="207"/>
      <c r="E75" s="207"/>
      <c r="F75" s="207">
        <f t="shared" si="7"/>
        <v>0</v>
      </c>
      <c r="G75" s="207"/>
      <c r="H75" s="207"/>
      <c r="I75" s="207"/>
      <c r="J75" s="207"/>
      <c r="K75" s="207"/>
      <c r="L75" s="207">
        <f t="shared" si="4"/>
        <v>0</v>
      </c>
      <c r="M75" s="207">
        <f t="shared" si="5"/>
        <v>0</v>
      </c>
      <c r="N75" s="207"/>
      <c r="O75" s="207">
        <f t="shared" si="8"/>
        <v>0</v>
      </c>
      <c r="P75" s="218">
        <f t="shared" si="6"/>
        <v>0</v>
      </c>
      <c r="Q75" s="222"/>
      <c r="R75" s="2"/>
      <c r="S75" s="2"/>
      <c r="T75" s="2"/>
      <c r="U75" s="2"/>
      <c r="V75" s="2"/>
      <c r="W75" s="2"/>
      <c r="X75" s="2"/>
      <c r="Y75" s="2"/>
      <c r="Z75" s="2"/>
      <c r="AA75" s="2"/>
      <c r="AB75" s="2"/>
      <c r="AC75" s="2"/>
      <c r="AD75" s="2"/>
      <c r="AE75" s="2"/>
      <c r="AF75" s="2"/>
      <c r="AG75" s="2"/>
      <c r="AH75" s="2"/>
      <c r="AI75" s="2"/>
      <c r="AJ75" s="2"/>
      <c r="AK75" s="2"/>
      <c r="AL75" s="2"/>
      <c r="AM75" s="2"/>
      <c r="AN75" s="2"/>
    </row>
    <row r="76" s="3" customFormat="1" customHeight="1" spans="1:40">
      <c r="A76" s="205" t="s">
        <v>1165</v>
      </c>
      <c r="B76" s="225"/>
      <c r="C76" s="206" t="s">
        <v>491</v>
      </c>
      <c r="D76" s="207">
        <f>D77+D79</f>
        <v>60</v>
      </c>
      <c r="E76" s="207">
        <v>31</v>
      </c>
      <c r="F76" s="207">
        <f t="shared" si="7"/>
        <v>91</v>
      </c>
      <c r="G76" s="207">
        <f>G77+G79</f>
        <v>65000</v>
      </c>
      <c r="H76" s="207"/>
      <c r="I76" s="207"/>
      <c r="J76" s="207"/>
      <c r="K76" s="207">
        <f>K77+K79</f>
        <v>30000</v>
      </c>
      <c r="L76" s="207">
        <f t="shared" si="4"/>
        <v>30150.43</v>
      </c>
      <c r="M76" s="207">
        <f t="shared" si="5"/>
        <v>95060</v>
      </c>
      <c r="N76" s="207">
        <f>+N77+N79</f>
        <v>30181.43</v>
      </c>
      <c r="O76" s="207">
        <f t="shared" si="8"/>
        <v>125241.43</v>
      </c>
      <c r="P76" s="218">
        <f t="shared" si="6"/>
        <v>137527.945054945</v>
      </c>
      <c r="Q76" s="75"/>
      <c r="R76" s="2"/>
      <c r="S76" s="2"/>
      <c r="T76" s="2"/>
      <c r="U76" s="2"/>
      <c r="V76" s="2"/>
      <c r="W76" s="2"/>
      <c r="X76" s="2"/>
      <c r="Y76" s="2"/>
      <c r="Z76" s="2"/>
      <c r="AA76" s="2"/>
      <c r="AB76" s="2"/>
      <c r="AC76" s="2"/>
      <c r="AD76" s="2"/>
      <c r="AE76" s="2"/>
      <c r="AF76" s="2"/>
      <c r="AG76" s="2"/>
      <c r="AH76" s="2"/>
      <c r="AI76" s="2"/>
      <c r="AJ76" s="2"/>
      <c r="AK76" s="2"/>
      <c r="AL76" s="2"/>
      <c r="AM76" s="2"/>
      <c r="AN76" s="2"/>
    </row>
    <row r="77" s="3" customFormat="1" customHeight="1" spans="1:40">
      <c r="A77" s="205" t="s">
        <v>1166</v>
      </c>
      <c r="B77" s="225"/>
      <c r="C77" s="206" t="s">
        <v>1167</v>
      </c>
      <c r="D77" s="207"/>
      <c r="E77" s="207"/>
      <c r="F77" s="207">
        <f t="shared" si="7"/>
        <v>0</v>
      </c>
      <c r="G77" s="207">
        <v>65000</v>
      </c>
      <c r="H77" s="207"/>
      <c r="I77" s="207"/>
      <c r="J77" s="207"/>
      <c r="K77" s="207">
        <v>30000</v>
      </c>
      <c r="L77" s="207">
        <f t="shared" si="4"/>
        <v>30000</v>
      </c>
      <c r="M77" s="207">
        <f t="shared" si="5"/>
        <v>95000</v>
      </c>
      <c r="N77" s="207">
        <f>+N78</f>
        <v>30000</v>
      </c>
      <c r="O77" s="207">
        <f t="shared" si="8"/>
        <v>125000</v>
      </c>
      <c r="P77" s="218">
        <f t="shared" si="6"/>
        <v>100</v>
      </c>
      <c r="Q77" s="75"/>
      <c r="R77" s="2"/>
      <c r="S77" s="2"/>
      <c r="T77" s="2"/>
      <c r="U77" s="2"/>
      <c r="V77" s="2"/>
      <c r="W77" s="2"/>
      <c r="X77" s="2"/>
      <c r="Y77" s="2"/>
      <c r="Z77" s="2"/>
      <c r="AA77" s="2"/>
      <c r="AB77" s="2"/>
      <c r="AC77" s="2"/>
      <c r="AD77" s="2"/>
      <c r="AE77" s="2"/>
      <c r="AF77" s="2"/>
      <c r="AG77" s="2"/>
      <c r="AH77" s="2"/>
      <c r="AI77" s="2"/>
      <c r="AJ77" s="2"/>
      <c r="AK77" s="2"/>
      <c r="AL77" s="2"/>
      <c r="AM77" s="2"/>
      <c r="AN77" s="2"/>
    </row>
    <row r="78" s="3" customFormat="1" customHeight="1" spans="1:40">
      <c r="A78" s="205" t="s">
        <v>1168</v>
      </c>
      <c r="B78" s="225"/>
      <c r="C78" s="206" t="s">
        <v>1169</v>
      </c>
      <c r="D78" s="207"/>
      <c r="E78" s="207"/>
      <c r="F78" s="207">
        <f t="shared" si="7"/>
        <v>0</v>
      </c>
      <c r="G78" s="207">
        <v>65000</v>
      </c>
      <c r="H78" s="207"/>
      <c r="I78" s="207"/>
      <c r="J78" s="207"/>
      <c r="K78" s="207">
        <v>30000</v>
      </c>
      <c r="L78" s="207">
        <f t="shared" si="4"/>
        <v>30000</v>
      </c>
      <c r="M78" s="207">
        <f t="shared" si="5"/>
        <v>95000</v>
      </c>
      <c r="N78" s="207">
        <v>30000</v>
      </c>
      <c r="O78" s="207">
        <f t="shared" si="8"/>
        <v>125000</v>
      </c>
      <c r="P78" s="218">
        <f t="shared" si="6"/>
        <v>100</v>
      </c>
      <c r="Q78" s="75"/>
      <c r="R78" s="2"/>
      <c r="S78" s="2"/>
      <c r="T78" s="2"/>
      <c r="U78" s="2"/>
      <c r="V78" s="2"/>
      <c r="W78" s="2"/>
      <c r="X78" s="2"/>
      <c r="Y78" s="2"/>
      <c r="Z78" s="2"/>
      <c r="AA78" s="2"/>
      <c r="AB78" s="2"/>
      <c r="AC78" s="2"/>
      <c r="AD78" s="2"/>
      <c r="AE78" s="2"/>
      <c r="AF78" s="2"/>
      <c r="AG78" s="2"/>
      <c r="AH78" s="2"/>
      <c r="AI78" s="2"/>
      <c r="AJ78" s="2"/>
      <c r="AK78" s="2"/>
      <c r="AL78" s="2"/>
      <c r="AM78" s="2"/>
      <c r="AN78" s="2"/>
    </row>
    <row r="79" s="3" customFormat="1" customHeight="1" spans="1:40">
      <c r="A79" s="205" t="s">
        <v>1170</v>
      </c>
      <c r="B79" s="202"/>
      <c r="C79" s="226" t="s">
        <v>1171</v>
      </c>
      <c r="D79" s="207">
        <f>SUM(D80:D89)</f>
        <v>60</v>
      </c>
      <c r="E79" s="207">
        <v>31</v>
      </c>
      <c r="F79" s="207">
        <f t="shared" si="7"/>
        <v>91</v>
      </c>
      <c r="G79" s="207">
        <f>SUM(G80:G89)</f>
        <v>0</v>
      </c>
      <c r="H79" s="207"/>
      <c r="I79" s="207"/>
      <c r="J79" s="207"/>
      <c r="K79" s="207"/>
      <c r="L79" s="207">
        <f t="shared" si="4"/>
        <v>150.43</v>
      </c>
      <c r="M79" s="207">
        <f t="shared" si="5"/>
        <v>60</v>
      </c>
      <c r="N79" s="207">
        <f>+N80+N81+N82+N83+N84+N85+N86+N87+N88+N89</f>
        <v>181.43</v>
      </c>
      <c r="O79" s="207">
        <f t="shared" si="8"/>
        <v>241.43</v>
      </c>
      <c r="P79" s="218">
        <f t="shared" si="6"/>
        <v>165.307692307692</v>
      </c>
      <c r="Q79" s="222"/>
      <c r="R79" s="2"/>
      <c r="S79" s="2"/>
      <c r="T79" s="2"/>
      <c r="U79" s="2"/>
      <c r="V79" s="2"/>
      <c r="W79" s="2"/>
      <c r="X79" s="2"/>
      <c r="Y79" s="2"/>
      <c r="Z79" s="2"/>
      <c r="AA79" s="2"/>
      <c r="AB79" s="2"/>
      <c r="AC79" s="2"/>
      <c r="AD79" s="2"/>
      <c r="AE79" s="2"/>
      <c r="AF79" s="2"/>
      <c r="AG79" s="2"/>
      <c r="AH79" s="2"/>
      <c r="AI79" s="2"/>
      <c r="AJ79" s="2"/>
      <c r="AK79" s="2"/>
      <c r="AL79" s="2"/>
      <c r="AM79" s="2"/>
      <c r="AN79" s="2"/>
    </row>
    <row r="80" s="3" customFormat="1" hidden="1" customHeight="1" spans="1:40">
      <c r="A80" s="205" t="s">
        <v>1172</v>
      </c>
      <c r="B80" s="202"/>
      <c r="C80" s="226" t="s">
        <v>1173</v>
      </c>
      <c r="D80" s="211"/>
      <c r="E80" s="211"/>
      <c r="F80" s="207">
        <f t="shared" si="7"/>
        <v>0</v>
      </c>
      <c r="G80" s="211"/>
      <c r="H80" s="207"/>
      <c r="I80" s="207"/>
      <c r="J80" s="207"/>
      <c r="K80" s="207"/>
      <c r="L80" s="207">
        <f t="shared" si="4"/>
        <v>0</v>
      </c>
      <c r="M80" s="207">
        <f t="shared" si="5"/>
        <v>0</v>
      </c>
      <c r="N80" s="207"/>
      <c r="O80" s="207">
        <f t="shared" si="8"/>
        <v>0</v>
      </c>
      <c r="P80" s="218">
        <f t="shared" si="6"/>
        <v>0</v>
      </c>
      <c r="Q80" s="222"/>
      <c r="R80" s="2"/>
      <c r="S80" s="2"/>
      <c r="T80" s="2"/>
      <c r="U80" s="2"/>
      <c r="V80" s="2"/>
      <c r="W80" s="2"/>
      <c r="X80" s="2"/>
      <c r="Y80" s="2"/>
      <c r="Z80" s="2"/>
      <c r="AA80" s="2"/>
      <c r="AB80" s="2"/>
      <c r="AC80" s="2"/>
      <c r="AD80" s="2"/>
      <c r="AE80" s="2"/>
      <c r="AF80" s="2"/>
      <c r="AG80" s="2"/>
      <c r="AH80" s="2"/>
      <c r="AI80" s="2"/>
      <c r="AJ80" s="2"/>
      <c r="AK80" s="2"/>
      <c r="AL80" s="2"/>
      <c r="AM80" s="2"/>
      <c r="AN80" s="2"/>
    </row>
    <row r="81" s="3" customFormat="1" customHeight="1" spans="1:40">
      <c r="A81" s="205" t="s">
        <v>1174</v>
      </c>
      <c r="B81" s="202"/>
      <c r="C81" s="226" t="s">
        <v>1175</v>
      </c>
      <c r="D81" s="211"/>
      <c r="E81" s="211">
        <v>20</v>
      </c>
      <c r="F81" s="207">
        <f t="shared" si="7"/>
        <v>20</v>
      </c>
      <c r="G81" s="211"/>
      <c r="H81" s="207"/>
      <c r="I81" s="207"/>
      <c r="J81" s="207"/>
      <c r="K81" s="207"/>
      <c r="L81" s="207">
        <f t="shared" si="4"/>
        <v>150.43</v>
      </c>
      <c r="M81" s="207">
        <f t="shared" si="5"/>
        <v>0</v>
      </c>
      <c r="N81" s="207">
        <v>170.43</v>
      </c>
      <c r="O81" s="207">
        <f t="shared" si="8"/>
        <v>170.43</v>
      </c>
      <c r="P81" s="218">
        <f t="shared" si="6"/>
        <v>752.15</v>
      </c>
      <c r="Q81" s="222"/>
      <c r="R81" s="2"/>
      <c r="S81" s="2"/>
      <c r="T81" s="2"/>
      <c r="U81" s="2"/>
      <c r="V81" s="2"/>
      <c r="W81" s="2"/>
      <c r="X81" s="2"/>
      <c r="Y81" s="2"/>
      <c r="Z81" s="2"/>
      <c r="AA81" s="2"/>
      <c r="AB81" s="2"/>
      <c r="AC81" s="2"/>
      <c r="AD81" s="2"/>
      <c r="AE81" s="2"/>
      <c r="AF81" s="2"/>
      <c r="AG81" s="2"/>
      <c r="AH81" s="2"/>
      <c r="AI81" s="2"/>
      <c r="AJ81" s="2"/>
      <c r="AK81" s="2"/>
      <c r="AL81" s="2"/>
      <c r="AM81" s="2"/>
      <c r="AN81" s="2"/>
    </row>
    <row r="82" s="3" customFormat="1" hidden="1" customHeight="1" spans="1:40">
      <c r="A82" s="205" t="s">
        <v>1176</v>
      </c>
      <c r="B82" s="202"/>
      <c r="C82" s="226" t="s">
        <v>1177</v>
      </c>
      <c r="D82" s="211"/>
      <c r="E82" s="211"/>
      <c r="F82" s="207">
        <f t="shared" si="7"/>
        <v>0</v>
      </c>
      <c r="G82" s="211"/>
      <c r="H82" s="207"/>
      <c r="I82" s="207"/>
      <c r="J82" s="207"/>
      <c r="K82" s="207"/>
      <c r="L82" s="207">
        <f t="shared" si="4"/>
        <v>0</v>
      </c>
      <c r="M82" s="207">
        <f t="shared" si="5"/>
        <v>0</v>
      </c>
      <c r="N82" s="207"/>
      <c r="O82" s="207">
        <f t="shared" si="8"/>
        <v>0</v>
      </c>
      <c r="P82" s="218">
        <f t="shared" si="6"/>
        <v>0</v>
      </c>
      <c r="Q82" s="222"/>
      <c r="R82" s="2"/>
      <c r="S82" s="2"/>
      <c r="T82" s="2"/>
      <c r="U82" s="2"/>
      <c r="V82" s="2"/>
      <c r="W82" s="2"/>
      <c r="X82" s="2"/>
      <c r="Y82" s="2"/>
      <c r="Z82" s="2"/>
      <c r="AA82" s="2"/>
      <c r="AB82" s="2"/>
      <c r="AC82" s="2"/>
      <c r="AD82" s="2"/>
      <c r="AE82" s="2"/>
      <c r="AF82" s="2"/>
      <c r="AG82" s="2"/>
      <c r="AH82" s="2"/>
      <c r="AI82" s="2"/>
      <c r="AJ82" s="2"/>
      <c r="AK82" s="2"/>
      <c r="AL82" s="2"/>
      <c r="AM82" s="2"/>
      <c r="AN82" s="2"/>
    </row>
    <row r="83" s="3" customFormat="1" customHeight="1" spans="1:40">
      <c r="A83" s="205" t="s">
        <v>1178</v>
      </c>
      <c r="B83" s="202"/>
      <c r="C83" s="226" t="s">
        <v>1179</v>
      </c>
      <c r="D83" s="211"/>
      <c r="E83" s="211">
        <v>11</v>
      </c>
      <c r="F83" s="207">
        <f t="shared" si="7"/>
        <v>11</v>
      </c>
      <c r="G83" s="211"/>
      <c r="H83" s="207"/>
      <c r="I83" s="207"/>
      <c r="J83" s="207"/>
      <c r="K83" s="207"/>
      <c r="L83" s="207">
        <f t="shared" si="4"/>
        <v>0</v>
      </c>
      <c r="M83" s="207">
        <f t="shared" si="5"/>
        <v>0</v>
      </c>
      <c r="N83" s="207">
        <v>11</v>
      </c>
      <c r="O83" s="207">
        <f t="shared" si="8"/>
        <v>11</v>
      </c>
      <c r="P83" s="218">
        <f t="shared" si="6"/>
        <v>0</v>
      </c>
      <c r="Q83" s="222"/>
      <c r="R83" s="2"/>
      <c r="S83" s="2"/>
      <c r="T83" s="2"/>
      <c r="U83" s="2"/>
      <c r="V83" s="2"/>
      <c r="W83" s="2"/>
      <c r="X83" s="2"/>
      <c r="Y83" s="2"/>
      <c r="Z83" s="2"/>
      <c r="AA83" s="2"/>
      <c r="AB83" s="2"/>
      <c r="AC83" s="2"/>
      <c r="AD83" s="2"/>
      <c r="AE83" s="2"/>
      <c r="AF83" s="2"/>
      <c r="AG83" s="2"/>
      <c r="AH83" s="2"/>
      <c r="AI83" s="2"/>
      <c r="AJ83" s="2"/>
      <c r="AK83" s="2"/>
      <c r="AL83" s="2"/>
      <c r="AM83" s="2"/>
      <c r="AN83" s="2"/>
    </row>
    <row r="84" s="3" customFormat="1" hidden="1" customHeight="1" spans="1:40">
      <c r="A84" s="205" t="s">
        <v>1180</v>
      </c>
      <c r="B84" s="202"/>
      <c r="C84" s="226" t="s">
        <v>1181</v>
      </c>
      <c r="D84" s="211"/>
      <c r="E84" s="211"/>
      <c r="F84" s="207">
        <f t="shared" si="7"/>
        <v>0</v>
      </c>
      <c r="G84" s="211"/>
      <c r="H84" s="207"/>
      <c r="I84" s="207"/>
      <c r="J84" s="207"/>
      <c r="K84" s="207"/>
      <c r="L84" s="207">
        <f t="shared" si="4"/>
        <v>0</v>
      </c>
      <c r="M84" s="207">
        <f t="shared" si="5"/>
        <v>0</v>
      </c>
      <c r="N84" s="207"/>
      <c r="O84" s="207">
        <f t="shared" si="8"/>
        <v>0</v>
      </c>
      <c r="P84" s="218">
        <f t="shared" si="6"/>
        <v>0</v>
      </c>
      <c r="Q84" s="222"/>
      <c r="R84" s="2"/>
      <c r="S84" s="2"/>
      <c r="T84" s="2"/>
      <c r="U84" s="2"/>
      <c r="V84" s="2"/>
      <c r="W84" s="2"/>
      <c r="X84" s="2"/>
      <c r="Y84" s="2"/>
      <c r="Z84" s="2"/>
      <c r="AA84" s="2"/>
      <c r="AB84" s="2"/>
      <c r="AC84" s="2"/>
      <c r="AD84" s="2"/>
      <c r="AE84" s="2"/>
      <c r="AF84" s="2"/>
      <c r="AG84" s="2"/>
      <c r="AH84" s="2"/>
      <c r="AI84" s="2"/>
      <c r="AJ84" s="2"/>
      <c r="AK84" s="2"/>
      <c r="AL84" s="2"/>
      <c r="AM84" s="2"/>
      <c r="AN84" s="2"/>
    </row>
    <row r="85" s="3" customFormat="1" hidden="1" customHeight="1" spans="1:40">
      <c r="A85" s="205" t="s">
        <v>1182</v>
      </c>
      <c r="B85" s="202"/>
      <c r="C85" s="226" t="s">
        <v>1183</v>
      </c>
      <c r="D85" s="211"/>
      <c r="E85" s="211"/>
      <c r="F85" s="207">
        <f t="shared" si="7"/>
        <v>0</v>
      </c>
      <c r="G85" s="211"/>
      <c r="H85" s="207"/>
      <c r="I85" s="207"/>
      <c r="J85" s="207"/>
      <c r="K85" s="207"/>
      <c r="L85" s="207">
        <f t="shared" ref="L85:L108" si="9">N85-E85</f>
        <v>0</v>
      </c>
      <c r="M85" s="207">
        <f t="shared" si="5"/>
        <v>0</v>
      </c>
      <c r="N85" s="207"/>
      <c r="O85" s="207">
        <f t="shared" si="8"/>
        <v>0</v>
      </c>
      <c r="P85" s="218">
        <f t="shared" si="6"/>
        <v>0</v>
      </c>
      <c r="Q85" s="222"/>
      <c r="R85" s="2"/>
      <c r="S85" s="2"/>
      <c r="T85" s="2"/>
      <c r="U85" s="2"/>
      <c r="V85" s="2"/>
      <c r="W85" s="2"/>
      <c r="X85" s="2"/>
      <c r="Y85" s="2"/>
      <c r="Z85" s="2"/>
      <c r="AA85" s="2"/>
      <c r="AB85" s="2"/>
      <c r="AC85" s="2"/>
      <c r="AD85" s="2"/>
      <c r="AE85" s="2"/>
      <c r="AF85" s="2"/>
      <c r="AG85" s="2"/>
      <c r="AH85" s="2"/>
      <c r="AI85" s="2"/>
      <c r="AJ85" s="2"/>
      <c r="AK85" s="2"/>
      <c r="AL85" s="2"/>
      <c r="AM85" s="2"/>
      <c r="AN85" s="2"/>
    </row>
    <row r="86" s="3" customFormat="1" hidden="1" customHeight="1" spans="1:40">
      <c r="A86" s="205" t="s">
        <v>1184</v>
      </c>
      <c r="B86" s="202"/>
      <c r="C86" s="226" t="s">
        <v>1185</v>
      </c>
      <c r="D86" s="211"/>
      <c r="E86" s="211"/>
      <c r="F86" s="207">
        <f t="shared" si="7"/>
        <v>0</v>
      </c>
      <c r="G86" s="211"/>
      <c r="H86" s="207"/>
      <c r="I86" s="207"/>
      <c r="J86" s="207"/>
      <c r="K86" s="207"/>
      <c r="L86" s="207">
        <f t="shared" si="9"/>
        <v>0</v>
      </c>
      <c r="M86" s="207">
        <f t="shared" si="5"/>
        <v>0</v>
      </c>
      <c r="N86" s="207"/>
      <c r="O86" s="207">
        <f t="shared" si="8"/>
        <v>0</v>
      </c>
      <c r="P86" s="218">
        <f t="shared" si="6"/>
        <v>0</v>
      </c>
      <c r="Q86" s="222"/>
      <c r="R86" s="2"/>
      <c r="S86" s="2"/>
      <c r="T86" s="2"/>
      <c r="U86" s="2"/>
      <c r="V86" s="2"/>
      <c r="W86" s="2"/>
      <c r="X86" s="2"/>
      <c r="Y86" s="2"/>
      <c r="Z86" s="2"/>
      <c r="AA86" s="2"/>
      <c r="AB86" s="2"/>
      <c r="AC86" s="2"/>
      <c r="AD86" s="2"/>
      <c r="AE86" s="2"/>
      <c r="AF86" s="2"/>
      <c r="AG86" s="2"/>
      <c r="AH86" s="2"/>
      <c r="AI86" s="2"/>
      <c r="AJ86" s="2"/>
      <c r="AK86" s="2"/>
      <c r="AL86" s="2"/>
      <c r="AM86" s="2"/>
      <c r="AN86" s="2"/>
    </row>
    <row r="87" s="3" customFormat="1" hidden="1" customHeight="1" spans="1:40">
      <c r="A87" s="205" t="s">
        <v>1186</v>
      </c>
      <c r="B87" s="202"/>
      <c r="C87" s="226" t="s">
        <v>1187</v>
      </c>
      <c r="D87" s="211"/>
      <c r="E87" s="211"/>
      <c r="F87" s="207">
        <f t="shared" si="7"/>
        <v>0</v>
      </c>
      <c r="G87" s="211"/>
      <c r="H87" s="207"/>
      <c r="I87" s="207"/>
      <c r="J87" s="207"/>
      <c r="K87" s="207"/>
      <c r="L87" s="207">
        <f t="shared" si="9"/>
        <v>0</v>
      </c>
      <c r="M87" s="207">
        <f t="shared" si="5"/>
        <v>0</v>
      </c>
      <c r="N87" s="207"/>
      <c r="O87" s="207">
        <f t="shared" si="8"/>
        <v>0</v>
      </c>
      <c r="P87" s="218">
        <f t="shared" si="6"/>
        <v>0</v>
      </c>
      <c r="Q87" s="222"/>
      <c r="R87" s="2"/>
      <c r="S87" s="2"/>
      <c r="T87" s="2"/>
      <c r="U87" s="2"/>
      <c r="V87" s="2"/>
      <c r="W87" s="2"/>
      <c r="X87" s="2"/>
      <c r="Y87" s="2"/>
      <c r="Z87" s="2"/>
      <c r="AA87" s="2"/>
      <c r="AB87" s="2"/>
      <c r="AC87" s="2"/>
      <c r="AD87" s="2"/>
      <c r="AE87" s="2"/>
      <c r="AF87" s="2"/>
      <c r="AG87" s="2"/>
      <c r="AH87" s="2"/>
      <c r="AI87" s="2"/>
      <c r="AJ87" s="2"/>
      <c r="AK87" s="2"/>
      <c r="AL87" s="2"/>
      <c r="AM87" s="2"/>
      <c r="AN87" s="2"/>
    </row>
    <row r="88" s="3" customFormat="1" hidden="1" customHeight="1" spans="1:40">
      <c r="A88" s="205" t="s">
        <v>1188</v>
      </c>
      <c r="B88" s="202"/>
      <c r="C88" s="226" t="s">
        <v>1189</v>
      </c>
      <c r="D88" s="211"/>
      <c r="E88" s="211"/>
      <c r="F88" s="207">
        <f t="shared" si="7"/>
        <v>0</v>
      </c>
      <c r="G88" s="211"/>
      <c r="H88" s="207"/>
      <c r="I88" s="207"/>
      <c r="J88" s="207"/>
      <c r="K88" s="207"/>
      <c r="L88" s="207">
        <f t="shared" si="9"/>
        <v>0</v>
      </c>
      <c r="M88" s="207">
        <f t="shared" si="5"/>
        <v>0</v>
      </c>
      <c r="N88" s="207"/>
      <c r="O88" s="207">
        <f t="shared" si="8"/>
        <v>0</v>
      </c>
      <c r="P88" s="218">
        <f t="shared" si="6"/>
        <v>0</v>
      </c>
      <c r="Q88" s="222"/>
      <c r="R88" s="2"/>
      <c r="S88" s="2"/>
      <c r="T88" s="2"/>
      <c r="U88" s="2"/>
      <c r="V88" s="2"/>
      <c r="W88" s="2"/>
      <c r="X88" s="2"/>
      <c r="Y88" s="2"/>
      <c r="Z88" s="2"/>
      <c r="AA88" s="2"/>
      <c r="AB88" s="2"/>
      <c r="AC88" s="2"/>
      <c r="AD88" s="2"/>
      <c r="AE88" s="2"/>
      <c r="AF88" s="2"/>
      <c r="AG88" s="2"/>
      <c r="AH88" s="2"/>
      <c r="AI88" s="2"/>
      <c r="AJ88" s="2"/>
      <c r="AK88" s="2"/>
      <c r="AL88" s="2"/>
      <c r="AM88" s="2"/>
      <c r="AN88" s="2"/>
    </row>
    <row r="89" s="3" customFormat="1" customHeight="1" spans="1:40">
      <c r="A89" s="205" t="s">
        <v>1190</v>
      </c>
      <c r="B89" s="202"/>
      <c r="C89" s="226" t="s">
        <v>1191</v>
      </c>
      <c r="D89" s="211">
        <v>60</v>
      </c>
      <c r="E89" s="211"/>
      <c r="F89" s="207">
        <f t="shared" si="7"/>
        <v>60</v>
      </c>
      <c r="G89" s="211"/>
      <c r="H89" s="207"/>
      <c r="I89" s="207"/>
      <c r="J89" s="207"/>
      <c r="K89" s="207"/>
      <c r="L89" s="207">
        <f t="shared" si="9"/>
        <v>0</v>
      </c>
      <c r="M89" s="207">
        <f t="shared" si="5"/>
        <v>60</v>
      </c>
      <c r="N89" s="207"/>
      <c r="O89" s="207">
        <f t="shared" si="8"/>
        <v>60</v>
      </c>
      <c r="P89" s="218">
        <f t="shared" si="6"/>
        <v>0</v>
      </c>
      <c r="Q89" s="222"/>
      <c r="R89" s="2"/>
      <c r="S89" s="2"/>
      <c r="T89" s="2"/>
      <c r="U89" s="2"/>
      <c r="V89" s="2"/>
      <c r="W89" s="2"/>
      <c r="X89" s="2"/>
      <c r="Y89" s="2"/>
      <c r="Z89" s="2"/>
      <c r="AA89" s="2"/>
      <c r="AB89" s="2"/>
      <c r="AC89" s="2"/>
      <c r="AD89" s="2"/>
      <c r="AE89" s="2"/>
      <c r="AF89" s="2"/>
      <c r="AG89" s="2"/>
      <c r="AH89" s="2"/>
      <c r="AI89" s="2"/>
      <c r="AJ89" s="2"/>
      <c r="AK89" s="2"/>
      <c r="AL89" s="2"/>
      <c r="AM89" s="2"/>
      <c r="AN89" s="2"/>
    </row>
    <row r="90" s="1" customFormat="1" customHeight="1" spans="1:17">
      <c r="A90" s="205" t="s">
        <v>1192</v>
      </c>
      <c r="B90" s="208"/>
      <c r="C90" s="227" t="s">
        <v>493</v>
      </c>
      <c r="D90" s="207">
        <f>D91+D93+D94</f>
        <v>39859</v>
      </c>
      <c r="E90" s="207"/>
      <c r="F90" s="207">
        <f t="shared" si="7"/>
        <v>39859</v>
      </c>
      <c r="G90" s="207">
        <f>G91+G93+G94</f>
        <v>8372</v>
      </c>
      <c r="H90" s="207"/>
      <c r="I90" s="207"/>
      <c r="J90" s="207"/>
      <c r="K90" s="207"/>
      <c r="L90" s="207">
        <f t="shared" si="9"/>
        <v>0</v>
      </c>
      <c r="M90" s="207">
        <f t="shared" si="5"/>
        <v>48231</v>
      </c>
      <c r="N90" s="207"/>
      <c r="O90" s="207">
        <f t="shared" si="8"/>
        <v>48231</v>
      </c>
      <c r="P90" s="218">
        <f t="shared" si="6"/>
        <v>21.0040392383151</v>
      </c>
      <c r="Q90" s="222"/>
    </row>
    <row r="91" s="1" customFormat="1" hidden="1" customHeight="1" spans="1:17">
      <c r="A91" s="205" t="s">
        <v>1193</v>
      </c>
      <c r="B91" s="208"/>
      <c r="C91" s="588" t="s">
        <v>1194</v>
      </c>
      <c r="D91" s="211"/>
      <c r="E91" s="211"/>
      <c r="F91" s="207">
        <f t="shared" si="7"/>
        <v>0</v>
      </c>
      <c r="G91" s="211"/>
      <c r="H91" s="207"/>
      <c r="I91" s="207"/>
      <c r="J91" s="207"/>
      <c r="K91" s="207"/>
      <c r="L91" s="207">
        <f t="shared" si="9"/>
        <v>0</v>
      </c>
      <c r="M91" s="207">
        <f t="shared" si="5"/>
        <v>0</v>
      </c>
      <c r="N91" s="207"/>
      <c r="O91" s="207">
        <f t="shared" si="8"/>
        <v>0</v>
      </c>
      <c r="P91" s="218">
        <f t="shared" si="6"/>
        <v>0</v>
      </c>
      <c r="Q91" s="222"/>
    </row>
    <row r="92" s="1" customFormat="1" hidden="1" customHeight="1" spans="1:19">
      <c r="A92" s="228">
        <v>2300401</v>
      </c>
      <c r="B92" s="229"/>
      <c r="C92" s="227" t="s">
        <v>1195</v>
      </c>
      <c r="D92" s="211"/>
      <c r="E92" s="211"/>
      <c r="F92" s="207">
        <f t="shared" si="7"/>
        <v>0</v>
      </c>
      <c r="G92" s="211"/>
      <c r="H92" s="207"/>
      <c r="I92" s="207"/>
      <c r="J92" s="207"/>
      <c r="K92" s="207"/>
      <c r="L92" s="207">
        <f t="shared" si="9"/>
        <v>0</v>
      </c>
      <c r="M92" s="207">
        <f t="shared" si="5"/>
        <v>0</v>
      </c>
      <c r="N92" s="207"/>
      <c r="O92" s="207">
        <f t="shared" si="8"/>
        <v>0</v>
      </c>
      <c r="P92" s="218">
        <f t="shared" si="6"/>
        <v>0</v>
      </c>
      <c r="Q92" s="222"/>
      <c r="S92" s="2"/>
    </row>
    <row r="93" s="1" customFormat="1" customHeight="1" spans="1:19">
      <c r="A93" s="205" t="s">
        <v>1196</v>
      </c>
      <c r="B93" s="208"/>
      <c r="C93" s="588" t="s">
        <v>1197</v>
      </c>
      <c r="D93" s="211">
        <v>39800</v>
      </c>
      <c r="E93" s="211"/>
      <c r="F93" s="207">
        <f t="shared" si="7"/>
        <v>39800</v>
      </c>
      <c r="G93" s="211">
        <v>8100</v>
      </c>
      <c r="H93" s="207"/>
      <c r="I93" s="207"/>
      <c r="J93" s="207"/>
      <c r="K93" s="207"/>
      <c r="L93" s="207">
        <f t="shared" si="9"/>
        <v>0</v>
      </c>
      <c r="M93" s="207">
        <f t="shared" si="5"/>
        <v>47900</v>
      </c>
      <c r="N93" s="207"/>
      <c r="O93" s="207">
        <f t="shared" si="8"/>
        <v>47900</v>
      </c>
      <c r="P93" s="218">
        <f t="shared" si="6"/>
        <v>20.3517587939698</v>
      </c>
      <c r="Q93" s="222"/>
      <c r="S93" s="2"/>
    </row>
    <row r="94" s="1" customFormat="1" customHeight="1" spans="1:17">
      <c r="A94" s="205" t="s">
        <v>1198</v>
      </c>
      <c r="B94" s="208"/>
      <c r="C94" s="588" t="s">
        <v>1199</v>
      </c>
      <c r="D94" s="211">
        <v>59</v>
      </c>
      <c r="E94" s="211"/>
      <c r="F94" s="207">
        <f t="shared" si="7"/>
        <v>59</v>
      </c>
      <c r="G94" s="211">
        <v>272</v>
      </c>
      <c r="H94" s="207"/>
      <c r="I94" s="207"/>
      <c r="J94" s="207"/>
      <c r="K94" s="207"/>
      <c r="L94" s="207">
        <f t="shared" si="9"/>
        <v>0</v>
      </c>
      <c r="M94" s="207">
        <f t="shared" si="5"/>
        <v>331</v>
      </c>
      <c r="N94" s="207"/>
      <c r="O94" s="207">
        <f t="shared" si="8"/>
        <v>331</v>
      </c>
      <c r="P94" s="218">
        <f t="shared" si="6"/>
        <v>461.016949152542</v>
      </c>
      <c r="Q94" s="222"/>
    </row>
    <row r="95" s="1" customFormat="1" customHeight="1" spans="1:17">
      <c r="A95" s="205" t="s">
        <v>1200</v>
      </c>
      <c r="B95" s="208"/>
      <c r="C95" s="588" t="s">
        <v>497</v>
      </c>
      <c r="D95" s="207">
        <f>D96</f>
        <v>7900</v>
      </c>
      <c r="E95" s="207"/>
      <c r="F95" s="207">
        <f t="shared" si="7"/>
        <v>7900</v>
      </c>
      <c r="G95" s="207">
        <f>G96</f>
        <v>274</v>
      </c>
      <c r="H95" s="207"/>
      <c r="I95" s="207"/>
      <c r="J95" s="207"/>
      <c r="K95" s="207"/>
      <c r="L95" s="207">
        <f t="shared" si="9"/>
        <v>0</v>
      </c>
      <c r="M95" s="207">
        <f t="shared" si="5"/>
        <v>8174</v>
      </c>
      <c r="N95" s="207"/>
      <c r="O95" s="207">
        <f t="shared" si="8"/>
        <v>8174</v>
      </c>
      <c r="P95" s="218">
        <f t="shared" si="6"/>
        <v>3.46835443037974</v>
      </c>
      <c r="Q95" s="222"/>
    </row>
    <row r="96" s="1" customFormat="1" customHeight="1" spans="1:17">
      <c r="A96" s="205" t="s">
        <v>1201</v>
      </c>
      <c r="B96" s="208"/>
      <c r="C96" s="227" t="s">
        <v>1202</v>
      </c>
      <c r="D96" s="207">
        <f>SUM(D97:D99)</f>
        <v>7900</v>
      </c>
      <c r="E96" s="207"/>
      <c r="F96" s="207">
        <f t="shared" si="7"/>
        <v>7900</v>
      </c>
      <c r="G96" s="207">
        <f>SUM(G97:G99)</f>
        <v>274</v>
      </c>
      <c r="H96" s="207"/>
      <c r="I96" s="207"/>
      <c r="J96" s="207"/>
      <c r="K96" s="207"/>
      <c r="L96" s="207">
        <f t="shared" si="9"/>
        <v>0</v>
      </c>
      <c r="M96" s="207">
        <f t="shared" si="5"/>
        <v>8174</v>
      </c>
      <c r="N96" s="207"/>
      <c r="O96" s="207">
        <f t="shared" si="8"/>
        <v>8174</v>
      </c>
      <c r="P96" s="218">
        <f t="shared" si="6"/>
        <v>3.46835443037974</v>
      </c>
      <c r="Q96" s="222"/>
    </row>
    <row r="97" s="1" customFormat="1" customHeight="1" spans="1:17">
      <c r="A97" s="205" t="s">
        <v>1203</v>
      </c>
      <c r="B97" s="208"/>
      <c r="C97" s="227" t="s">
        <v>1204</v>
      </c>
      <c r="D97" s="211">
        <v>3539</v>
      </c>
      <c r="E97" s="211"/>
      <c r="F97" s="207">
        <f t="shared" si="7"/>
        <v>3539</v>
      </c>
      <c r="G97" s="211"/>
      <c r="H97" s="207"/>
      <c r="I97" s="207"/>
      <c r="J97" s="207"/>
      <c r="K97" s="207"/>
      <c r="L97" s="207">
        <f t="shared" si="9"/>
        <v>0</v>
      </c>
      <c r="M97" s="207">
        <f t="shared" si="5"/>
        <v>3539</v>
      </c>
      <c r="N97" s="207"/>
      <c r="O97" s="207">
        <f t="shared" si="8"/>
        <v>3539</v>
      </c>
      <c r="P97" s="218">
        <f t="shared" si="6"/>
        <v>0</v>
      </c>
      <c r="Q97" s="222"/>
    </row>
    <row r="98" s="1" customFormat="1" customHeight="1" spans="1:17">
      <c r="A98" s="205" t="s">
        <v>1205</v>
      </c>
      <c r="B98" s="208"/>
      <c r="C98" s="227" t="s">
        <v>1206</v>
      </c>
      <c r="D98" s="211">
        <v>1038</v>
      </c>
      <c r="E98" s="211"/>
      <c r="F98" s="207">
        <f t="shared" si="7"/>
        <v>1038</v>
      </c>
      <c r="G98" s="211"/>
      <c r="H98" s="207"/>
      <c r="I98" s="207"/>
      <c r="J98" s="207"/>
      <c r="K98" s="207"/>
      <c r="L98" s="207">
        <f t="shared" si="9"/>
        <v>0</v>
      </c>
      <c r="M98" s="207">
        <f t="shared" si="5"/>
        <v>1038</v>
      </c>
      <c r="N98" s="207"/>
      <c r="O98" s="207">
        <f t="shared" si="8"/>
        <v>1038</v>
      </c>
      <c r="P98" s="218">
        <f t="shared" si="6"/>
        <v>0</v>
      </c>
      <c r="Q98" s="222"/>
    </row>
    <row r="99" s="1" customFormat="1" customHeight="1" spans="1:17">
      <c r="A99" s="205" t="s">
        <v>1207</v>
      </c>
      <c r="B99" s="208"/>
      <c r="C99" s="227" t="s">
        <v>1208</v>
      </c>
      <c r="D99" s="211">
        <v>3323</v>
      </c>
      <c r="E99" s="211"/>
      <c r="F99" s="207">
        <f t="shared" si="7"/>
        <v>3323</v>
      </c>
      <c r="G99" s="211">
        <v>274</v>
      </c>
      <c r="H99" s="207"/>
      <c r="I99" s="207"/>
      <c r="J99" s="207"/>
      <c r="K99" s="207"/>
      <c r="L99" s="207">
        <f t="shared" si="9"/>
        <v>0</v>
      </c>
      <c r="M99" s="207">
        <f t="shared" si="5"/>
        <v>3597</v>
      </c>
      <c r="N99" s="207"/>
      <c r="O99" s="207">
        <f t="shared" si="8"/>
        <v>3597</v>
      </c>
      <c r="P99" s="218">
        <f t="shared" si="6"/>
        <v>8.24556123984352</v>
      </c>
      <c r="Q99" s="222"/>
    </row>
    <row r="100" s="1" customFormat="1" customHeight="1" spans="1:17">
      <c r="A100" s="205" t="s">
        <v>1209</v>
      </c>
      <c r="B100" s="208"/>
      <c r="C100" s="227" t="s">
        <v>504</v>
      </c>
      <c r="D100" s="207">
        <f>D101</f>
        <v>100</v>
      </c>
      <c r="E100" s="207"/>
      <c r="F100" s="207">
        <f t="shared" si="7"/>
        <v>100</v>
      </c>
      <c r="G100" s="207">
        <f>G101</f>
        <v>3</v>
      </c>
      <c r="H100" s="207"/>
      <c r="I100" s="207"/>
      <c r="J100" s="207"/>
      <c r="K100" s="207"/>
      <c r="L100" s="207">
        <f t="shared" si="9"/>
        <v>0</v>
      </c>
      <c r="M100" s="207">
        <f t="shared" si="5"/>
        <v>103</v>
      </c>
      <c r="N100" s="207"/>
      <c r="O100" s="207">
        <f t="shared" si="8"/>
        <v>103</v>
      </c>
      <c r="P100" s="218">
        <f t="shared" si="6"/>
        <v>3</v>
      </c>
      <c r="Q100" s="222"/>
    </row>
    <row r="101" s="1" customFormat="1" customHeight="1" spans="1:17">
      <c r="A101" s="205" t="s">
        <v>1210</v>
      </c>
      <c r="B101" s="208"/>
      <c r="C101" s="227" t="s">
        <v>1211</v>
      </c>
      <c r="D101" s="207">
        <f>SUM(D102:D104)</f>
        <v>100</v>
      </c>
      <c r="E101" s="207"/>
      <c r="F101" s="207">
        <f t="shared" si="7"/>
        <v>100</v>
      </c>
      <c r="G101" s="207">
        <f>SUM(G102:G104)</f>
        <v>3</v>
      </c>
      <c r="H101" s="207"/>
      <c r="I101" s="207"/>
      <c r="J101" s="207"/>
      <c r="K101" s="207"/>
      <c r="L101" s="207">
        <f t="shared" si="9"/>
        <v>0</v>
      </c>
      <c r="M101" s="207">
        <f t="shared" si="5"/>
        <v>103</v>
      </c>
      <c r="N101" s="207"/>
      <c r="O101" s="207">
        <f t="shared" si="8"/>
        <v>103</v>
      </c>
      <c r="P101" s="218">
        <f t="shared" si="6"/>
        <v>3</v>
      </c>
      <c r="Q101" s="222"/>
    </row>
    <row r="102" s="1" customFormat="1" hidden="1" customHeight="1" spans="1:17">
      <c r="A102" s="205" t="s">
        <v>1212</v>
      </c>
      <c r="B102" s="208"/>
      <c r="C102" s="227" t="s">
        <v>1213</v>
      </c>
      <c r="D102" s="211"/>
      <c r="E102" s="211"/>
      <c r="F102" s="207">
        <f t="shared" si="7"/>
        <v>0</v>
      </c>
      <c r="G102" s="211"/>
      <c r="H102" s="207"/>
      <c r="I102" s="207"/>
      <c r="J102" s="207"/>
      <c r="K102" s="207"/>
      <c r="L102" s="207">
        <f t="shared" si="9"/>
        <v>0</v>
      </c>
      <c r="M102" s="207">
        <f t="shared" si="5"/>
        <v>0</v>
      </c>
      <c r="N102" s="207"/>
      <c r="O102" s="207">
        <f t="shared" si="8"/>
        <v>0</v>
      </c>
      <c r="P102" s="218">
        <f t="shared" si="6"/>
        <v>0</v>
      </c>
      <c r="Q102" s="222"/>
    </row>
    <row r="103" s="1" customFormat="1" hidden="1" customHeight="1" spans="1:17">
      <c r="A103" s="205" t="s">
        <v>1214</v>
      </c>
      <c r="B103" s="208"/>
      <c r="C103" s="227" t="s">
        <v>1215</v>
      </c>
      <c r="D103" s="207"/>
      <c r="E103" s="207"/>
      <c r="F103" s="207">
        <f t="shared" si="7"/>
        <v>0</v>
      </c>
      <c r="G103" s="207"/>
      <c r="H103" s="207"/>
      <c r="I103" s="207"/>
      <c r="J103" s="207"/>
      <c r="K103" s="207"/>
      <c r="L103" s="207">
        <f t="shared" si="9"/>
        <v>0</v>
      </c>
      <c r="M103" s="207">
        <f t="shared" si="5"/>
        <v>0</v>
      </c>
      <c r="N103" s="207"/>
      <c r="O103" s="207">
        <f t="shared" si="8"/>
        <v>0</v>
      </c>
      <c r="P103" s="218">
        <f t="shared" si="6"/>
        <v>0</v>
      </c>
      <c r="Q103" s="222"/>
    </row>
    <row r="104" s="1" customFormat="1" customHeight="1" spans="1:17">
      <c r="A104" s="205" t="s">
        <v>1216</v>
      </c>
      <c r="B104" s="208"/>
      <c r="C104" s="227" t="s">
        <v>1217</v>
      </c>
      <c r="D104" s="211">
        <v>100</v>
      </c>
      <c r="E104" s="211"/>
      <c r="F104" s="207">
        <f t="shared" si="7"/>
        <v>100</v>
      </c>
      <c r="G104" s="211">
        <v>3</v>
      </c>
      <c r="H104" s="207"/>
      <c r="I104" s="207"/>
      <c r="J104" s="207"/>
      <c r="K104" s="207"/>
      <c r="L104" s="207">
        <f t="shared" si="9"/>
        <v>0</v>
      </c>
      <c r="M104" s="207">
        <f t="shared" si="5"/>
        <v>103</v>
      </c>
      <c r="N104" s="207"/>
      <c r="O104" s="207">
        <f t="shared" si="8"/>
        <v>103</v>
      </c>
      <c r="P104" s="218">
        <f t="shared" si="6"/>
        <v>3</v>
      </c>
      <c r="Q104" s="222"/>
    </row>
    <row r="105" s="1" customFormat="1" customHeight="1" spans="1:17">
      <c r="A105" s="205" t="s">
        <v>1218</v>
      </c>
      <c r="B105" s="208"/>
      <c r="C105" s="227" t="s">
        <v>1219</v>
      </c>
      <c r="D105" s="211"/>
      <c r="E105" s="211"/>
      <c r="F105" s="207">
        <f t="shared" si="7"/>
        <v>0</v>
      </c>
      <c r="G105" s="211"/>
      <c r="H105" s="207"/>
      <c r="I105" s="207"/>
      <c r="J105" s="207"/>
      <c r="K105" s="207"/>
      <c r="L105" s="207">
        <f t="shared" si="9"/>
        <v>8350</v>
      </c>
      <c r="M105" s="207"/>
      <c r="N105" s="207">
        <f>+N106</f>
        <v>8350</v>
      </c>
      <c r="O105" s="207">
        <f t="shared" si="8"/>
        <v>8350</v>
      </c>
      <c r="P105" s="218">
        <f t="shared" si="6"/>
        <v>100</v>
      </c>
      <c r="Q105" s="222"/>
    </row>
    <row r="106" s="1" customFormat="1" customHeight="1" spans="1:17">
      <c r="A106" s="205" t="s">
        <v>1220</v>
      </c>
      <c r="B106" s="208"/>
      <c r="C106" s="227" t="s">
        <v>1221</v>
      </c>
      <c r="D106" s="211"/>
      <c r="E106" s="211"/>
      <c r="F106" s="207">
        <f t="shared" si="7"/>
        <v>0</v>
      </c>
      <c r="G106" s="211"/>
      <c r="H106" s="207"/>
      <c r="I106" s="207"/>
      <c r="J106" s="207"/>
      <c r="K106" s="207"/>
      <c r="L106" s="207">
        <f t="shared" si="9"/>
        <v>8350</v>
      </c>
      <c r="M106" s="207"/>
      <c r="N106" s="207">
        <f>+N107+N108</f>
        <v>8350</v>
      </c>
      <c r="O106" s="207">
        <f t="shared" si="8"/>
        <v>8350</v>
      </c>
      <c r="P106" s="218">
        <f t="shared" si="6"/>
        <v>100</v>
      </c>
      <c r="Q106" s="222"/>
    </row>
    <row r="107" s="1" customFormat="1" customHeight="1" spans="1:17">
      <c r="A107" s="205" t="s">
        <v>1222</v>
      </c>
      <c r="B107" s="208"/>
      <c r="C107" s="227" t="s">
        <v>1223</v>
      </c>
      <c r="D107" s="211"/>
      <c r="E107" s="211"/>
      <c r="F107" s="207">
        <f t="shared" si="7"/>
        <v>0</v>
      </c>
      <c r="G107" s="211"/>
      <c r="H107" s="207"/>
      <c r="I107" s="207"/>
      <c r="J107" s="207"/>
      <c r="K107" s="207"/>
      <c r="L107" s="207">
        <f t="shared" si="9"/>
        <v>850</v>
      </c>
      <c r="M107" s="207"/>
      <c r="N107" s="207">
        <v>850</v>
      </c>
      <c r="O107" s="207">
        <f t="shared" si="8"/>
        <v>850</v>
      </c>
      <c r="P107" s="218">
        <f t="shared" si="6"/>
        <v>100</v>
      </c>
      <c r="Q107" s="222"/>
    </row>
    <row r="108" s="1" customFormat="1" customHeight="1" spans="1:17">
      <c r="A108" s="205" t="s">
        <v>1224</v>
      </c>
      <c r="B108" s="208"/>
      <c r="C108" s="227" t="s">
        <v>1225</v>
      </c>
      <c r="D108" s="211"/>
      <c r="E108" s="211"/>
      <c r="F108" s="207">
        <f t="shared" si="7"/>
        <v>0</v>
      </c>
      <c r="G108" s="211"/>
      <c r="H108" s="207"/>
      <c r="I108" s="207"/>
      <c r="J108" s="207"/>
      <c r="K108" s="207"/>
      <c r="L108" s="207">
        <f t="shared" si="9"/>
        <v>7500</v>
      </c>
      <c r="M108" s="207"/>
      <c r="N108" s="207">
        <v>7500</v>
      </c>
      <c r="O108" s="207">
        <f t="shared" si="8"/>
        <v>7500</v>
      </c>
      <c r="P108" s="218">
        <f t="shared" si="6"/>
        <v>100</v>
      </c>
      <c r="Q108" s="222"/>
    </row>
    <row r="109" s="1" customFormat="1" customHeight="1" spans="1:17">
      <c r="A109" s="230"/>
      <c r="B109" s="231"/>
      <c r="C109" s="232" t="s">
        <v>1226</v>
      </c>
      <c r="D109" s="233">
        <f t="shared" ref="D109:O109" si="10">D6+D10+D15+D21+D53+D63+D68+D76+D90+D95+D100+D105</f>
        <v>441935</v>
      </c>
      <c r="E109" s="233">
        <f t="shared" si="10"/>
        <v>5363</v>
      </c>
      <c r="F109" s="233">
        <f t="shared" si="10"/>
        <v>447298</v>
      </c>
      <c r="G109" s="233">
        <f t="shared" si="10"/>
        <v>-17874</v>
      </c>
      <c r="H109" s="233">
        <f t="shared" si="10"/>
        <v>0</v>
      </c>
      <c r="I109" s="233">
        <f t="shared" si="10"/>
        <v>0</v>
      </c>
      <c r="J109" s="233">
        <f t="shared" si="10"/>
        <v>0</v>
      </c>
      <c r="K109" s="233">
        <f t="shared" si="10"/>
        <v>0</v>
      </c>
      <c r="L109" s="233">
        <f t="shared" si="10"/>
        <v>75354.93</v>
      </c>
      <c r="M109" s="233">
        <f t="shared" si="10"/>
        <v>424061</v>
      </c>
      <c r="N109" s="233">
        <f t="shared" si="10"/>
        <v>80717.93</v>
      </c>
      <c r="O109" s="233">
        <f t="shared" si="10"/>
        <v>504778.93</v>
      </c>
      <c r="P109" s="235">
        <f t="shared" si="6"/>
        <v>12.8507013221611</v>
      </c>
      <c r="Q109" s="236"/>
    </row>
    <row r="110" s="1" customFormat="1" customHeight="1" spans="1:16">
      <c r="A110" s="187"/>
      <c r="B110" s="188"/>
      <c r="C110" s="3"/>
      <c r="P110" s="189"/>
    </row>
    <row r="111" s="1" customFormat="1" customHeight="1" spans="1:16">
      <c r="A111" s="187"/>
      <c r="B111" s="188"/>
      <c r="C111" s="3"/>
      <c r="F111" s="1">
        <f>F109-447298</f>
        <v>0</v>
      </c>
      <c r="P111" s="189"/>
    </row>
    <row r="112" s="1" customFormat="1" customHeight="1" spans="1:16">
      <c r="A112" s="187"/>
      <c r="B112" s="188"/>
      <c r="C112" s="3"/>
      <c r="P112" s="189"/>
    </row>
    <row r="113" s="1" customFormat="1" customHeight="1" spans="1:16">
      <c r="A113" s="187"/>
      <c r="B113" s="188"/>
      <c r="C113" s="3"/>
      <c r="G113" s="234"/>
      <c r="P113" s="189"/>
    </row>
    <row r="114" s="1" customFormat="1" customHeight="1" spans="1:16">
      <c r="A114" s="187"/>
      <c r="B114" s="188"/>
      <c r="C114" s="3"/>
      <c r="P114" s="189"/>
    </row>
    <row r="115" s="1" customFormat="1" customHeight="1" spans="1:16">
      <c r="A115" s="187"/>
      <c r="B115" s="188"/>
      <c r="C115" s="3"/>
      <c r="P115" s="189"/>
    </row>
  </sheetData>
  <mergeCells count="8">
    <mergeCell ref="A2:Q2"/>
    <mergeCell ref="D4:F4"/>
    <mergeCell ref="G4:L4"/>
    <mergeCell ref="M4:O4"/>
    <mergeCell ref="C4:C5"/>
    <mergeCell ref="P4:P5"/>
    <mergeCell ref="Q4:Q5"/>
    <mergeCell ref="A4:B5"/>
  </mergeCells>
  <printOptions horizontalCentered="1"/>
  <pageMargins left="0.468055555555556" right="0.35" top="0.354166666666667" bottom="0.393055555555556" header="0" footer="0.161111111111111"/>
  <pageSetup paperSize="9" scale="75" fitToHeight="0" orientation="landscape" horizontalDpi="600"/>
  <headerFooter>
    <oddFooter>&amp;C第 &amp;P 页，共 &amp;N 页</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7"/>
  <sheetViews>
    <sheetView zoomScale="90" zoomScaleNormal="90" workbookViewId="0">
      <pane xSplit="5" ySplit="5" topLeftCell="F35" activePane="bottomRight" state="frozen"/>
      <selection/>
      <selection pane="topRight"/>
      <selection pane="bottomLeft"/>
      <selection pane="bottomRight" activeCell="L12" sqref="L12"/>
    </sheetView>
  </sheetViews>
  <sheetFormatPr defaultColWidth="8" defaultRowHeight="12.75"/>
  <cols>
    <col min="1" max="1" width="5" style="115"/>
    <col min="2" max="2" width="12.625" style="116" hidden="1" customWidth="1"/>
    <col min="3" max="3" width="13.75" style="114" customWidth="1"/>
    <col min="4" max="4" width="38.5" style="117" customWidth="1"/>
    <col min="5" max="5" width="14.375" style="114" hidden="1" customWidth="1"/>
    <col min="6" max="6" width="15.25" style="114" customWidth="1"/>
    <col min="7" max="7" width="22.25" style="114" hidden="1" customWidth="1"/>
    <col min="8" max="8" width="15.875" style="114" hidden="1" customWidth="1"/>
    <col min="9" max="9" width="15.5" style="114" hidden="1" customWidth="1"/>
    <col min="10" max="10" width="14.75" style="114" customWidth="1"/>
    <col min="11" max="11" width="13.125" style="114" customWidth="1"/>
    <col min="12" max="12" width="55.625" style="117" customWidth="1"/>
    <col min="13" max="13" width="40.75" style="114" hidden="1" customWidth="1"/>
    <col min="14" max="14" width="8.5" style="113" hidden="1" customWidth="1"/>
    <col min="15" max="15" width="9" style="113" hidden="1" customWidth="1"/>
    <col min="16" max="16" width="24.875" style="113" hidden="1" customWidth="1"/>
    <col min="17" max="18" width="5.875" style="113" hidden="1" customWidth="1"/>
    <col min="19" max="19" width="4.125" style="113" hidden="1" customWidth="1"/>
    <col min="20" max="20" width="8" style="113" hidden="1" customWidth="1"/>
    <col min="21" max="16384" width="8" style="113"/>
  </cols>
  <sheetData>
    <row r="1" s="113" customFormat="1" ht="20" customHeight="1" spans="1:13">
      <c r="A1" s="118" t="s">
        <v>1227</v>
      </c>
      <c r="B1" s="116"/>
      <c r="C1" s="114"/>
      <c r="D1" s="117"/>
      <c r="E1" s="114"/>
      <c r="F1" s="114"/>
      <c r="G1" s="114"/>
      <c r="H1" s="114"/>
      <c r="I1" s="114"/>
      <c r="J1" s="114"/>
      <c r="K1" s="114"/>
      <c r="L1" s="117"/>
      <c r="M1" s="114"/>
    </row>
    <row r="2" s="114" customFormat="1" ht="25" customHeight="1" spans="1:15">
      <c r="A2" s="119" t="s">
        <v>1228</v>
      </c>
      <c r="B2" s="120"/>
      <c r="C2" s="119"/>
      <c r="D2" s="119"/>
      <c r="E2" s="119"/>
      <c r="F2" s="119"/>
      <c r="G2" s="119"/>
      <c r="H2" s="119"/>
      <c r="I2" s="119"/>
      <c r="J2" s="119"/>
      <c r="K2" s="119"/>
      <c r="L2" s="119"/>
      <c r="M2" s="119"/>
      <c r="N2" s="119"/>
      <c r="O2" s="119"/>
    </row>
    <row r="3" s="113" customFormat="1" ht="15" customHeight="1" spans="1:13">
      <c r="A3" s="115"/>
      <c r="B3" s="116" t="s">
        <v>1229</v>
      </c>
      <c r="C3" s="114" t="s">
        <v>1229</v>
      </c>
      <c r="D3" s="117" t="s">
        <v>1229</v>
      </c>
      <c r="E3" s="114"/>
      <c r="F3" s="114"/>
      <c r="G3" s="114"/>
      <c r="H3" s="114"/>
      <c r="I3" s="114"/>
      <c r="J3" s="114"/>
      <c r="K3" s="114"/>
      <c r="L3" s="137" t="s">
        <v>5</v>
      </c>
      <c r="M3" s="137"/>
    </row>
    <row r="4" s="114" customFormat="1" ht="25" customHeight="1" spans="1:16">
      <c r="A4" s="121" t="s">
        <v>943</v>
      </c>
      <c r="B4" s="122" t="s">
        <v>1230</v>
      </c>
      <c r="C4" s="121" t="s">
        <v>1231</v>
      </c>
      <c r="D4" s="122" t="s">
        <v>1232</v>
      </c>
      <c r="E4" s="121" t="s">
        <v>1233</v>
      </c>
      <c r="F4" s="121" t="s">
        <v>873</v>
      </c>
      <c r="G4" s="122" t="s">
        <v>1234</v>
      </c>
      <c r="H4" s="122"/>
      <c r="I4" s="122" t="s">
        <v>1235</v>
      </c>
      <c r="J4" s="122" t="s">
        <v>950</v>
      </c>
      <c r="K4" s="122" t="s">
        <v>951</v>
      </c>
      <c r="L4" s="122" t="s">
        <v>1236</v>
      </c>
      <c r="M4" s="138" t="s">
        <v>11</v>
      </c>
      <c r="N4" s="139" t="s">
        <v>1237</v>
      </c>
      <c r="O4" s="140" t="s">
        <v>1238</v>
      </c>
      <c r="P4" s="141" t="s">
        <v>1239</v>
      </c>
    </row>
    <row r="5" s="114" customFormat="1" ht="25" customHeight="1" spans="1:16">
      <c r="A5" s="121"/>
      <c r="B5" s="122"/>
      <c r="C5" s="121"/>
      <c r="D5" s="122"/>
      <c r="E5" s="121"/>
      <c r="F5" s="121"/>
      <c r="G5" s="122" t="s">
        <v>1240</v>
      </c>
      <c r="H5" s="122" t="s">
        <v>1241</v>
      </c>
      <c r="I5" s="122"/>
      <c r="J5" s="122"/>
      <c r="K5" s="122"/>
      <c r="L5" s="122"/>
      <c r="M5" s="142"/>
      <c r="N5" s="143"/>
      <c r="O5" s="144"/>
      <c r="P5" s="142"/>
    </row>
    <row r="6" s="114" customFormat="1" ht="28" customHeight="1" spans="1:16">
      <c r="A6" s="123">
        <v>1</v>
      </c>
      <c r="B6" s="123" t="s">
        <v>1242</v>
      </c>
      <c r="C6" s="123" t="s">
        <v>1243</v>
      </c>
      <c r="D6" s="124" t="s">
        <v>1244</v>
      </c>
      <c r="E6" s="125">
        <v>160000</v>
      </c>
      <c r="F6" s="126">
        <v>160000</v>
      </c>
      <c r="G6" s="125"/>
      <c r="H6" s="125">
        <f t="shared" ref="H6:H21" si="0">F6+G6</f>
        <v>160000</v>
      </c>
      <c r="I6" s="125">
        <v>29369.788</v>
      </c>
      <c r="J6" s="125">
        <f t="shared" ref="J6:J69" si="1">K6-F6</f>
        <v>-48700</v>
      </c>
      <c r="K6" s="125">
        <v>111300</v>
      </c>
      <c r="L6" s="124" t="s">
        <v>1245</v>
      </c>
      <c r="M6" s="145" t="s">
        <v>1245</v>
      </c>
      <c r="N6" s="123" t="s">
        <v>1246</v>
      </c>
      <c r="O6" s="146" t="s">
        <v>1247</v>
      </c>
      <c r="P6" s="145">
        <v>2120802</v>
      </c>
    </row>
    <row r="7" s="114" customFormat="1" ht="28" customHeight="1" spans="1:18">
      <c r="A7" s="123">
        <v>2</v>
      </c>
      <c r="B7" s="123" t="s">
        <v>1242</v>
      </c>
      <c r="C7" s="123" t="s">
        <v>1243</v>
      </c>
      <c r="D7" s="124" t="s">
        <v>1248</v>
      </c>
      <c r="E7" s="125">
        <v>43006</v>
      </c>
      <c r="F7" s="125">
        <v>43006</v>
      </c>
      <c r="G7" s="125"/>
      <c r="H7" s="125">
        <f t="shared" si="0"/>
        <v>43006</v>
      </c>
      <c r="I7" s="125">
        <v>5730.212</v>
      </c>
      <c r="J7" s="125">
        <f t="shared" si="1"/>
        <v>-13006</v>
      </c>
      <c r="K7" s="125">
        <v>30000</v>
      </c>
      <c r="L7" s="124"/>
      <c r="M7" s="145"/>
      <c r="N7" s="123" t="s">
        <v>1246</v>
      </c>
      <c r="O7" s="146" t="s">
        <v>1247</v>
      </c>
      <c r="P7" s="145" t="s">
        <v>1249</v>
      </c>
      <c r="Q7" s="114">
        <v>23406</v>
      </c>
      <c r="R7" s="114">
        <v>19600</v>
      </c>
    </row>
    <row r="8" s="114" customFormat="1" ht="28" customHeight="1" spans="1:16">
      <c r="A8" s="127" t="s">
        <v>971</v>
      </c>
      <c r="B8" s="127"/>
      <c r="C8" s="127"/>
      <c r="D8" s="128"/>
      <c r="E8" s="129">
        <f t="shared" ref="E8:I8" si="2">(SUM(E6:E7))</f>
        <v>203006</v>
      </c>
      <c r="F8" s="129">
        <f t="shared" si="2"/>
        <v>203006</v>
      </c>
      <c r="G8" s="129">
        <f t="shared" si="2"/>
        <v>0</v>
      </c>
      <c r="H8" s="129">
        <f t="shared" si="2"/>
        <v>203006</v>
      </c>
      <c r="I8" s="129">
        <f t="shared" si="2"/>
        <v>35100</v>
      </c>
      <c r="J8" s="129">
        <f t="shared" si="1"/>
        <v>-61706</v>
      </c>
      <c r="K8" s="129">
        <f>(SUM(K6:K7))</f>
        <v>141300</v>
      </c>
      <c r="L8" s="147"/>
      <c r="M8" s="148"/>
      <c r="N8" s="127"/>
      <c r="O8" s="149"/>
      <c r="P8" s="145"/>
    </row>
    <row r="9" s="114" customFormat="1" ht="55" customHeight="1" spans="1:19">
      <c r="A9" s="123">
        <v>3</v>
      </c>
      <c r="B9" s="123" t="s">
        <v>1242</v>
      </c>
      <c r="C9" s="123" t="s">
        <v>1243</v>
      </c>
      <c r="D9" s="124" t="s">
        <v>1250</v>
      </c>
      <c r="E9" s="125">
        <v>2518</v>
      </c>
      <c r="F9" s="125">
        <v>2518</v>
      </c>
      <c r="G9" s="125"/>
      <c r="H9" s="125">
        <f t="shared" si="0"/>
        <v>2518</v>
      </c>
      <c r="I9" s="125">
        <v>0</v>
      </c>
      <c r="J9" s="125">
        <f t="shared" si="1"/>
        <v>-2518</v>
      </c>
      <c r="K9" s="125">
        <v>0</v>
      </c>
      <c r="L9" s="150" t="s">
        <v>1251</v>
      </c>
      <c r="M9" s="145" t="s">
        <v>1251</v>
      </c>
      <c r="N9" s="123" t="s">
        <v>1252</v>
      </c>
      <c r="O9" s="146" t="s">
        <v>1247</v>
      </c>
      <c r="P9" s="145" t="s">
        <v>1253</v>
      </c>
      <c r="Q9" s="114">
        <v>1561</v>
      </c>
      <c r="R9" s="114">
        <v>379</v>
      </c>
      <c r="S9" s="114">
        <v>578</v>
      </c>
    </row>
    <row r="10" s="114" customFormat="1" ht="28" customHeight="1" spans="1:16">
      <c r="A10" s="123">
        <v>4</v>
      </c>
      <c r="B10" s="123" t="s">
        <v>1242</v>
      </c>
      <c r="C10" s="123" t="s">
        <v>1243</v>
      </c>
      <c r="D10" s="124" t="s">
        <v>1254</v>
      </c>
      <c r="E10" s="125">
        <v>578</v>
      </c>
      <c r="F10" s="125">
        <v>578</v>
      </c>
      <c r="G10" s="125">
        <v>-578</v>
      </c>
      <c r="H10" s="125">
        <f t="shared" si="0"/>
        <v>0</v>
      </c>
      <c r="I10" s="125">
        <v>0</v>
      </c>
      <c r="J10" s="125">
        <f t="shared" si="1"/>
        <v>-578</v>
      </c>
      <c r="K10" s="125">
        <v>0</v>
      </c>
      <c r="L10" s="150" t="s">
        <v>1255</v>
      </c>
      <c r="M10" s="145" t="s">
        <v>1255</v>
      </c>
      <c r="N10" s="123" t="s">
        <v>1252</v>
      </c>
      <c r="O10" s="146" t="s">
        <v>1247</v>
      </c>
      <c r="P10" s="145">
        <v>2120802</v>
      </c>
    </row>
    <row r="11" s="114" customFormat="1" ht="28" customHeight="1" spans="1:16">
      <c r="A11" s="123">
        <v>5</v>
      </c>
      <c r="B11" s="123" t="s">
        <v>1242</v>
      </c>
      <c r="C11" s="123" t="s">
        <v>1243</v>
      </c>
      <c r="D11" s="124" t="s">
        <v>1256</v>
      </c>
      <c r="E11" s="125">
        <v>650</v>
      </c>
      <c r="F11" s="125">
        <v>650</v>
      </c>
      <c r="G11" s="125"/>
      <c r="H11" s="125">
        <f t="shared" si="0"/>
        <v>650</v>
      </c>
      <c r="I11" s="125">
        <v>0</v>
      </c>
      <c r="J11" s="125">
        <f t="shared" si="1"/>
        <v>-650</v>
      </c>
      <c r="K11" s="125">
        <v>0</v>
      </c>
      <c r="L11" s="150" t="s">
        <v>1257</v>
      </c>
      <c r="M11" s="145" t="s">
        <v>1257</v>
      </c>
      <c r="N11" s="123" t="s">
        <v>1252</v>
      </c>
      <c r="O11" s="146" t="s">
        <v>1247</v>
      </c>
      <c r="P11" s="145">
        <v>2120801</v>
      </c>
    </row>
    <row r="12" s="114" customFormat="1" ht="45" customHeight="1" spans="1:16">
      <c r="A12" s="123">
        <v>6</v>
      </c>
      <c r="B12" s="123" t="s">
        <v>1242</v>
      </c>
      <c r="C12" s="123" t="s">
        <v>1243</v>
      </c>
      <c r="D12" s="124" t="s">
        <v>1258</v>
      </c>
      <c r="E12" s="125">
        <v>237.8</v>
      </c>
      <c r="F12" s="125">
        <v>237.8</v>
      </c>
      <c r="G12" s="125"/>
      <c r="H12" s="125">
        <f t="shared" si="0"/>
        <v>237.8</v>
      </c>
      <c r="I12" s="125">
        <v>0</v>
      </c>
      <c r="J12" s="125">
        <f t="shared" si="1"/>
        <v>0</v>
      </c>
      <c r="K12" s="125">
        <v>237.8</v>
      </c>
      <c r="L12" s="150" t="s">
        <v>1259</v>
      </c>
      <c r="M12" s="145" t="s">
        <v>1259</v>
      </c>
      <c r="N12" s="123" t="s">
        <v>1252</v>
      </c>
      <c r="O12" s="146" t="s">
        <v>1247</v>
      </c>
      <c r="P12" s="145">
        <v>2120801</v>
      </c>
    </row>
    <row r="13" s="114" customFormat="1" ht="28" customHeight="1" spans="1:16">
      <c r="A13" s="123">
        <v>7</v>
      </c>
      <c r="B13" s="123" t="s">
        <v>1242</v>
      </c>
      <c r="C13" s="123" t="s">
        <v>1243</v>
      </c>
      <c r="D13" s="124" t="s">
        <v>1260</v>
      </c>
      <c r="E13" s="125">
        <v>10.67</v>
      </c>
      <c r="F13" s="125">
        <v>10.67</v>
      </c>
      <c r="G13" s="125"/>
      <c r="H13" s="125">
        <f t="shared" si="0"/>
        <v>10.67</v>
      </c>
      <c r="I13" s="125">
        <v>0</v>
      </c>
      <c r="J13" s="125">
        <f t="shared" si="1"/>
        <v>0</v>
      </c>
      <c r="K13" s="125">
        <v>10.67</v>
      </c>
      <c r="L13" s="150" t="s">
        <v>1261</v>
      </c>
      <c r="M13" s="145" t="s">
        <v>1261</v>
      </c>
      <c r="N13" s="123" t="s">
        <v>1252</v>
      </c>
      <c r="O13" s="146" t="s">
        <v>1247</v>
      </c>
      <c r="P13" s="145">
        <v>2120801</v>
      </c>
    </row>
    <row r="14" s="114" customFormat="1" ht="45" customHeight="1" spans="1:16">
      <c r="A14" s="123">
        <v>8</v>
      </c>
      <c r="B14" s="123" t="s">
        <v>1242</v>
      </c>
      <c r="C14" s="123" t="s">
        <v>1243</v>
      </c>
      <c r="D14" s="124" t="s">
        <v>1262</v>
      </c>
      <c r="E14" s="125">
        <v>57.17</v>
      </c>
      <c r="F14" s="125">
        <v>57.17</v>
      </c>
      <c r="G14" s="125"/>
      <c r="H14" s="125">
        <f t="shared" si="0"/>
        <v>57.17</v>
      </c>
      <c r="I14" s="125">
        <v>0</v>
      </c>
      <c r="J14" s="125">
        <f t="shared" si="1"/>
        <v>0</v>
      </c>
      <c r="K14" s="125">
        <v>57.17</v>
      </c>
      <c r="L14" s="150" t="s">
        <v>1263</v>
      </c>
      <c r="M14" s="145" t="s">
        <v>1263</v>
      </c>
      <c r="N14" s="123" t="s">
        <v>1252</v>
      </c>
      <c r="O14" s="146" t="s">
        <v>1247</v>
      </c>
      <c r="P14" s="145">
        <v>2120802</v>
      </c>
    </row>
    <row r="15" s="114" customFormat="1" ht="28" customHeight="1" spans="1:16">
      <c r="A15" s="123">
        <v>9</v>
      </c>
      <c r="B15" s="123" t="s">
        <v>1242</v>
      </c>
      <c r="C15" s="123" t="s">
        <v>1243</v>
      </c>
      <c r="D15" s="124" t="s">
        <v>1264</v>
      </c>
      <c r="E15" s="125">
        <v>31.9</v>
      </c>
      <c r="F15" s="125">
        <v>31.9</v>
      </c>
      <c r="G15" s="125">
        <v>20</v>
      </c>
      <c r="H15" s="125">
        <f t="shared" si="0"/>
        <v>51.9</v>
      </c>
      <c r="I15" s="125">
        <v>0</v>
      </c>
      <c r="J15" s="125">
        <f t="shared" si="1"/>
        <v>20</v>
      </c>
      <c r="K15" s="125">
        <v>51.9</v>
      </c>
      <c r="L15" s="150" t="s">
        <v>1265</v>
      </c>
      <c r="M15" s="145" t="s">
        <v>1266</v>
      </c>
      <c r="N15" s="123" t="s">
        <v>1252</v>
      </c>
      <c r="O15" s="146" t="s">
        <v>1247</v>
      </c>
      <c r="P15" s="145">
        <v>2120801</v>
      </c>
    </row>
    <row r="16" s="114" customFormat="1" ht="28" customHeight="1" spans="1:16">
      <c r="A16" s="123">
        <v>10</v>
      </c>
      <c r="B16" s="123" t="s">
        <v>1242</v>
      </c>
      <c r="C16" s="123" t="s">
        <v>1243</v>
      </c>
      <c r="D16" s="124" t="s">
        <v>1267</v>
      </c>
      <c r="E16" s="125">
        <v>236.25</v>
      </c>
      <c r="F16" s="125">
        <v>236.25</v>
      </c>
      <c r="G16" s="125"/>
      <c r="H16" s="125">
        <f t="shared" si="0"/>
        <v>236.25</v>
      </c>
      <c r="I16" s="125">
        <v>0</v>
      </c>
      <c r="J16" s="125">
        <f t="shared" si="1"/>
        <v>-236.25</v>
      </c>
      <c r="K16" s="125">
        <v>0</v>
      </c>
      <c r="L16" s="150" t="s">
        <v>1268</v>
      </c>
      <c r="M16" s="145" t="s">
        <v>1268</v>
      </c>
      <c r="N16" s="123" t="s">
        <v>1252</v>
      </c>
      <c r="O16" s="146" t="s">
        <v>1247</v>
      </c>
      <c r="P16" s="145">
        <v>2120802</v>
      </c>
    </row>
    <row r="17" s="114" customFormat="1" ht="28" customHeight="1" spans="1:16">
      <c r="A17" s="123">
        <v>11</v>
      </c>
      <c r="B17" s="123" t="s">
        <v>1242</v>
      </c>
      <c r="C17" s="123" t="s">
        <v>1243</v>
      </c>
      <c r="D17" s="124" t="s">
        <v>994</v>
      </c>
      <c r="E17" s="125">
        <v>2630</v>
      </c>
      <c r="F17" s="125">
        <v>2630</v>
      </c>
      <c r="G17" s="125">
        <v>-330</v>
      </c>
      <c r="H17" s="125">
        <f t="shared" si="0"/>
        <v>2300</v>
      </c>
      <c r="I17" s="125">
        <v>0</v>
      </c>
      <c r="J17" s="125">
        <f t="shared" si="1"/>
        <v>-2630</v>
      </c>
      <c r="K17" s="125">
        <v>0</v>
      </c>
      <c r="L17" s="151" t="s">
        <v>1269</v>
      </c>
      <c r="M17" s="145" t="s">
        <v>1270</v>
      </c>
      <c r="N17" s="123" t="s">
        <v>1252</v>
      </c>
      <c r="O17" s="146" t="s">
        <v>1247</v>
      </c>
      <c r="P17" s="145">
        <v>2120801</v>
      </c>
    </row>
    <row r="18" s="114" customFormat="1" ht="28" customHeight="1" spans="1:16">
      <c r="A18" s="123">
        <v>12</v>
      </c>
      <c r="B18" s="123" t="s">
        <v>1242</v>
      </c>
      <c r="C18" s="123" t="s">
        <v>1243</v>
      </c>
      <c r="D18" s="124" t="s">
        <v>1271</v>
      </c>
      <c r="E18" s="125">
        <v>2268.12</v>
      </c>
      <c r="F18" s="125">
        <v>2268.12</v>
      </c>
      <c r="G18" s="125"/>
      <c r="H18" s="125">
        <f t="shared" si="0"/>
        <v>2268.12</v>
      </c>
      <c r="I18" s="125">
        <v>0</v>
      </c>
      <c r="J18" s="125">
        <f t="shared" si="1"/>
        <v>-2268.12</v>
      </c>
      <c r="K18" s="125">
        <v>0</v>
      </c>
      <c r="L18" s="150" t="s">
        <v>1272</v>
      </c>
      <c r="M18" s="145" t="s">
        <v>1272</v>
      </c>
      <c r="N18" s="123" t="s">
        <v>1252</v>
      </c>
      <c r="O18" s="146" t="s">
        <v>1247</v>
      </c>
      <c r="P18" s="145">
        <v>2120801</v>
      </c>
    </row>
    <row r="19" s="114" customFormat="1" ht="45" customHeight="1" spans="1:16">
      <c r="A19" s="123">
        <v>13</v>
      </c>
      <c r="B19" s="123" t="s">
        <v>1242</v>
      </c>
      <c r="C19" s="123" t="s">
        <v>1243</v>
      </c>
      <c r="D19" s="124" t="s">
        <v>1273</v>
      </c>
      <c r="E19" s="125">
        <v>1995.52</v>
      </c>
      <c r="F19" s="125">
        <v>348</v>
      </c>
      <c r="G19" s="125">
        <v>347.6</v>
      </c>
      <c r="H19" s="125">
        <f t="shared" si="0"/>
        <v>695.6</v>
      </c>
      <c r="I19" s="125">
        <v>0</v>
      </c>
      <c r="J19" s="125">
        <f t="shared" si="1"/>
        <v>-348</v>
      </c>
      <c r="K19" s="125">
        <v>0</v>
      </c>
      <c r="L19" s="150" t="s">
        <v>1274</v>
      </c>
      <c r="M19" s="145" t="s">
        <v>1275</v>
      </c>
      <c r="N19" s="123" t="s">
        <v>1252</v>
      </c>
      <c r="O19" s="146" t="s">
        <v>1247</v>
      </c>
      <c r="P19" s="145">
        <v>2120801</v>
      </c>
    </row>
    <row r="20" s="114" customFormat="1" ht="28" customHeight="1" spans="1:16">
      <c r="A20" s="123">
        <v>14</v>
      </c>
      <c r="B20" s="123" t="s">
        <v>1242</v>
      </c>
      <c r="C20" s="123" t="s">
        <v>1243</v>
      </c>
      <c r="D20" s="124" t="s">
        <v>1276</v>
      </c>
      <c r="E20" s="125">
        <v>2930</v>
      </c>
      <c r="F20" s="125">
        <v>2930</v>
      </c>
      <c r="G20" s="125">
        <v>-160</v>
      </c>
      <c r="H20" s="125">
        <f t="shared" si="0"/>
        <v>2770</v>
      </c>
      <c r="I20" s="125">
        <v>0</v>
      </c>
      <c r="J20" s="125">
        <f t="shared" si="1"/>
        <v>-2930</v>
      </c>
      <c r="K20" s="125">
        <v>0</v>
      </c>
      <c r="L20" s="150" t="s">
        <v>1277</v>
      </c>
      <c r="M20" s="145" t="s">
        <v>1277</v>
      </c>
      <c r="N20" s="123" t="s">
        <v>1252</v>
      </c>
      <c r="O20" s="146" t="s">
        <v>1247</v>
      </c>
      <c r="P20" s="145">
        <v>2120802</v>
      </c>
    </row>
    <row r="21" s="114" customFormat="1" ht="28" customHeight="1" spans="1:16">
      <c r="A21" s="123">
        <v>15</v>
      </c>
      <c r="B21" s="123" t="s">
        <v>1242</v>
      </c>
      <c r="C21" s="123" t="s">
        <v>1243</v>
      </c>
      <c r="D21" s="124" t="s">
        <v>1278</v>
      </c>
      <c r="E21" s="125">
        <v>2316</v>
      </c>
      <c r="F21" s="125">
        <v>500</v>
      </c>
      <c r="G21" s="125"/>
      <c r="H21" s="125">
        <f t="shared" si="0"/>
        <v>500</v>
      </c>
      <c r="I21" s="125">
        <v>263.797587</v>
      </c>
      <c r="J21" s="125">
        <f t="shared" si="1"/>
        <v>0</v>
      </c>
      <c r="K21" s="125">
        <v>500</v>
      </c>
      <c r="L21" s="150" t="s">
        <v>1279</v>
      </c>
      <c r="M21" s="145" t="s">
        <v>1279</v>
      </c>
      <c r="N21" s="123" t="s">
        <v>1252</v>
      </c>
      <c r="O21" s="146" t="s">
        <v>1247</v>
      </c>
      <c r="P21" s="145">
        <v>2120802</v>
      </c>
    </row>
    <row r="22" s="114" customFormat="1" ht="28" customHeight="1" spans="1:16">
      <c r="A22" s="123">
        <v>16</v>
      </c>
      <c r="B22" s="123" t="s">
        <v>1242</v>
      </c>
      <c r="C22" s="123" t="s">
        <v>1243</v>
      </c>
      <c r="D22" s="124" t="s">
        <v>1280</v>
      </c>
      <c r="E22" s="125">
        <v>2002.42</v>
      </c>
      <c r="F22" s="125">
        <v>1000</v>
      </c>
      <c r="G22" s="125"/>
      <c r="H22" s="125">
        <v>300</v>
      </c>
      <c r="I22" s="125">
        <v>134.458192</v>
      </c>
      <c r="J22" s="125">
        <f t="shared" si="1"/>
        <v>-670</v>
      </c>
      <c r="K22" s="125">
        <v>330</v>
      </c>
      <c r="L22" s="150" t="s">
        <v>1281</v>
      </c>
      <c r="M22" s="145" t="s">
        <v>1281</v>
      </c>
      <c r="N22" s="123" t="s">
        <v>1252</v>
      </c>
      <c r="O22" s="146" t="s">
        <v>1247</v>
      </c>
      <c r="P22" s="145">
        <v>2120802</v>
      </c>
    </row>
    <row r="23" s="114" customFormat="1" ht="90" customHeight="1" spans="1:16">
      <c r="A23" s="123">
        <v>17</v>
      </c>
      <c r="B23" s="123" t="s">
        <v>1242</v>
      </c>
      <c r="C23" s="123" t="s">
        <v>1243</v>
      </c>
      <c r="D23" s="124" t="s">
        <v>1282</v>
      </c>
      <c r="E23" s="125">
        <v>6105</v>
      </c>
      <c r="F23" s="125">
        <v>19600</v>
      </c>
      <c r="G23" s="125">
        <v>-10000</v>
      </c>
      <c r="H23" s="125">
        <f t="shared" ref="H23:H55" si="3">F23+G23</f>
        <v>9600</v>
      </c>
      <c r="I23" s="125">
        <v>455.4</v>
      </c>
      <c r="J23" s="125">
        <f t="shared" si="1"/>
        <v>-13761.5</v>
      </c>
      <c r="K23" s="125">
        <v>5838.5</v>
      </c>
      <c r="L23" s="150" t="s">
        <v>1283</v>
      </c>
      <c r="M23" s="145" t="s">
        <v>1284</v>
      </c>
      <c r="N23" s="123" t="s">
        <v>1252</v>
      </c>
      <c r="O23" s="146" t="s">
        <v>1247</v>
      </c>
      <c r="P23" s="145" t="s">
        <v>1285</v>
      </c>
    </row>
    <row r="24" s="114" customFormat="1" ht="28" customHeight="1" spans="1:16">
      <c r="A24" s="123">
        <v>18</v>
      </c>
      <c r="B24" s="123" t="s">
        <v>1242</v>
      </c>
      <c r="C24" s="123" t="s">
        <v>1243</v>
      </c>
      <c r="D24" s="124" t="s">
        <v>1286</v>
      </c>
      <c r="E24" s="125">
        <v>21775</v>
      </c>
      <c r="F24" s="125">
        <v>1400</v>
      </c>
      <c r="G24" s="125">
        <v>-600</v>
      </c>
      <c r="H24" s="125">
        <f t="shared" si="3"/>
        <v>800</v>
      </c>
      <c r="I24" s="125">
        <v>0</v>
      </c>
      <c r="J24" s="125">
        <f t="shared" si="1"/>
        <v>-1400</v>
      </c>
      <c r="K24" s="125">
        <v>0</v>
      </c>
      <c r="L24" s="150" t="s">
        <v>1287</v>
      </c>
      <c r="M24" s="145" t="s">
        <v>1287</v>
      </c>
      <c r="N24" s="123" t="s">
        <v>1252</v>
      </c>
      <c r="O24" s="146" t="s">
        <v>1247</v>
      </c>
      <c r="P24" s="145">
        <v>2120802</v>
      </c>
    </row>
    <row r="25" s="114" customFormat="1" ht="28" customHeight="1" spans="1:16">
      <c r="A25" s="123">
        <v>19</v>
      </c>
      <c r="B25" s="123" t="s">
        <v>1242</v>
      </c>
      <c r="C25" s="123" t="s">
        <v>1243</v>
      </c>
      <c r="D25" s="124" t="s">
        <v>1288</v>
      </c>
      <c r="E25" s="125">
        <v>19</v>
      </c>
      <c r="F25" s="125">
        <v>19</v>
      </c>
      <c r="G25" s="125"/>
      <c r="H25" s="125">
        <f t="shared" si="3"/>
        <v>19</v>
      </c>
      <c r="I25" s="125">
        <v>19</v>
      </c>
      <c r="J25" s="125">
        <f t="shared" si="1"/>
        <v>0</v>
      </c>
      <c r="K25" s="125">
        <v>19</v>
      </c>
      <c r="L25" s="151" t="s">
        <v>1289</v>
      </c>
      <c r="M25" s="145"/>
      <c r="N25" s="123" t="s">
        <v>1252</v>
      </c>
      <c r="O25" s="146" t="s">
        <v>1247</v>
      </c>
      <c r="P25" s="145">
        <v>2120802</v>
      </c>
    </row>
    <row r="26" s="114" customFormat="1" ht="45" customHeight="1" spans="1:18">
      <c r="A26" s="123">
        <v>20</v>
      </c>
      <c r="B26" s="123" t="s">
        <v>1242</v>
      </c>
      <c r="C26" s="123" t="s">
        <v>1243</v>
      </c>
      <c r="D26" s="124" t="s">
        <v>1290</v>
      </c>
      <c r="E26" s="125">
        <v>238.9</v>
      </c>
      <c r="F26" s="125">
        <v>238.9</v>
      </c>
      <c r="G26" s="125">
        <v>-14</v>
      </c>
      <c r="H26" s="125">
        <f t="shared" si="3"/>
        <v>224.9</v>
      </c>
      <c r="I26" s="125">
        <v>0</v>
      </c>
      <c r="J26" s="125">
        <f t="shared" si="1"/>
        <v>-14</v>
      </c>
      <c r="K26" s="125">
        <f>H26+I26</f>
        <v>224.9</v>
      </c>
      <c r="L26" s="150" t="s">
        <v>1291</v>
      </c>
      <c r="M26" s="145" t="s">
        <v>1292</v>
      </c>
      <c r="N26" s="123" t="s">
        <v>1252</v>
      </c>
      <c r="O26" s="146" t="s">
        <v>1247</v>
      </c>
      <c r="P26" s="145" t="s">
        <v>1285</v>
      </c>
      <c r="Q26" s="114">
        <v>90.5</v>
      </c>
      <c r="R26" s="114">
        <v>148.4</v>
      </c>
    </row>
    <row r="27" s="114" customFormat="1" ht="28" customHeight="1" spans="1:16">
      <c r="A27" s="123">
        <v>21</v>
      </c>
      <c r="B27" s="123" t="s">
        <v>1242</v>
      </c>
      <c r="C27" s="123" t="s">
        <v>1243</v>
      </c>
      <c r="D27" s="124" t="s">
        <v>1293</v>
      </c>
      <c r="E27" s="125">
        <v>1804.09</v>
      </c>
      <c r="F27" s="125">
        <v>1804.09</v>
      </c>
      <c r="G27" s="125"/>
      <c r="H27" s="125">
        <f t="shared" si="3"/>
        <v>1804.09</v>
      </c>
      <c r="I27" s="125">
        <v>0</v>
      </c>
      <c r="J27" s="125">
        <f t="shared" si="1"/>
        <v>-1804.09</v>
      </c>
      <c r="K27" s="125">
        <v>0</v>
      </c>
      <c r="L27" s="150" t="s">
        <v>1294</v>
      </c>
      <c r="M27" s="145" t="s">
        <v>1295</v>
      </c>
      <c r="N27" s="123" t="s">
        <v>1252</v>
      </c>
      <c r="O27" s="146" t="s">
        <v>1247</v>
      </c>
      <c r="P27" s="145">
        <v>2120801</v>
      </c>
    </row>
    <row r="28" s="114" customFormat="1" ht="55" customHeight="1" spans="1:16">
      <c r="A28" s="123">
        <v>22</v>
      </c>
      <c r="B28" s="123" t="s">
        <v>1242</v>
      </c>
      <c r="C28" s="130" t="s">
        <v>1243</v>
      </c>
      <c r="D28" s="131" t="s">
        <v>1296</v>
      </c>
      <c r="E28" s="132">
        <v>0</v>
      </c>
      <c r="F28" s="132">
        <v>4000</v>
      </c>
      <c r="G28" s="132">
        <v>1955.19</v>
      </c>
      <c r="H28" s="125">
        <f t="shared" si="3"/>
        <v>5955.19</v>
      </c>
      <c r="I28" s="132">
        <v>913.912</v>
      </c>
      <c r="J28" s="125">
        <f t="shared" si="1"/>
        <v>1955.19</v>
      </c>
      <c r="K28" s="125">
        <v>5955.19</v>
      </c>
      <c r="L28" s="152" t="s">
        <v>1297</v>
      </c>
      <c r="M28" s="153"/>
      <c r="N28" s="154" t="s">
        <v>1252</v>
      </c>
      <c r="O28" s="155" t="s">
        <v>1247</v>
      </c>
      <c r="P28" s="153">
        <v>2120802</v>
      </c>
    </row>
    <row r="29" s="114" customFormat="1" ht="45" customHeight="1" spans="1:16">
      <c r="A29" s="123">
        <v>23</v>
      </c>
      <c r="B29" s="123" t="s">
        <v>1242</v>
      </c>
      <c r="C29" s="123" t="s">
        <v>1298</v>
      </c>
      <c r="D29" s="124" t="s">
        <v>1299</v>
      </c>
      <c r="E29" s="125">
        <v>200</v>
      </c>
      <c r="F29" s="125">
        <v>100</v>
      </c>
      <c r="G29" s="125"/>
      <c r="H29" s="125">
        <f t="shared" si="3"/>
        <v>100</v>
      </c>
      <c r="I29" s="125">
        <v>0</v>
      </c>
      <c r="J29" s="125">
        <f t="shared" si="1"/>
        <v>0</v>
      </c>
      <c r="K29" s="125">
        <v>100</v>
      </c>
      <c r="L29" s="150" t="s">
        <v>1300</v>
      </c>
      <c r="M29" s="145" t="s">
        <v>1300</v>
      </c>
      <c r="N29" s="123" t="s">
        <v>1252</v>
      </c>
      <c r="O29" s="146" t="s">
        <v>1247</v>
      </c>
      <c r="P29" s="145">
        <v>2120801</v>
      </c>
    </row>
    <row r="30" s="114" customFormat="1" ht="28" customHeight="1" spans="1:16">
      <c r="A30" s="123">
        <v>24</v>
      </c>
      <c r="B30" s="123" t="s">
        <v>1242</v>
      </c>
      <c r="C30" s="123" t="s">
        <v>1301</v>
      </c>
      <c r="D30" s="124" t="s">
        <v>1302</v>
      </c>
      <c r="E30" s="125">
        <v>130.95</v>
      </c>
      <c r="F30" s="125">
        <v>130.95</v>
      </c>
      <c r="G30" s="125">
        <v>-9.677155</v>
      </c>
      <c r="H30" s="125">
        <f t="shared" si="3"/>
        <v>121.272845</v>
      </c>
      <c r="I30" s="125">
        <v>121.272845</v>
      </c>
      <c r="J30" s="125">
        <f t="shared" si="1"/>
        <v>-9.67715499999998</v>
      </c>
      <c r="K30" s="125">
        <v>121.272845</v>
      </c>
      <c r="L30" s="151" t="s">
        <v>1289</v>
      </c>
      <c r="M30" s="145"/>
      <c r="N30" s="123" t="s">
        <v>1252</v>
      </c>
      <c r="O30" s="146" t="s">
        <v>1247</v>
      </c>
      <c r="P30" s="145">
        <v>2120802</v>
      </c>
    </row>
    <row r="31" s="114" customFormat="1" ht="28" customHeight="1" spans="1:16">
      <c r="A31" s="123">
        <v>25</v>
      </c>
      <c r="B31" s="123" t="s">
        <v>1242</v>
      </c>
      <c r="C31" s="123" t="s">
        <v>1303</v>
      </c>
      <c r="D31" s="124" t="s">
        <v>1304</v>
      </c>
      <c r="E31" s="125">
        <v>2965.87</v>
      </c>
      <c r="F31" s="125">
        <v>500</v>
      </c>
      <c r="G31" s="125"/>
      <c r="H31" s="133">
        <f t="shared" si="3"/>
        <v>500</v>
      </c>
      <c r="I31" s="125">
        <v>0</v>
      </c>
      <c r="J31" s="125">
        <f t="shared" si="1"/>
        <v>-500</v>
      </c>
      <c r="K31" s="133">
        <v>0</v>
      </c>
      <c r="L31" s="151"/>
      <c r="M31" s="145"/>
      <c r="N31" s="123" t="s">
        <v>1252</v>
      </c>
      <c r="O31" s="146" t="s">
        <v>1247</v>
      </c>
      <c r="P31" s="145">
        <v>2120801</v>
      </c>
    </row>
    <row r="32" s="114" customFormat="1" ht="28" customHeight="1" spans="1:16">
      <c r="A32" s="123">
        <v>26</v>
      </c>
      <c r="B32" s="123" t="s">
        <v>1242</v>
      </c>
      <c r="C32" s="123" t="s">
        <v>1305</v>
      </c>
      <c r="D32" s="124" t="s">
        <v>1306</v>
      </c>
      <c r="E32" s="125">
        <v>1067.15</v>
      </c>
      <c r="F32" s="125">
        <v>400</v>
      </c>
      <c r="G32" s="125">
        <v>667.15</v>
      </c>
      <c r="H32" s="125">
        <f t="shared" si="3"/>
        <v>1067.15</v>
      </c>
      <c r="I32" s="125">
        <v>400</v>
      </c>
      <c r="J32" s="125">
        <f t="shared" si="1"/>
        <v>0</v>
      </c>
      <c r="K32" s="125">
        <v>400</v>
      </c>
      <c r="L32" s="150" t="s">
        <v>1307</v>
      </c>
      <c r="M32" s="145" t="s">
        <v>1308</v>
      </c>
      <c r="N32" s="123" t="s">
        <v>1252</v>
      </c>
      <c r="O32" s="146" t="s">
        <v>1247</v>
      </c>
      <c r="P32" s="145">
        <v>2120801</v>
      </c>
    </row>
    <row r="33" s="114" customFormat="1" ht="28" customHeight="1" spans="1:16">
      <c r="A33" s="123">
        <v>27</v>
      </c>
      <c r="B33" s="123" t="s">
        <v>1242</v>
      </c>
      <c r="C33" s="123" t="s">
        <v>1305</v>
      </c>
      <c r="D33" s="124" t="s">
        <v>1309</v>
      </c>
      <c r="E33" s="125">
        <v>1047.26</v>
      </c>
      <c r="F33" s="125">
        <v>1047.26</v>
      </c>
      <c r="G33" s="125"/>
      <c r="H33" s="125">
        <f t="shared" si="3"/>
        <v>1047.26</v>
      </c>
      <c r="I33" s="125">
        <v>1047.2504</v>
      </c>
      <c r="J33" s="125">
        <f t="shared" si="1"/>
        <v>0</v>
      </c>
      <c r="K33" s="125">
        <v>1047.26</v>
      </c>
      <c r="L33" s="156" t="s">
        <v>1310</v>
      </c>
      <c r="M33" s="145" t="s">
        <v>1311</v>
      </c>
      <c r="N33" s="123" t="s">
        <v>1252</v>
      </c>
      <c r="O33" s="146" t="s">
        <v>1247</v>
      </c>
      <c r="P33" s="145">
        <v>2120802</v>
      </c>
    </row>
    <row r="34" s="114" customFormat="1" ht="28" customHeight="1" spans="1:16">
      <c r="A34" s="123">
        <v>28</v>
      </c>
      <c r="B34" s="123" t="s">
        <v>1242</v>
      </c>
      <c r="C34" s="123" t="s">
        <v>1312</v>
      </c>
      <c r="D34" s="124" t="s">
        <v>1313</v>
      </c>
      <c r="E34" s="125">
        <v>22</v>
      </c>
      <c r="F34" s="125">
        <v>25.2</v>
      </c>
      <c r="G34" s="125">
        <v>6.42</v>
      </c>
      <c r="H34" s="125">
        <f t="shared" si="3"/>
        <v>31.62</v>
      </c>
      <c r="I34" s="125">
        <v>25.1928</v>
      </c>
      <c r="J34" s="125">
        <f t="shared" si="1"/>
        <v>6.42</v>
      </c>
      <c r="K34" s="125">
        <v>31.62</v>
      </c>
      <c r="L34" s="156" t="s">
        <v>1314</v>
      </c>
      <c r="M34" s="145"/>
      <c r="N34" s="123" t="s">
        <v>1252</v>
      </c>
      <c r="O34" s="146" t="s">
        <v>1247</v>
      </c>
      <c r="P34" s="145" t="s">
        <v>1285</v>
      </c>
    </row>
    <row r="35" s="114" customFormat="1" ht="28" customHeight="1" spans="1:16">
      <c r="A35" s="123">
        <v>29</v>
      </c>
      <c r="B35" s="123" t="s">
        <v>1242</v>
      </c>
      <c r="C35" s="123" t="s">
        <v>1312</v>
      </c>
      <c r="D35" s="124" t="s">
        <v>1315</v>
      </c>
      <c r="E35" s="125">
        <v>474.8</v>
      </c>
      <c r="F35" s="125">
        <v>474.8</v>
      </c>
      <c r="G35" s="125"/>
      <c r="H35" s="125">
        <f t="shared" si="3"/>
        <v>474.8</v>
      </c>
      <c r="I35" s="125">
        <v>0</v>
      </c>
      <c r="J35" s="125">
        <f t="shared" si="1"/>
        <v>-474.8</v>
      </c>
      <c r="K35" s="125">
        <v>0</v>
      </c>
      <c r="L35" s="156"/>
      <c r="M35" s="145"/>
      <c r="N35" s="123" t="s">
        <v>1252</v>
      </c>
      <c r="O35" s="146" t="s">
        <v>1247</v>
      </c>
      <c r="P35" s="145">
        <v>2120801</v>
      </c>
    </row>
    <row r="36" s="114" customFormat="1" ht="28" customHeight="1" spans="1:16">
      <c r="A36" s="123">
        <v>30</v>
      </c>
      <c r="B36" s="123" t="s">
        <v>1242</v>
      </c>
      <c r="C36" s="123" t="s">
        <v>1312</v>
      </c>
      <c r="D36" s="124" t="s">
        <v>1316</v>
      </c>
      <c r="E36" s="125">
        <v>312.12</v>
      </c>
      <c r="F36" s="125">
        <v>312.12</v>
      </c>
      <c r="G36" s="125"/>
      <c r="H36" s="125">
        <f t="shared" si="3"/>
        <v>312.12</v>
      </c>
      <c r="I36" s="125">
        <v>312.113852</v>
      </c>
      <c r="J36" s="125">
        <f t="shared" si="1"/>
        <v>0</v>
      </c>
      <c r="K36" s="125">
        <v>312.12</v>
      </c>
      <c r="L36" s="156"/>
      <c r="M36" s="145"/>
      <c r="N36" s="123" t="s">
        <v>1252</v>
      </c>
      <c r="O36" s="146" t="s">
        <v>1247</v>
      </c>
      <c r="P36" s="145">
        <v>2120801</v>
      </c>
    </row>
    <row r="37" s="113" customFormat="1" ht="28" customHeight="1" spans="1:16">
      <c r="A37" s="123">
        <v>31</v>
      </c>
      <c r="B37" s="123" t="s">
        <v>1242</v>
      </c>
      <c r="C37" s="123" t="s">
        <v>1317</v>
      </c>
      <c r="D37" s="134" t="s">
        <v>1318</v>
      </c>
      <c r="E37" s="133">
        <v>1000</v>
      </c>
      <c r="F37" s="133">
        <v>1000</v>
      </c>
      <c r="G37" s="133">
        <v>-450</v>
      </c>
      <c r="H37" s="133">
        <f t="shared" si="3"/>
        <v>550</v>
      </c>
      <c r="I37" s="133">
        <v>0</v>
      </c>
      <c r="J37" s="125">
        <f t="shared" si="1"/>
        <v>-800</v>
      </c>
      <c r="K37" s="133">
        <v>200</v>
      </c>
      <c r="L37" s="157" t="s">
        <v>1319</v>
      </c>
      <c r="M37" s="145"/>
      <c r="N37" s="123" t="s">
        <v>1252</v>
      </c>
      <c r="O37" s="146" t="s">
        <v>1247</v>
      </c>
      <c r="P37" s="145">
        <v>2120801</v>
      </c>
    </row>
    <row r="38" s="113" customFormat="1" ht="28" customHeight="1" spans="1:16">
      <c r="A38" s="123">
        <v>32</v>
      </c>
      <c r="B38" s="123" t="s">
        <v>1242</v>
      </c>
      <c r="C38" s="123" t="s">
        <v>1305</v>
      </c>
      <c r="D38" s="134" t="s">
        <v>1320</v>
      </c>
      <c r="E38" s="133"/>
      <c r="F38" s="133"/>
      <c r="G38" s="133">
        <v>801.55</v>
      </c>
      <c r="H38" s="133">
        <f t="shared" si="3"/>
        <v>801.55</v>
      </c>
      <c r="I38" s="133">
        <v>0</v>
      </c>
      <c r="J38" s="125">
        <f t="shared" si="1"/>
        <v>801.55</v>
      </c>
      <c r="K38" s="133">
        <v>801.55</v>
      </c>
      <c r="L38" s="157" t="s">
        <v>1321</v>
      </c>
      <c r="M38" s="145"/>
      <c r="N38" s="123" t="s">
        <v>1252</v>
      </c>
      <c r="O38" s="146" t="s">
        <v>1247</v>
      </c>
      <c r="P38" s="145">
        <v>2120801</v>
      </c>
    </row>
    <row r="39" s="113" customFormat="1" ht="28" customHeight="1" spans="1:16">
      <c r="A39" s="123">
        <v>33</v>
      </c>
      <c r="B39" s="123" t="s">
        <v>1242</v>
      </c>
      <c r="C39" s="123" t="s">
        <v>1322</v>
      </c>
      <c r="D39" s="134" t="s">
        <v>1323</v>
      </c>
      <c r="E39" s="133"/>
      <c r="F39" s="133"/>
      <c r="G39" s="133">
        <v>9000</v>
      </c>
      <c r="H39" s="133">
        <f t="shared" si="3"/>
        <v>9000</v>
      </c>
      <c r="I39" s="133">
        <v>9000</v>
      </c>
      <c r="J39" s="125">
        <f t="shared" si="1"/>
        <v>9000</v>
      </c>
      <c r="K39" s="133">
        <v>9000</v>
      </c>
      <c r="L39" s="157" t="s">
        <v>1324</v>
      </c>
      <c r="M39" s="145"/>
      <c r="N39" s="123" t="s">
        <v>1252</v>
      </c>
      <c r="O39" s="146" t="s">
        <v>1247</v>
      </c>
      <c r="P39" s="145">
        <v>2120801</v>
      </c>
    </row>
    <row r="40" s="113" customFormat="1" ht="28" customHeight="1" spans="1:16">
      <c r="A40" s="123">
        <v>34</v>
      </c>
      <c r="B40" s="123" t="s">
        <v>1242</v>
      </c>
      <c r="C40" s="123" t="s">
        <v>1312</v>
      </c>
      <c r="D40" s="134" t="s">
        <v>1325</v>
      </c>
      <c r="E40" s="133"/>
      <c r="F40" s="133"/>
      <c r="G40" s="133">
        <v>100</v>
      </c>
      <c r="H40" s="133">
        <f t="shared" si="3"/>
        <v>100</v>
      </c>
      <c r="I40" s="133">
        <v>90.3327</v>
      </c>
      <c r="J40" s="125">
        <f t="shared" si="1"/>
        <v>100</v>
      </c>
      <c r="K40" s="133">
        <v>100</v>
      </c>
      <c r="L40" s="157" t="s">
        <v>1326</v>
      </c>
      <c r="M40" s="145"/>
      <c r="N40" s="123" t="s">
        <v>1252</v>
      </c>
      <c r="O40" s="146" t="s">
        <v>1247</v>
      </c>
      <c r="P40" s="145">
        <v>2120801</v>
      </c>
    </row>
    <row r="41" s="113" customFormat="1" ht="28" customHeight="1" spans="1:16">
      <c r="A41" s="123">
        <v>35</v>
      </c>
      <c r="B41" s="123" t="s">
        <v>1242</v>
      </c>
      <c r="C41" s="123" t="s">
        <v>1327</v>
      </c>
      <c r="D41" s="134" t="s">
        <v>1328</v>
      </c>
      <c r="E41" s="133"/>
      <c r="F41" s="133"/>
      <c r="G41" s="133">
        <v>107.6656</v>
      </c>
      <c r="H41" s="133">
        <f t="shared" si="3"/>
        <v>107.6656</v>
      </c>
      <c r="I41" s="133">
        <v>107.6656</v>
      </c>
      <c r="J41" s="125">
        <f t="shared" si="1"/>
        <v>107.6656</v>
      </c>
      <c r="K41" s="133">
        <v>107.6656</v>
      </c>
      <c r="L41" s="157" t="s">
        <v>1329</v>
      </c>
      <c r="M41" s="145"/>
      <c r="N41" s="123" t="s">
        <v>1252</v>
      </c>
      <c r="O41" s="146" t="s">
        <v>1247</v>
      </c>
      <c r="P41" s="145">
        <v>2120802</v>
      </c>
    </row>
    <row r="42" s="113" customFormat="1" ht="28" customHeight="1" spans="1:16">
      <c r="A42" s="123">
        <v>36</v>
      </c>
      <c r="B42" s="123" t="s">
        <v>1242</v>
      </c>
      <c r="C42" s="123" t="s">
        <v>1243</v>
      </c>
      <c r="D42" s="134" t="s">
        <v>1328</v>
      </c>
      <c r="E42" s="133"/>
      <c r="F42" s="133"/>
      <c r="G42" s="133">
        <v>707.3976</v>
      </c>
      <c r="H42" s="133">
        <f t="shared" si="3"/>
        <v>707.3976</v>
      </c>
      <c r="I42" s="133">
        <v>707.3976</v>
      </c>
      <c r="J42" s="125">
        <f t="shared" si="1"/>
        <v>707.3976</v>
      </c>
      <c r="K42" s="133">
        <v>707.3976</v>
      </c>
      <c r="L42" s="157" t="s">
        <v>1329</v>
      </c>
      <c r="M42" s="145"/>
      <c r="N42" s="123" t="s">
        <v>1252</v>
      </c>
      <c r="O42" s="146" t="s">
        <v>1247</v>
      </c>
      <c r="P42" s="145">
        <v>2120802</v>
      </c>
    </row>
    <row r="43" s="113" customFormat="1" ht="28" customHeight="1" spans="1:16">
      <c r="A43" s="123">
        <v>37</v>
      </c>
      <c r="B43" s="123" t="s">
        <v>1242</v>
      </c>
      <c r="C43" s="123" t="s">
        <v>1243</v>
      </c>
      <c r="D43" s="134" t="s">
        <v>1330</v>
      </c>
      <c r="E43" s="133"/>
      <c r="F43" s="133"/>
      <c r="G43" s="133">
        <v>90.5863</v>
      </c>
      <c r="H43" s="133">
        <f t="shared" si="3"/>
        <v>90.5863</v>
      </c>
      <c r="I43" s="133">
        <v>90.5863</v>
      </c>
      <c r="J43" s="125">
        <f t="shared" si="1"/>
        <v>90.5863</v>
      </c>
      <c r="K43" s="133">
        <v>90.5863</v>
      </c>
      <c r="L43" s="157" t="s">
        <v>1331</v>
      </c>
      <c r="M43" s="145"/>
      <c r="N43" s="123" t="s">
        <v>1252</v>
      </c>
      <c r="O43" s="146" t="s">
        <v>1247</v>
      </c>
      <c r="P43" s="145">
        <v>2120802</v>
      </c>
    </row>
    <row r="44" s="113" customFormat="1" ht="28" customHeight="1" spans="1:16">
      <c r="A44" s="123">
        <v>38</v>
      </c>
      <c r="B44" s="123" t="s">
        <v>1242</v>
      </c>
      <c r="C44" s="123" t="s">
        <v>1243</v>
      </c>
      <c r="D44" s="134" t="s">
        <v>1323</v>
      </c>
      <c r="E44" s="133"/>
      <c r="F44" s="133"/>
      <c r="G44" s="133">
        <v>4819.9606</v>
      </c>
      <c r="H44" s="133">
        <f t="shared" si="3"/>
        <v>4819.9606</v>
      </c>
      <c r="I44" s="133">
        <v>1000</v>
      </c>
      <c r="J44" s="125">
        <f t="shared" si="1"/>
        <v>1000</v>
      </c>
      <c r="K44" s="133">
        <v>1000</v>
      </c>
      <c r="L44" s="157" t="s">
        <v>1332</v>
      </c>
      <c r="M44" s="145"/>
      <c r="N44" s="123" t="s">
        <v>1252</v>
      </c>
      <c r="O44" s="146" t="s">
        <v>1247</v>
      </c>
      <c r="P44" s="145">
        <v>2120801</v>
      </c>
    </row>
    <row r="45" s="113" customFormat="1" ht="28" customHeight="1" spans="1:16">
      <c r="A45" s="123">
        <v>39</v>
      </c>
      <c r="B45" s="123" t="s">
        <v>1242</v>
      </c>
      <c r="C45" s="123" t="s">
        <v>1243</v>
      </c>
      <c r="D45" s="134" t="s">
        <v>1333</v>
      </c>
      <c r="E45" s="133"/>
      <c r="F45" s="133"/>
      <c r="G45" s="133">
        <v>151.306</v>
      </c>
      <c r="H45" s="133">
        <f t="shared" si="3"/>
        <v>151.306</v>
      </c>
      <c r="I45" s="133">
        <v>127.207</v>
      </c>
      <c r="J45" s="125">
        <f t="shared" si="1"/>
        <v>151.306</v>
      </c>
      <c r="K45" s="133">
        <v>151.306</v>
      </c>
      <c r="L45" s="157" t="s">
        <v>1334</v>
      </c>
      <c r="M45" s="145"/>
      <c r="N45" s="123" t="s">
        <v>1252</v>
      </c>
      <c r="O45" s="146" t="s">
        <v>1247</v>
      </c>
      <c r="P45" s="145" t="s">
        <v>1285</v>
      </c>
    </row>
    <row r="46" s="113" customFormat="1" ht="28" customHeight="1" spans="1:16">
      <c r="A46" s="123">
        <v>40</v>
      </c>
      <c r="B46" s="123" t="s">
        <v>1242</v>
      </c>
      <c r="C46" s="123" t="s">
        <v>1243</v>
      </c>
      <c r="D46" s="134" t="s">
        <v>1335</v>
      </c>
      <c r="E46" s="133"/>
      <c r="F46" s="133"/>
      <c r="G46" s="133">
        <v>105.6</v>
      </c>
      <c r="H46" s="133">
        <f t="shared" si="3"/>
        <v>105.6</v>
      </c>
      <c r="I46" s="133">
        <v>105.6</v>
      </c>
      <c r="J46" s="125">
        <f t="shared" si="1"/>
        <v>105.6</v>
      </c>
      <c r="K46" s="133">
        <v>105.6</v>
      </c>
      <c r="L46" s="157" t="s">
        <v>1336</v>
      </c>
      <c r="M46" s="145"/>
      <c r="N46" s="123" t="s">
        <v>1252</v>
      </c>
      <c r="O46" s="146" t="s">
        <v>1247</v>
      </c>
      <c r="P46" s="145">
        <v>2120801</v>
      </c>
    </row>
    <row r="47" s="113" customFormat="1" ht="28" customHeight="1" spans="1:16">
      <c r="A47" s="123">
        <v>41</v>
      </c>
      <c r="B47" s="123" t="s">
        <v>1242</v>
      </c>
      <c r="C47" s="123" t="s">
        <v>1243</v>
      </c>
      <c r="D47" s="134" t="s">
        <v>1337</v>
      </c>
      <c r="E47" s="133"/>
      <c r="F47" s="133"/>
      <c r="G47" s="133">
        <v>165.6272</v>
      </c>
      <c r="H47" s="125">
        <f t="shared" si="3"/>
        <v>165.6272</v>
      </c>
      <c r="I47" s="133">
        <v>165.6272</v>
      </c>
      <c r="J47" s="125">
        <f t="shared" si="1"/>
        <v>165.6272</v>
      </c>
      <c r="K47" s="133">
        <v>165.6272</v>
      </c>
      <c r="L47" s="157" t="s">
        <v>1338</v>
      </c>
      <c r="M47" s="145"/>
      <c r="N47" s="123" t="s">
        <v>1252</v>
      </c>
      <c r="O47" s="146" t="s">
        <v>1247</v>
      </c>
      <c r="P47" s="145" t="s">
        <v>1285</v>
      </c>
    </row>
    <row r="48" s="113" customFormat="1" ht="28" customHeight="1" spans="1:16">
      <c r="A48" s="123">
        <v>42</v>
      </c>
      <c r="B48" s="123" t="s">
        <v>1242</v>
      </c>
      <c r="C48" s="123" t="s">
        <v>1243</v>
      </c>
      <c r="D48" s="134" t="s">
        <v>1339</v>
      </c>
      <c r="E48" s="133"/>
      <c r="F48" s="133"/>
      <c r="G48" s="133">
        <v>188.285</v>
      </c>
      <c r="H48" s="125">
        <f t="shared" si="3"/>
        <v>188.285</v>
      </c>
      <c r="I48" s="133">
        <v>188.285</v>
      </c>
      <c r="J48" s="125">
        <f t="shared" si="1"/>
        <v>188.285</v>
      </c>
      <c r="K48" s="133">
        <v>188.285</v>
      </c>
      <c r="L48" s="157" t="s">
        <v>1340</v>
      </c>
      <c r="M48" s="145"/>
      <c r="N48" s="123" t="s">
        <v>1252</v>
      </c>
      <c r="O48" s="146" t="s">
        <v>1247</v>
      </c>
      <c r="P48" s="145">
        <v>2120802</v>
      </c>
    </row>
    <row r="49" s="113" customFormat="1" ht="28" customHeight="1" spans="1:16">
      <c r="A49" s="123">
        <v>43</v>
      </c>
      <c r="B49" s="123" t="s">
        <v>1242</v>
      </c>
      <c r="C49" s="123" t="s">
        <v>1243</v>
      </c>
      <c r="D49" s="134" t="s">
        <v>1341</v>
      </c>
      <c r="E49" s="133"/>
      <c r="F49" s="133"/>
      <c r="G49" s="133">
        <v>29.61</v>
      </c>
      <c r="H49" s="125">
        <f t="shared" si="3"/>
        <v>29.61</v>
      </c>
      <c r="I49" s="133">
        <v>0</v>
      </c>
      <c r="J49" s="125">
        <f t="shared" si="1"/>
        <v>29.61</v>
      </c>
      <c r="K49" s="133">
        <v>29.61</v>
      </c>
      <c r="L49" s="157" t="s">
        <v>1342</v>
      </c>
      <c r="M49" s="145"/>
      <c r="N49" s="123" t="s">
        <v>1252</v>
      </c>
      <c r="O49" s="146" t="s">
        <v>1247</v>
      </c>
      <c r="P49" s="145" t="s">
        <v>1343</v>
      </c>
    </row>
    <row r="50" s="113" customFormat="1" ht="28" customHeight="1" spans="1:16">
      <c r="A50" s="123">
        <v>44</v>
      </c>
      <c r="B50" s="123" t="s">
        <v>1242</v>
      </c>
      <c r="C50" s="123" t="s">
        <v>1243</v>
      </c>
      <c r="D50" s="134" t="s">
        <v>1344</v>
      </c>
      <c r="E50" s="133"/>
      <c r="F50" s="133"/>
      <c r="G50" s="133">
        <v>65</v>
      </c>
      <c r="H50" s="133">
        <f t="shared" si="3"/>
        <v>65</v>
      </c>
      <c r="I50" s="133">
        <v>0</v>
      </c>
      <c r="J50" s="125">
        <f t="shared" si="1"/>
        <v>65</v>
      </c>
      <c r="K50" s="133">
        <v>65</v>
      </c>
      <c r="L50" s="157" t="s">
        <v>1345</v>
      </c>
      <c r="M50" s="145"/>
      <c r="N50" s="123" t="s">
        <v>1252</v>
      </c>
      <c r="O50" s="146" t="s">
        <v>1247</v>
      </c>
      <c r="P50" s="145">
        <v>2120801</v>
      </c>
    </row>
    <row r="51" s="113" customFormat="1" ht="28" customHeight="1" spans="1:16">
      <c r="A51" s="123">
        <v>45</v>
      </c>
      <c r="B51" s="123" t="s">
        <v>1242</v>
      </c>
      <c r="C51" s="123" t="s">
        <v>1346</v>
      </c>
      <c r="D51" s="134" t="s">
        <v>1347</v>
      </c>
      <c r="E51" s="133"/>
      <c r="F51" s="133"/>
      <c r="G51" s="133">
        <v>53.3568</v>
      </c>
      <c r="H51" s="133">
        <f t="shared" si="3"/>
        <v>53.3568</v>
      </c>
      <c r="I51" s="133">
        <v>0</v>
      </c>
      <c r="J51" s="125">
        <f t="shared" si="1"/>
        <v>53.3568</v>
      </c>
      <c r="K51" s="133">
        <v>53.3568</v>
      </c>
      <c r="L51" s="157" t="s">
        <v>1348</v>
      </c>
      <c r="M51" s="145"/>
      <c r="N51" s="123" t="s">
        <v>1252</v>
      </c>
      <c r="O51" s="146" t="s">
        <v>1247</v>
      </c>
      <c r="P51" s="145">
        <v>2120801</v>
      </c>
    </row>
    <row r="52" s="113" customFormat="1" ht="28" customHeight="1" spans="1:16">
      <c r="A52" s="123">
        <v>46</v>
      </c>
      <c r="B52" s="123" t="s">
        <v>1242</v>
      </c>
      <c r="C52" s="123" t="s">
        <v>1349</v>
      </c>
      <c r="D52" s="135" t="s">
        <v>1350</v>
      </c>
      <c r="E52" s="133"/>
      <c r="F52" s="133"/>
      <c r="G52" s="133">
        <v>577</v>
      </c>
      <c r="H52" s="133">
        <f t="shared" si="3"/>
        <v>577</v>
      </c>
      <c r="I52" s="133">
        <v>0</v>
      </c>
      <c r="J52" s="125">
        <f t="shared" si="1"/>
        <v>577</v>
      </c>
      <c r="K52" s="133">
        <v>577</v>
      </c>
      <c r="L52" s="158"/>
      <c r="M52" s="145"/>
      <c r="N52" s="123" t="s">
        <v>1252</v>
      </c>
      <c r="O52" s="146" t="s">
        <v>1247</v>
      </c>
      <c r="P52" s="145">
        <v>2120801</v>
      </c>
    </row>
    <row r="53" s="113" customFormat="1" ht="28" customHeight="1" spans="1:16">
      <c r="A53" s="123">
        <v>47</v>
      </c>
      <c r="B53" s="123" t="s">
        <v>628</v>
      </c>
      <c r="C53" s="123" t="s">
        <v>1303</v>
      </c>
      <c r="D53" s="134" t="s">
        <v>1351</v>
      </c>
      <c r="E53" s="133"/>
      <c r="F53" s="133"/>
      <c r="G53" s="133">
        <v>17499.32</v>
      </c>
      <c r="H53" s="133">
        <f t="shared" si="3"/>
        <v>17499.32</v>
      </c>
      <c r="I53" s="133">
        <v>0</v>
      </c>
      <c r="J53" s="125">
        <f t="shared" si="1"/>
        <v>4602</v>
      </c>
      <c r="K53" s="133">
        <v>4602</v>
      </c>
      <c r="L53" s="157"/>
      <c r="M53" s="145"/>
      <c r="N53" s="123" t="s">
        <v>1252</v>
      </c>
      <c r="O53" s="146" t="s">
        <v>1247</v>
      </c>
      <c r="P53" s="145">
        <v>2120801</v>
      </c>
    </row>
    <row r="54" s="113" customFormat="1" ht="28" customHeight="1" spans="1:16">
      <c r="A54" s="123">
        <v>48</v>
      </c>
      <c r="B54" s="123" t="s">
        <v>628</v>
      </c>
      <c r="C54" s="123" t="s">
        <v>1303</v>
      </c>
      <c r="D54" s="134" t="s">
        <v>1352</v>
      </c>
      <c r="E54" s="133"/>
      <c r="F54" s="133"/>
      <c r="G54" s="133">
        <v>283.81</v>
      </c>
      <c r="H54" s="133">
        <f t="shared" si="3"/>
        <v>283.81</v>
      </c>
      <c r="I54" s="133">
        <v>0</v>
      </c>
      <c r="J54" s="125">
        <f t="shared" si="1"/>
        <v>283.81</v>
      </c>
      <c r="K54" s="133">
        <v>283.81</v>
      </c>
      <c r="L54" s="157" t="s">
        <v>1353</v>
      </c>
      <c r="M54" s="145"/>
      <c r="N54" s="123" t="s">
        <v>1252</v>
      </c>
      <c r="O54" s="146" t="s">
        <v>1247</v>
      </c>
      <c r="P54" s="145">
        <v>2120802</v>
      </c>
    </row>
    <row r="55" s="113" customFormat="1" ht="28" customHeight="1" spans="1:16">
      <c r="A55" s="123">
        <v>49</v>
      </c>
      <c r="B55" s="123" t="s">
        <v>628</v>
      </c>
      <c r="C55" s="123" t="s">
        <v>1303</v>
      </c>
      <c r="D55" s="134" t="s">
        <v>1354</v>
      </c>
      <c r="E55" s="133"/>
      <c r="F55" s="133"/>
      <c r="G55" s="133">
        <v>31.51</v>
      </c>
      <c r="H55" s="133">
        <f t="shared" si="3"/>
        <v>31.51</v>
      </c>
      <c r="I55" s="133">
        <v>0</v>
      </c>
      <c r="J55" s="125">
        <f t="shared" si="1"/>
        <v>31.51</v>
      </c>
      <c r="K55" s="133">
        <v>31.51</v>
      </c>
      <c r="L55" s="157" t="s">
        <v>1355</v>
      </c>
      <c r="M55" s="145"/>
      <c r="N55" s="123" t="s">
        <v>1252</v>
      </c>
      <c r="O55" s="146" t="s">
        <v>1247</v>
      </c>
      <c r="P55" s="145">
        <v>2120801</v>
      </c>
    </row>
    <row r="56" s="113" customFormat="1" ht="28" customHeight="1" spans="1:16">
      <c r="A56" s="123">
        <v>50</v>
      </c>
      <c r="B56" s="123" t="s">
        <v>628</v>
      </c>
      <c r="C56" s="123" t="s">
        <v>1303</v>
      </c>
      <c r="D56" s="134" t="s">
        <v>1356</v>
      </c>
      <c r="E56" s="133"/>
      <c r="F56" s="133"/>
      <c r="G56" s="133">
        <v>2141.1</v>
      </c>
      <c r="H56" s="133">
        <v>2141.1</v>
      </c>
      <c r="I56" s="133">
        <v>0</v>
      </c>
      <c r="J56" s="125">
        <f t="shared" si="1"/>
        <v>2141.1</v>
      </c>
      <c r="K56" s="133">
        <v>2141.1</v>
      </c>
      <c r="L56" s="157" t="s">
        <v>1357</v>
      </c>
      <c r="M56" s="145"/>
      <c r="N56" s="123" t="s">
        <v>1252</v>
      </c>
      <c r="O56" s="146" t="s">
        <v>1247</v>
      </c>
      <c r="P56" s="145">
        <v>2120802</v>
      </c>
    </row>
    <row r="57" s="113" customFormat="1" ht="28" customHeight="1" spans="1:16">
      <c r="A57" s="123">
        <v>51</v>
      </c>
      <c r="B57" s="136" t="s">
        <v>530</v>
      </c>
      <c r="C57" s="130" t="s">
        <v>1358</v>
      </c>
      <c r="D57" s="124" t="s">
        <v>1359</v>
      </c>
      <c r="E57" s="125">
        <v>172.14</v>
      </c>
      <c r="F57" s="125">
        <v>172.14</v>
      </c>
      <c r="G57" s="125"/>
      <c r="H57" s="125">
        <f t="shared" ref="H57:H71" si="4">F57+G57</f>
        <v>172.14</v>
      </c>
      <c r="I57" s="125">
        <v>77</v>
      </c>
      <c r="J57" s="125">
        <f t="shared" si="1"/>
        <v>0</v>
      </c>
      <c r="K57" s="125">
        <v>172.14</v>
      </c>
      <c r="L57" s="156"/>
      <c r="M57" s="145"/>
      <c r="N57" s="123" t="s">
        <v>1252</v>
      </c>
      <c r="O57" s="146" t="s">
        <v>1247</v>
      </c>
      <c r="P57" s="145">
        <v>2120805</v>
      </c>
    </row>
    <row r="58" s="113" customFormat="1" ht="28" customHeight="1" spans="1:16">
      <c r="A58" s="127" t="s">
        <v>1360</v>
      </c>
      <c r="B58" s="127"/>
      <c r="C58" s="127"/>
      <c r="D58" s="128"/>
      <c r="E58" s="129">
        <f t="shared" ref="E58:I58" si="5">SUM(E9:E57)</f>
        <v>55796.13</v>
      </c>
      <c r="F58" s="129">
        <f t="shared" si="5"/>
        <v>45220.37</v>
      </c>
      <c r="G58" s="129">
        <f t="shared" si="5"/>
        <v>27773.367945</v>
      </c>
      <c r="H58" s="129">
        <f t="shared" si="5"/>
        <v>72293.737945</v>
      </c>
      <c r="I58" s="129">
        <f t="shared" si="5"/>
        <v>15352.099076</v>
      </c>
      <c r="J58" s="129">
        <f t="shared" si="1"/>
        <v>-9409.42265500001</v>
      </c>
      <c r="K58" s="129">
        <f>SUM(K9:K57)</f>
        <v>35810.947345</v>
      </c>
      <c r="L58" s="147"/>
      <c r="M58" s="148"/>
      <c r="N58" s="127"/>
      <c r="O58" s="149"/>
      <c r="P58" s="145"/>
    </row>
    <row r="59" s="114" customFormat="1" ht="28" customHeight="1" spans="1:16">
      <c r="A59" s="123">
        <v>52</v>
      </c>
      <c r="B59" s="123" t="s">
        <v>1242</v>
      </c>
      <c r="C59" s="123" t="s">
        <v>1305</v>
      </c>
      <c r="D59" s="124" t="s">
        <v>1361</v>
      </c>
      <c r="E59" s="125">
        <v>403.58</v>
      </c>
      <c r="F59" s="125">
        <v>403.58</v>
      </c>
      <c r="G59" s="125"/>
      <c r="H59" s="125">
        <f t="shared" si="4"/>
        <v>403.58</v>
      </c>
      <c r="I59" s="125">
        <v>375.589923</v>
      </c>
      <c r="J59" s="125">
        <f t="shared" si="1"/>
        <v>0</v>
      </c>
      <c r="K59" s="125">
        <v>403.58</v>
      </c>
      <c r="L59" s="124" t="s">
        <v>1362</v>
      </c>
      <c r="M59" s="145" t="s">
        <v>1362</v>
      </c>
      <c r="N59" s="123" t="s">
        <v>1363</v>
      </c>
      <c r="O59" s="146" t="s">
        <v>1247</v>
      </c>
      <c r="P59" s="145">
        <v>2120802</v>
      </c>
    </row>
    <row r="60" s="113" customFormat="1" ht="28" customHeight="1" spans="1:16">
      <c r="A60" s="123">
        <v>53</v>
      </c>
      <c r="B60" s="123" t="s">
        <v>1242</v>
      </c>
      <c r="C60" s="123" t="s">
        <v>1305</v>
      </c>
      <c r="D60" s="134" t="s">
        <v>1364</v>
      </c>
      <c r="E60" s="133"/>
      <c r="F60" s="133"/>
      <c r="G60" s="133">
        <v>400</v>
      </c>
      <c r="H60" s="133">
        <f t="shared" si="4"/>
        <v>400</v>
      </c>
      <c r="I60" s="133">
        <v>0</v>
      </c>
      <c r="J60" s="125">
        <f t="shared" si="1"/>
        <v>400</v>
      </c>
      <c r="K60" s="133">
        <v>400</v>
      </c>
      <c r="L60" s="157" t="s">
        <v>1365</v>
      </c>
      <c r="M60" s="145"/>
      <c r="N60" s="123" t="s">
        <v>1363</v>
      </c>
      <c r="O60" s="146" t="s">
        <v>1247</v>
      </c>
      <c r="P60" s="145">
        <v>2120802</v>
      </c>
    </row>
    <row r="61" s="113" customFormat="1" ht="28" customHeight="1" spans="1:16">
      <c r="A61" s="123">
        <v>54</v>
      </c>
      <c r="B61" s="123" t="s">
        <v>540</v>
      </c>
      <c r="C61" s="123" t="s">
        <v>1305</v>
      </c>
      <c r="D61" s="124" t="s">
        <v>1366</v>
      </c>
      <c r="E61" s="125">
        <v>35000</v>
      </c>
      <c r="F61" s="125">
        <v>35000</v>
      </c>
      <c r="G61" s="125">
        <v>-9000</v>
      </c>
      <c r="H61" s="125">
        <f t="shared" si="4"/>
        <v>26000</v>
      </c>
      <c r="I61" s="125">
        <v>26000</v>
      </c>
      <c r="J61" s="125">
        <f t="shared" si="1"/>
        <v>-12420</v>
      </c>
      <c r="K61" s="125">
        <f>26000-3420</f>
        <v>22580</v>
      </c>
      <c r="L61" s="156" t="s">
        <v>1367</v>
      </c>
      <c r="M61" s="145" t="s">
        <v>1368</v>
      </c>
      <c r="N61" s="123" t="s">
        <v>1363</v>
      </c>
      <c r="O61" s="146" t="s">
        <v>1247</v>
      </c>
      <c r="P61" s="145">
        <v>2120802</v>
      </c>
    </row>
    <row r="62" s="113" customFormat="1" ht="28" customHeight="1" spans="1:16">
      <c r="A62" s="123">
        <v>55</v>
      </c>
      <c r="B62" s="123" t="s">
        <v>540</v>
      </c>
      <c r="C62" s="123" t="s">
        <v>1305</v>
      </c>
      <c r="D62" s="124" t="s">
        <v>1369</v>
      </c>
      <c r="E62" s="125">
        <v>728.26</v>
      </c>
      <c r="F62" s="125">
        <v>728.26</v>
      </c>
      <c r="G62" s="125"/>
      <c r="H62" s="125">
        <f t="shared" si="4"/>
        <v>728.26</v>
      </c>
      <c r="I62" s="125">
        <v>655.9875</v>
      </c>
      <c r="J62" s="125">
        <f t="shared" si="1"/>
        <v>0</v>
      </c>
      <c r="K62" s="125">
        <v>728.26</v>
      </c>
      <c r="L62" s="156"/>
      <c r="M62" s="145"/>
      <c r="N62" s="123" t="s">
        <v>1363</v>
      </c>
      <c r="O62" s="146" t="s">
        <v>1247</v>
      </c>
      <c r="P62" s="145">
        <v>2120802</v>
      </c>
    </row>
    <row r="63" s="113" customFormat="1" ht="28" customHeight="1" spans="1:16">
      <c r="A63" s="123">
        <v>56</v>
      </c>
      <c r="B63" s="123" t="s">
        <v>540</v>
      </c>
      <c r="C63" s="123" t="s">
        <v>1305</v>
      </c>
      <c r="D63" s="124" t="s">
        <v>1370</v>
      </c>
      <c r="E63" s="125"/>
      <c r="F63" s="125"/>
      <c r="G63" s="125">
        <v>1104.47</v>
      </c>
      <c r="H63" s="125">
        <f t="shared" si="4"/>
        <v>1104.47</v>
      </c>
      <c r="I63" s="125">
        <v>0</v>
      </c>
      <c r="J63" s="125">
        <f t="shared" si="1"/>
        <v>1104.47</v>
      </c>
      <c r="K63" s="125">
        <v>1104.47</v>
      </c>
      <c r="L63" s="156" t="s">
        <v>1371</v>
      </c>
      <c r="M63" s="145"/>
      <c r="N63" s="123" t="s">
        <v>1363</v>
      </c>
      <c r="O63" s="146" t="s">
        <v>1247</v>
      </c>
      <c r="P63" s="145">
        <v>2120802</v>
      </c>
    </row>
    <row r="64" s="113" customFormat="1" ht="28" customHeight="1" spans="1:16">
      <c r="A64" s="123">
        <v>57</v>
      </c>
      <c r="B64" s="123" t="s">
        <v>540</v>
      </c>
      <c r="C64" s="123" t="s">
        <v>1305</v>
      </c>
      <c r="D64" s="124" t="s">
        <v>1372</v>
      </c>
      <c r="E64" s="125"/>
      <c r="F64" s="125"/>
      <c r="G64" s="125">
        <v>9051.23</v>
      </c>
      <c r="H64" s="125">
        <f t="shared" si="4"/>
        <v>9051.23</v>
      </c>
      <c r="I64" s="125">
        <v>0</v>
      </c>
      <c r="J64" s="125">
        <f t="shared" si="1"/>
        <v>5000</v>
      </c>
      <c r="K64" s="125">
        <v>5000</v>
      </c>
      <c r="L64" s="156" t="s">
        <v>1373</v>
      </c>
      <c r="M64" s="145"/>
      <c r="N64" s="123" t="s">
        <v>1363</v>
      </c>
      <c r="O64" s="146" t="s">
        <v>1247</v>
      </c>
      <c r="P64" s="145">
        <v>2120802</v>
      </c>
    </row>
    <row r="65" s="113" customFormat="1" ht="28" customHeight="1" spans="1:16">
      <c r="A65" s="123">
        <v>58</v>
      </c>
      <c r="B65" s="123" t="s">
        <v>540</v>
      </c>
      <c r="C65" s="123" t="s">
        <v>1305</v>
      </c>
      <c r="D65" s="124" t="s">
        <v>1374</v>
      </c>
      <c r="E65" s="125"/>
      <c r="F65" s="125"/>
      <c r="G65" s="125">
        <v>208.29</v>
      </c>
      <c r="H65" s="125">
        <f t="shared" si="4"/>
        <v>208.29</v>
      </c>
      <c r="I65" s="125">
        <v>0</v>
      </c>
      <c r="J65" s="125">
        <f t="shared" si="1"/>
        <v>208.29</v>
      </c>
      <c r="K65" s="125">
        <v>208.29</v>
      </c>
      <c r="L65" s="156" t="s">
        <v>1375</v>
      </c>
      <c r="M65" s="145"/>
      <c r="N65" s="123" t="s">
        <v>1363</v>
      </c>
      <c r="O65" s="146" t="s">
        <v>1247</v>
      </c>
      <c r="P65" s="145">
        <v>2120802</v>
      </c>
    </row>
    <row r="66" s="114" customFormat="1" ht="28" customHeight="1" spans="1:16">
      <c r="A66" s="123">
        <v>59</v>
      </c>
      <c r="B66" s="123" t="s">
        <v>1242</v>
      </c>
      <c r="C66" s="123" t="s">
        <v>522</v>
      </c>
      <c r="D66" s="124" t="s">
        <v>1376</v>
      </c>
      <c r="E66" s="125">
        <v>32</v>
      </c>
      <c r="F66" s="125">
        <v>32</v>
      </c>
      <c r="G66" s="125"/>
      <c r="H66" s="125">
        <f t="shared" si="4"/>
        <v>32</v>
      </c>
      <c r="I66" s="125">
        <v>0</v>
      </c>
      <c r="J66" s="125">
        <f t="shared" si="1"/>
        <v>0</v>
      </c>
      <c r="K66" s="125">
        <v>32</v>
      </c>
      <c r="L66" s="156"/>
      <c r="M66" s="145"/>
      <c r="N66" s="123" t="s">
        <v>1363</v>
      </c>
      <c r="O66" s="146" t="s">
        <v>1247</v>
      </c>
      <c r="P66" s="145">
        <v>2120802</v>
      </c>
    </row>
    <row r="67" s="114" customFormat="1" ht="28" customHeight="1" spans="1:16">
      <c r="A67" s="123">
        <v>60</v>
      </c>
      <c r="B67" s="123" t="s">
        <v>1242</v>
      </c>
      <c r="C67" s="123" t="s">
        <v>522</v>
      </c>
      <c r="D67" s="124" t="s">
        <v>1377</v>
      </c>
      <c r="E67" s="125">
        <v>1286</v>
      </c>
      <c r="F67" s="125">
        <v>500</v>
      </c>
      <c r="G67" s="125"/>
      <c r="H67" s="125">
        <f t="shared" si="4"/>
        <v>500</v>
      </c>
      <c r="I67" s="125">
        <v>374.134093</v>
      </c>
      <c r="J67" s="125">
        <f t="shared" si="1"/>
        <v>0</v>
      </c>
      <c r="K67" s="125">
        <v>500</v>
      </c>
      <c r="L67" s="156"/>
      <c r="M67" s="145"/>
      <c r="N67" s="123" t="s">
        <v>1363</v>
      </c>
      <c r="O67" s="146" t="s">
        <v>1247</v>
      </c>
      <c r="P67" s="145">
        <v>2120802</v>
      </c>
    </row>
    <row r="68" s="114" customFormat="1" ht="28" customHeight="1" spans="1:16">
      <c r="A68" s="123">
        <v>61</v>
      </c>
      <c r="B68" s="123" t="s">
        <v>1242</v>
      </c>
      <c r="C68" s="123" t="s">
        <v>522</v>
      </c>
      <c r="D68" s="124" t="s">
        <v>1378</v>
      </c>
      <c r="E68" s="125">
        <v>78</v>
      </c>
      <c r="F68" s="125">
        <v>78</v>
      </c>
      <c r="G68" s="125"/>
      <c r="H68" s="125">
        <f t="shared" si="4"/>
        <v>78</v>
      </c>
      <c r="I68" s="125">
        <v>41.819373</v>
      </c>
      <c r="J68" s="125">
        <f t="shared" si="1"/>
        <v>0</v>
      </c>
      <c r="K68" s="125">
        <v>78</v>
      </c>
      <c r="L68" s="156"/>
      <c r="M68" s="145"/>
      <c r="N68" s="123" t="s">
        <v>1363</v>
      </c>
      <c r="O68" s="146" t="s">
        <v>1247</v>
      </c>
      <c r="P68" s="145">
        <v>2120802</v>
      </c>
    </row>
    <row r="69" s="114" customFormat="1" ht="28" customHeight="1" spans="1:16">
      <c r="A69" s="123">
        <v>62</v>
      </c>
      <c r="B69" s="123" t="s">
        <v>1242</v>
      </c>
      <c r="C69" s="123" t="s">
        <v>522</v>
      </c>
      <c r="D69" s="124" t="s">
        <v>1379</v>
      </c>
      <c r="E69" s="125">
        <v>18</v>
      </c>
      <c r="F69" s="125">
        <v>18</v>
      </c>
      <c r="G69" s="125"/>
      <c r="H69" s="125">
        <f t="shared" si="4"/>
        <v>18</v>
      </c>
      <c r="I69" s="125">
        <v>11.950911</v>
      </c>
      <c r="J69" s="125">
        <f t="shared" si="1"/>
        <v>0</v>
      </c>
      <c r="K69" s="125">
        <v>18</v>
      </c>
      <c r="L69" s="156"/>
      <c r="M69" s="145"/>
      <c r="N69" s="123" t="s">
        <v>1363</v>
      </c>
      <c r="O69" s="146" t="s">
        <v>1247</v>
      </c>
      <c r="P69" s="145">
        <v>2120802</v>
      </c>
    </row>
    <row r="70" s="114" customFormat="1" ht="28" customHeight="1" spans="1:16">
      <c r="A70" s="123">
        <v>63</v>
      </c>
      <c r="B70" s="123" t="s">
        <v>1242</v>
      </c>
      <c r="C70" s="123" t="s">
        <v>522</v>
      </c>
      <c r="D70" s="124" t="s">
        <v>1380</v>
      </c>
      <c r="E70" s="125">
        <v>42</v>
      </c>
      <c r="F70" s="125">
        <v>42</v>
      </c>
      <c r="G70" s="125"/>
      <c r="H70" s="125">
        <f t="shared" si="4"/>
        <v>42</v>
      </c>
      <c r="I70" s="125">
        <v>21.561048</v>
      </c>
      <c r="J70" s="125">
        <f t="shared" ref="J70:J133" si="6">K70-F70</f>
        <v>0</v>
      </c>
      <c r="K70" s="125">
        <v>42</v>
      </c>
      <c r="L70" s="156"/>
      <c r="M70" s="145"/>
      <c r="N70" s="123" t="s">
        <v>1363</v>
      </c>
      <c r="O70" s="146" t="s">
        <v>1247</v>
      </c>
      <c r="P70" s="145">
        <v>2120802</v>
      </c>
    </row>
    <row r="71" s="114" customFormat="1" ht="28" customHeight="1" spans="1:16">
      <c r="A71" s="123">
        <v>64</v>
      </c>
      <c r="B71" s="123" t="s">
        <v>1242</v>
      </c>
      <c r="C71" s="123" t="s">
        <v>522</v>
      </c>
      <c r="D71" s="124" t="s">
        <v>1381</v>
      </c>
      <c r="E71" s="125">
        <v>26</v>
      </c>
      <c r="F71" s="125">
        <v>26</v>
      </c>
      <c r="G71" s="125"/>
      <c r="H71" s="125">
        <f t="shared" si="4"/>
        <v>26</v>
      </c>
      <c r="I71" s="125">
        <v>0</v>
      </c>
      <c r="J71" s="125">
        <f t="shared" si="6"/>
        <v>0</v>
      </c>
      <c r="K71" s="125">
        <v>26</v>
      </c>
      <c r="L71" s="156"/>
      <c r="M71" s="145"/>
      <c r="N71" s="123" t="s">
        <v>1363</v>
      </c>
      <c r="O71" s="146" t="s">
        <v>1247</v>
      </c>
      <c r="P71" s="145">
        <v>2120802</v>
      </c>
    </row>
    <row r="72" s="114" customFormat="1" ht="28" customHeight="1" spans="1:16">
      <c r="A72" s="127" t="s">
        <v>1382</v>
      </c>
      <c r="B72" s="127"/>
      <c r="C72" s="127"/>
      <c r="D72" s="128"/>
      <c r="E72" s="129">
        <f t="shared" ref="E72:I72" si="7">SUM(E59:E71)</f>
        <v>37613.84</v>
      </c>
      <c r="F72" s="129">
        <f t="shared" si="7"/>
        <v>36827.84</v>
      </c>
      <c r="G72" s="129">
        <f t="shared" si="7"/>
        <v>1763.99</v>
      </c>
      <c r="H72" s="129">
        <f t="shared" si="7"/>
        <v>38591.83</v>
      </c>
      <c r="I72" s="129">
        <f t="shared" si="7"/>
        <v>27481.042848</v>
      </c>
      <c r="J72" s="129">
        <f t="shared" si="6"/>
        <v>-5707.24</v>
      </c>
      <c r="K72" s="129">
        <f>SUM(K59:K71)</f>
        <v>31120.6</v>
      </c>
      <c r="L72" s="147"/>
      <c r="M72" s="148"/>
      <c r="N72" s="127"/>
      <c r="O72" s="149"/>
      <c r="P72" s="145"/>
    </row>
    <row r="73" s="114" customFormat="1" ht="28" customHeight="1" spans="1:16">
      <c r="A73" s="123">
        <v>65</v>
      </c>
      <c r="B73" s="123" t="s">
        <v>1242</v>
      </c>
      <c r="C73" s="123" t="s">
        <v>1383</v>
      </c>
      <c r="D73" s="124" t="s">
        <v>1384</v>
      </c>
      <c r="E73" s="125">
        <v>2000</v>
      </c>
      <c r="F73" s="125">
        <v>1000</v>
      </c>
      <c r="G73" s="125"/>
      <c r="H73" s="125">
        <f t="shared" ref="H73:H77" si="8">F73+G73</f>
        <v>1000</v>
      </c>
      <c r="I73" s="125">
        <v>1000</v>
      </c>
      <c r="J73" s="125">
        <f t="shared" si="6"/>
        <v>0</v>
      </c>
      <c r="K73" s="125">
        <v>1000</v>
      </c>
      <c r="L73" s="156"/>
      <c r="M73" s="145" t="s">
        <v>1385</v>
      </c>
      <c r="N73" s="123" t="s">
        <v>1386</v>
      </c>
      <c r="O73" s="146" t="s">
        <v>1247</v>
      </c>
      <c r="P73" s="145" t="s">
        <v>1387</v>
      </c>
    </row>
    <row r="74" s="114" customFormat="1" ht="28" customHeight="1" spans="1:16">
      <c r="A74" s="123">
        <v>66</v>
      </c>
      <c r="B74" s="123" t="s">
        <v>1242</v>
      </c>
      <c r="C74" s="123" t="s">
        <v>1317</v>
      </c>
      <c r="D74" s="124" t="s">
        <v>1388</v>
      </c>
      <c r="E74" s="125">
        <v>893.61</v>
      </c>
      <c r="F74" s="125">
        <v>893.61</v>
      </c>
      <c r="G74" s="125"/>
      <c r="H74" s="125">
        <f t="shared" si="8"/>
        <v>893.61</v>
      </c>
      <c r="I74" s="125">
        <v>893.600007</v>
      </c>
      <c r="J74" s="125">
        <f t="shared" si="6"/>
        <v>0</v>
      </c>
      <c r="K74" s="125">
        <v>893.61</v>
      </c>
      <c r="L74" s="156" t="s">
        <v>1289</v>
      </c>
      <c r="M74" s="145"/>
      <c r="N74" s="123" t="s">
        <v>1386</v>
      </c>
      <c r="O74" s="146" t="s">
        <v>1247</v>
      </c>
      <c r="P74" s="145">
        <v>2120803</v>
      </c>
    </row>
    <row r="75" s="113" customFormat="1" ht="28" customHeight="1" spans="1:16">
      <c r="A75" s="123">
        <v>67</v>
      </c>
      <c r="B75" s="123" t="s">
        <v>536</v>
      </c>
      <c r="C75" s="123" t="s">
        <v>1389</v>
      </c>
      <c r="D75" s="124" t="s">
        <v>1390</v>
      </c>
      <c r="E75" s="125"/>
      <c r="F75" s="125"/>
      <c r="G75" s="125">
        <v>355.31</v>
      </c>
      <c r="H75" s="125">
        <f t="shared" si="8"/>
        <v>355.31</v>
      </c>
      <c r="I75" s="125">
        <v>114.03</v>
      </c>
      <c r="J75" s="125">
        <f t="shared" si="6"/>
        <v>355.31</v>
      </c>
      <c r="K75" s="125">
        <v>355.31</v>
      </c>
      <c r="L75" s="156" t="s">
        <v>1391</v>
      </c>
      <c r="M75" s="145" t="s">
        <v>1392</v>
      </c>
      <c r="N75" s="123" t="s">
        <v>1386</v>
      </c>
      <c r="O75" s="146" t="s">
        <v>1247</v>
      </c>
      <c r="P75" s="145">
        <v>2120803</v>
      </c>
    </row>
    <row r="76" s="113" customFormat="1" ht="28" customHeight="1" spans="1:16">
      <c r="A76" s="123">
        <v>68</v>
      </c>
      <c r="B76" s="123" t="s">
        <v>540</v>
      </c>
      <c r="C76" s="123" t="s">
        <v>1305</v>
      </c>
      <c r="D76" s="124" t="s">
        <v>1393</v>
      </c>
      <c r="E76" s="125">
        <v>117.97</v>
      </c>
      <c r="F76" s="125">
        <v>117.97</v>
      </c>
      <c r="G76" s="125"/>
      <c r="H76" s="125">
        <f t="shared" si="8"/>
        <v>117.97</v>
      </c>
      <c r="I76" s="125">
        <v>0</v>
      </c>
      <c r="J76" s="125">
        <f t="shared" si="6"/>
        <v>0</v>
      </c>
      <c r="K76" s="125">
        <v>117.97</v>
      </c>
      <c r="L76" s="156" t="s">
        <v>1394</v>
      </c>
      <c r="M76" s="145" t="s">
        <v>1395</v>
      </c>
      <c r="N76" s="123" t="s">
        <v>1386</v>
      </c>
      <c r="O76" s="146" t="s">
        <v>1247</v>
      </c>
      <c r="P76" s="145">
        <v>2120803</v>
      </c>
    </row>
    <row r="77" s="113" customFormat="1" ht="28" customHeight="1" spans="1:16">
      <c r="A77" s="123">
        <v>69</v>
      </c>
      <c r="B77" s="123" t="s">
        <v>540</v>
      </c>
      <c r="C77" s="123" t="s">
        <v>1305</v>
      </c>
      <c r="D77" s="124" t="s">
        <v>1396</v>
      </c>
      <c r="E77" s="125">
        <v>55.96</v>
      </c>
      <c r="F77" s="125">
        <v>55.96</v>
      </c>
      <c r="G77" s="125"/>
      <c r="H77" s="125">
        <f t="shared" si="8"/>
        <v>55.96</v>
      </c>
      <c r="I77" s="125">
        <v>0</v>
      </c>
      <c r="J77" s="125">
        <f t="shared" si="6"/>
        <v>0</v>
      </c>
      <c r="K77" s="125">
        <v>55.96</v>
      </c>
      <c r="L77" s="156"/>
      <c r="M77" s="145" t="s">
        <v>1397</v>
      </c>
      <c r="N77" s="123" t="s">
        <v>1386</v>
      </c>
      <c r="O77" s="146" t="s">
        <v>1247</v>
      </c>
      <c r="P77" s="145">
        <v>2120803</v>
      </c>
    </row>
    <row r="78" s="113" customFormat="1" ht="28" customHeight="1" spans="1:16">
      <c r="A78" s="123">
        <v>70</v>
      </c>
      <c r="B78" s="123" t="s">
        <v>540</v>
      </c>
      <c r="C78" s="123" t="s">
        <v>522</v>
      </c>
      <c r="D78" s="124" t="s">
        <v>1398</v>
      </c>
      <c r="E78" s="125">
        <v>145.27</v>
      </c>
      <c r="F78" s="125">
        <v>145.27</v>
      </c>
      <c r="G78" s="125"/>
      <c r="H78" s="125">
        <v>145.27</v>
      </c>
      <c r="I78" s="125">
        <v>87.23</v>
      </c>
      <c r="J78" s="125">
        <f t="shared" si="6"/>
        <v>0</v>
      </c>
      <c r="K78" s="125">
        <v>145.27</v>
      </c>
      <c r="L78" s="156"/>
      <c r="M78" s="145" t="s">
        <v>631</v>
      </c>
      <c r="N78" s="123" t="s">
        <v>1386</v>
      </c>
      <c r="O78" s="146" t="s">
        <v>1247</v>
      </c>
      <c r="P78" s="145">
        <v>2120803</v>
      </c>
    </row>
    <row r="79" s="113" customFormat="1" ht="28" customHeight="1" spans="1:16">
      <c r="A79" s="123">
        <v>71</v>
      </c>
      <c r="B79" s="123" t="s">
        <v>696</v>
      </c>
      <c r="C79" s="123" t="s">
        <v>522</v>
      </c>
      <c r="D79" s="124" t="s">
        <v>1399</v>
      </c>
      <c r="E79" s="125">
        <v>500</v>
      </c>
      <c r="F79" s="125">
        <v>200</v>
      </c>
      <c r="G79" s="125">
        <v>300</v>
      </c>
      <c r="H79" s="125">
        <f t="shared" ref="H79:H96" si="9">F79+G79</f>
        <v>500</v>
      </c>
      <c r="I79" s="125">
        <v>76.703344</v>
      </c>
      <c r="J79" s="125">
        <f t="shared" si="6"/>
        <v>0</v>
      </c>
      <c r="K79" s="125">
        <v>200</v>
      </c>
      <c r="L79" s="156" t="s">
        <v>1400</v>
      </c>
      <c r="M79" s="145"/>
      <c r="N79" s="123" t="s">
        <v>1386</v>
      </c>
      <c r="O79" s="146" t="s">
        <v>1247</v>
      </c>
      <c r="P79" s="145">
        <v>2120803</v>
      </c>
    </row>
    <row r="80" s="113" customFormat="1" ht="28" customHeight="1" spans="1:16">
      <c r="A80" s="123">
        <v>72</v>
      </c>
      <c r="B80" s="123" t="s">
        <v>696</v>
      </c>
      <c r="C80" s="123" t="s">
        <v>522</v>
      </c>
      <c r="D80" s="124" t="s">
        <v>1401</v>
      </c>
      <c r="E80" s="125">
        <v>37</v>
      </c>
      <c r="F80" s="125">
        <v>37</v>
      </c>
      <c r="G80" s="125">
        <v>-4.81</v>
      </c>
      <c r="H80" s="125">
        <f>G80+F80</f>
        <v>32.19</v>
      </c>
      <c r="I80" s="125">
        <f>20.034526+12.15751</f>
        <v>32.192036</v>
      </c>
      <c r="J80" s="125">
        <f t="shared" si="6"/>
        <v>-4.807964</v>
      </c>
      <c r="K80" s="125">
        <f>I80</f>
        <v>32.192036</v>
      </c>
      <c r="L80" s="156" t="s">
        <v>1402</v>
      </c>
      <c r="M80" s="145" t="s">
        <v>1403</v>
      </c>
      <c r="N80" s="123" t="s">
        <v>1386</v>
      </c>
      <c r="O80" s="146" t="s">
        <v>1247</v>
      </c>
      <c r="P80" s="145">
        <v>2120803</v>
      </c>
    </row>
    <row r="81" s="113" customFormat="1" ht="28" customHeight="1" spans="1:16">
      <c r="A81" s="123">
        <v>73</v>
      </c>
      <c r="B81" s="123" t="s">
        <v>696</v>
      </c>
      <c r="C81" s="123" t="s">
        <v>522</v>
      </c>
      <c r="D81" s="124" t="s">
        <v>1404</v>
      </c>
      <c r="E81" s="125"/>
      <c r="F81" s="125"/>
      <c r="G81" s="125">
        <v>150</v>
      </c>
      <c r="H81" s="125">
        <f t="shared" si="9"/>
        <v>150</v>
      </c>
      <c r="I81" s="125">
        <v>0</v>
      </c>
      <c r="J81" s="125">
        <f t="shared" si="6"/>
        <v>150</v>
      </c>
      <c r="K81" s="125">
        <v>150</v>
      </c>
      <c r="L81" s="156" t="s">
        <v>1405</v>
      </c>
      <c r="M81" s="145"/>
      <c r="N81" s="123" t="s">
        <v>1386</v>
      </c>
      <c r="O81" s="146" t="s">
        <v>1247</v>
      </c>
      <c r="P81" s="145">
        <v>2120803</v>
      </c>
    </row>
    <row r="82" s="113" customFormat="1" ht="28" customHeight="1" spans="1:16">
      <c r="A82" s="123">
        <v>74</v>
      </c>
      <c r="B82" s="123" t="s">
        <v>696</v>
      </c>
      <c r="C82" s="123" t="s">
        <v>522</v>
      </c>
      <c r="D82" s="124" t="s">
        <v>1406</v>
      </c>
      <c r="E82" s="125">
        <v>47</v>
      </c>
      <c r="F82" s="125">
        <v>47</v>
      </c>
      <c r="G82" s="125">
        <v>0</v>
      </c>
      <c r="H82" s="125">
        <f t="shared" si="9"/>
        <v>47</v>
      </c>
      <c r="I82" s="125">
        <v>0</v>
      </c>
      <c r="J82" s="125">
        <f t="shared" si="6"/>
        <v>0</v>
      </c>
      <c r="K82" s="125">
        <v>47</v>
      </c>
      <c r="L82" s="156" t="s">
        <v>1407</v>
      </c>
      <c r="M82" s="145" t="s">
        <v>1408</v>
      </c>
      <c r="N82" s="123" t="s">
        <v>1386</v>
      </c>
      <c r="O82" s="146" t="s">
        <v>1247</v>
      </c>
      <c r="P82" s="145">
        <v>2120803</v>
      </c>
    </row>
    <row r="83" s="113" customFormat="1" ht="28" customHeight="1" spans="1:16">
      <c r="A83" s="123">
        <v>75</v>
      </c>
      <c r="B83" s="123" t="s">
        <v>696</v>
      </c>
      <c r="C83" s="123" t="s">
        <v>1409</v>
      </c>
      <c r="D83" s="124" t="s">
        <v>1410</v>
      </c>
      <c r="E83" s="125">
        <v>361.67</v>
      </c>
      <c r="F83" s="125">
        <v>361.67</v>
      </c>
      <c r="G83" s="125">
        <v>0</v>
      </c>
      <c r="H83" s="125">
        <f t="shared" si="9"/>
        <v>361.67</v>
      </c>
      <c r="I83" s="125">
        <f>63.406927+2.6115</f>
        <v>66.018427</v>
      </c>
      <c r="J83" s="125">
        <f t="shared" si="6"/>
        <v>0</v>
      </c>
      <c r="K83" s="125">
        <v>361.67</v>
      </c>
      <c r="L83" s="156"/>
      <c r="M83" s="145" t="s">
        <v>1411</v>
      </c>
      <c r="N83" s="123" t="s">
        <v>1386</v>
      </c>
      <c r="O83" s="146" t="s">
        <v>1247</v>
      </c>
      <c r="P83" s="145">
        <v>2120803</v>
      </c>
    </row>
    <row r="84" s="113" customFormat="1" ht="28" customHeight="1" spans="1:16">
      <c r="A84" s="123">
        <v>76</v>
      </c>
      <c r="B84" s="123" t="s">
        <v>696</v>
      </c>
      <c r="C84" s="123" t="s">
        <v>1409</v>
      </c>
      <c r="D84" s="124" t="s">
        <v>1412</v>
      </c>
      <c r="E84" s="125">
        <v>99.29</v>
      </c>
      <c r="F84" s="125">
        <v>99.29</v>
      </c>
      <c r="G84" s="125">
        <v>0</v>
      </c>
      <c r="H84" s="125">
        <f t="shared" si="9"/>
        <v>99.29</v>
      </c>
      <c r="I84" s="125">
        <v>0</v>
      </c>
      <c r="J84" s="125">
        <f t="shared" si="6"/>
        <v>0</v>
      </c>
      <c r="K84" s="125">
        <v>99.29</v>
      </c>
      <c r="L84" s="156"/>
      <c r="M84" s="145" t="s">
        <v>1413</v>
      </c>
      <c r="N84" s="123" t="s">
        <v>1386</v>
      </c>
      <c r="O84" s="146" t="s">
        <v>1247</v>
      </c>
      <c r="P84" s="145">
        <v>2120803</v>
      </c>
    </row>
    <row r="85" s="113" customFormat="1" ht="28" customHeight="1" spans="1:16">
      <c r="A85" s="123">
        <v>77</v>
      </c>
      <c r="B85" s="123" t="s">
        <v>696</v>
      </c>
      <c r="C85" s="123" t="s">
        <v>1414</v>
      </c>
      <c r="D85" s="124" t="s">
        <v>1415</v>
      </c>
      <c r="E85" s="125">
        <v>75</v>
      </c>
      <c r="F85" s="125">
        <v>100</v>
      </c>
      <c r="G85" s="125">
        <v>0</v>
      </c>
      <c r="H85" s="125">
        <f t="shared" si="9"/>
        <v>100</v>
      </c>
      <c r="I85" s="125">
        <v>3.366696</v>
      </c>
      <c r="J85" s="125">
        <f t="shared" si="6"/>
        <v>0</v>
      </c>
      <c r="K85" s="125">
        <v>100</v>
      </c>
      <c r="L85" s="156"/>
      <c r="M85" s="145"/>
      <c r="N85" s="123" t="s">
        <v>1386</v>
      </c>
      <c r="O85" s="146" t="s">
        <v>1247</v>
      </c>
      <c r="P85" s="145">
        <v>2120803</v>
      </c>
    </row>
    <row r="86" s="113" customFormat="1" ht="28" customHeight="1" spans="1:16">
      <c r="A86" s="123">
        <v>78</v>
      </c>
      <c r="B86" s="123" t="s">
        <v>696</v>
      </c>
      <c r="C86" s="123" t="s">
        <v>1322</v>
      </c>
      <c r="D86" s="124" t="s">
        <v>1416</v>
      </c>
      <c r="E86" s="125">
        <v>400</v>
      </c>
      <c r="F86" s="125">
        <v>300</v>
      </c>
      <c r="G86" s="125">
        <v>0</v>
      </c>
      <c r="H86" s="125">
        <f t="shared" si="9"/>
        <v>300</v>
      </c>
      <c r="I86" s="125">
        <v>98.5</v>
      </c>
      <c r="J86" s="125">
        <f t="shared" si="6"/>
        <v>0</v>
      </c>
      <c r="K86" s="125">
        <v>300</v>
      </c>
      <c r="L86" s="156" t="s">
        <v>1417</v>
      </c>
      <c r="M86" s="145"/>
      <c r="N86" s="123" t="s">
        <v>1386</v>
      </c>
      <c r="O86" s="146" t="s">
        <v>1247</v>
      </c>
      <c r="P86" s="145">
        <v>2120803</v>
      </c>
    </row>
    <row r="87" s="113" customFormat="1" ht="28" customHeight="1" spans="1:16">
      <c r="A87" s="123">
        <v>79</v>
      </c>
      <c r="B87" s="123" t="s">
        <v>696</v>
      </c>
      <c r="C87" s="123" t="s">
        <v>1303</v>
      </c>
      <c r="D87" s="124" t="s">
        <v>1418</v>
      </c>
      <c r="E87" s="125">
        <v>1600</v>
      </c>
      <c r="F87" s="125">
        <v>700</v>
      </c>
      <c r="G87" s="125">
        <v>1302</v>
      </c>
      <c r="H87" s="125">
        <f t="shared" si="9"/>
        <v>2002</v>
      </c>
      <c r="I87" s="125">
        <v>232.430688</v>
      </c>
      <c r="J87" s="125">
        <f t="shared" si="6"/>
        <v>1302</v>
      </c>
      <c r="K87" s="125">
        <v>2002</v>
      </c>
      <c r="L87" s="156" t="s">
        <v>1419</v>
      </c>
      <c r="M87" s="145"/>
      <c r="N87" s="123" t="s">
        <v>1386</v>
      </c>
      <c r="O87" s="146" t="s">
        <v>1247</v>
      </c>
      <c r="P87" s="145">
        <v>2120803</v>
      </c>
    </row>
    <row r="88" s="113" customFormat="1" ht="45" customHeight="1" spans="1:16">
      <c r="A88" s="123">
        <v>80</v>
      </c>
      <c r="B88" s="123" t="s">
        <v>696</v>
      </c>
      <c r="C88" s="123" t="s">
        <v>1303</v>
      </c>
      <c r="D88" s="124" t="s">
        <v>1420</v>
      </c>
      <c r="E88" s="125">
        <v>10000</v>
      </c>
      <c r="F88" s="125">
        <v>2000</v>
      </c>
      <c r="G88" s="125">
        <v>2000</v>
      </c>
      <c r="H88" s="125">
        <f t="shared" si="9"/>
        <v>4000</v>
      </c>
      <c r="I88" s="125">
        <v>150.088668</v>
      </c>
      <c r="J88" s="125">
        <f t="shared" si="6"/>
        <v>0</v>
      </c>
      <c r="K88" s="125">
        <v>2000</v>
      </c>
      <c r="L88" s="156" t="s">
        <v>1421</v>
      </c>
      <c r="M88" s="145"/>
      <c r="N88" s="123" t="s">
        <v>1386</v>
      </c>
      <c r="O88" s="146" t="s">
        <v>1247</v>
      </c>
      <c r="P88" s="145">
        <v>2120803</v>
      </c>
    </row>
    <row r="89" s="113" customFormat="1" ht="28" customHeight="1" spans="1:16">
      <c r="A89" s="123">
        <v>81</v>
      </c>
      <c r="B89" s="123" t="s">
        <v>696</v>
      </c>
      <c r="C89" s="123" t="s">
        <v>1303</v>
      </c>
      <c r="D89" s="124" t="s">
        <v>1422</v>
      </c>
      <c r="E89" s="125">
        <v>108.78</v>
      </c>
      <c r="F89" s="125">
        <v>108.78</v>
      </c>
      <c r="G89" s="125">
        <v>0</v>
      </c>
      <c r="H89" s="125">
        <f t="shared" si="9"/>
        <v>108.78</v>
      </c>
      <c r="I89" s="125">
        <v>0</v>
      </c>
      <c r="J89" s="125">
        <f t="shared" si="6"/>
        <v>0</v>
      </c>
      <c r="K89" s="125">
        <v>108.78</v>
      </c>
      <c r="L89" s="156"/>
      <c r="M89" s="145"/>
      <c r="N89" s="123" t="s">
        <v>1386</v>
      </c>
      <c r="O89" s="146" t="s">
        <v>1247</v>
      </c>
      <c r="P89" s="145">
        <v>2120803</v>
      </c>
    </row>
    <row r="90" s="113" customFormat="1" ht="28" customHeight="1" spans="1:16">
      <c r="A90" s="123">
        <v>82</v>
      </c>
      <c r="B90" s="123" t="s">
        <v>696</v>
      </c>
      <c r="C90" s="123" t="s">
        <v>1303</v>
      </c>
      <c r="D90" s="124" t="s">
        <v>1423</v>
      </c>
      <c r="E90" s="125">
        <v>10000</v>
      </c>
      <c r="F90" s="125">
        <v>500</v>
      </c>
      <c r="G90" s="125">
        <v>-500</v>
      </c>
      <c r="H90" s="125">
        <f t="shared" si="9"/>
        <v>0</v>
      </c>
      <c r="I90" s="125">
        <v>0</v>
      </c>
      <c r="J90" s="125">
        <f t="shared" si="6"/>
        <v>-500</v>
      </c>
      <c r="K90" s="125">
        <v>0</v>
      </c>
      <c r="L90" s="156" t="s">
        <v>1424</v>
      </c>
      <c r="M90" s="145" t="s">
        <v>1425</v>
      </c>
      <c r="N90" s="123" t="s">
        <v>1386</v>
      </c>
      <c r="O90" s="146" t="s">
        <v>1247</v>
      </c>
      <c r="P90" s="145">
        <v>2120803</v>
      </c>
    </row>
    <row r="91" s="113" customFormat="1" ht="28" customHeight="1" spans="1:16">
      <c r="A91" s="123">
        <v>83</v>
      </c>
      <c r="B91" s="123" t="s">
        <v>696</v>
      </c>
      <c r="C91" s="123" t="s">
        <v>1303</v>
      </c>
      <c r="D91" s="124" t="s">
        <v>1426</v>
      </c>
      <c r="E91" s="125">
        <v>26100</v>
      </c>
      <c r="F91" s="125">
        <v>1000</v>
      </c>
      <c r="G91" s="125">
        <v>0</v>
      </c>
      <c r="H91" s="125">
        <f t="shared" si="9"/>
        <v>1000</v>
      </c>
      <c r="I91" s="125">
        <v>0</v>
      </c>
      <c r="J91" s="125">
        <f t="shared" si="6"/>
        <v>-1000</v>
      </c>
      <c r="K91" s="125">
        <v>0</v>
      </c>
      <c r="L91" s="156"/>
      <c r="M91" s="145" t="s">
        <v>1427</v>
      </c>
      <c r="N91" s="123" t="s">
        <v>1386</v>
      </c>
      <c r="O91" s="146" t="s">
        <v>1247</v>
      </c>
      <c r="P91" s="145">
        <v>2120803</v>
      </c>
    </row>
    <row r="92" s="113" customFormat="1" ht="28" customHeight="1" spans="1:16">
      <c r="A92" s="123">
        <v>84</v>
      </c>
      <c r="B92" s="123" t="s">
        <v>696</v>
      </c>
      <c r="C92" s="123" t="s">
        <v>1303</v>
      </c>
      <c r="D92" s="124" t="s">
        <v>1428</v>
      </c>
      <c r="E92" s="125">
        <v>400</v>
      </c>
      <c r="F92" s="125">
        <v>400</v>
      </c>
      <c r="G92" s="125">
        <v>0</v>
      </c>
      <c r="H92" s="125">
        <f t="shared" si="9"/>
        <v>400</v>
      </c>
      <c r="I92" s="125">
        <v>400</v>
      </c>
      <c r="J92" s="125">
        <f t="shared" si="6"/>
        <v>0</v>
      </c>
      <c r="K92" s="125">
        <v>400</v>
      </c>
      <c r="L92" s="156"/>
      <c r="M92" s="145" t="s">
        <v>1429</v>
      </c>
      <c r="N92" s="123" t="s">
        <v>1386</v>
      </c>
      <c r="O92" s="146" t="s">
        <v>1247</v>
      </c>
      <c r="P92" s="145">
        <v>2120803</v>
      </c>
    </row>
    <row r="93" s="113" customFormat="1" ht="28" customHeight="1" spans="1:16">
      <c r="A93" s="123">
        <v>85</v>
      </c>
      <c r="B93" s="123" t="s">
        <v>696</v>
      </c>
      <c r="C93" s="123" t="s">
        <v>1303</v>
      </c>
      <c r="D93" s="124" t="s">
        <v>1430</v>
      </c>
      <c r="E93" s="125">
        <v>30</v>
      </c>
      <c r="F93" s="125">
        <v>30</v>
      </c>
      <c r="G93" s="125">
        <v>0</v>
      </c>
      <c r="H93" s="125">
        <f t="shared" si="9"/>
        <v>30</v>
      </c>
      <c r="I93" s="125">
        <v>0</v>
      </c>
      <c r="J93" s="125">
        <f t="shared" si="6"/>
        <v>0</v>
      </c>
      <c r="K93" s="125">
        <v>30</v>
      </c>
      <c r="L93" s="156"/>
      <c r="M93" s="145"/>
      <c r="N93" s="123" t="s">
        <v>1386</v>
      </c>
      <c r="O93" s="146" t="s">
        <v>1247</v>
      </c>
      <c r="P93" s="145">
        <v>2120803</v>
      </c>
    </row>
    <row r="94" s="113" customFormat="1" ht="28" customHeight="1" spans="1:16">
      <c r="A94" s="123">
        <v>86</v>
      </c>
      <c r="B94" s="123" t="s">
        <v>696</v>
      </c>
      <c r="C94" s="123" t="s">
        <v>1303</v>
      </c>
      <c r="D94" s="124" t="s">
        <v>1431</v>
      </c>
      <c r="E94" s="125">
        <v>28.23</v>
      </c>
      <c r="F94" s="125">
        <v>28.23</v>
      </c>
      <c r="G94" s="125">
        <v>0</v>
      </c>
      <c r="H94" s="125">
        <f t="shared" si="9"/>
        <v>28.23</v>
      </c>
      <c r="I94" s="125">
        <v>19.355619</v>
      </c>
      <c r="J94" s="125">
        <f t="shared" si="6"/>
        <v>0</v>
      </c>
      <c r="K94" s="125">
        <v>28.23</v>
      </c>
      <c r="L94" s="156"/>
      <c r="M94" s="145" t="s">
        <v>1432</v>
      </c>
      <c r="N94" s="123" t="s">
        <v>1386</v>
      </c>
      <c r="O94" s="146" t="s">
        <v>1247</v>
      </c>
      <c r="P94" s="145">
        <v>2120803</v>
      </c>
    </row>
    <row r="95" s="113" customFormat="1" ht="28" customHeight="1" spans="1:16">
      <c r="A95" s="123">
        <v>87</v>
      </c>
      <c r="B95" s="123" t="s">
        <v>696</v>
      </c>
      <c r="C95" s="123" t="s">
        <v>1303</v>
      </c>
      <c r="D95" s="124" t="s">
        <v>1433</v>
      </c>
      <c r="E95" s="125">
        <v>33.79</v>
      </c>
      <c r="F95" s="125">
        <v>33.79</v>
      </c>
      <c r="G95" s="125">
        <v>0</v>
      </c>
      <c r="H95" s="125">
        <f t="shared" si="9"/>
        <v>33.79</v>
      </c>
      <c r="I95" s="125">
        <v>33.79</v>
      </c>
      <c r="J95" s="125">
        <f t="shared" si="6"/>
        <v>0</v>
      </c>
      <c r="K95" s="125">
        <v>33.79</v>
      </c>
      <c r="L95" s="156"/>
      <c r="M95" s="145"/>
      <c r="N95" s="123" t="s">
        <v>1386</v>
      </c>
      <c r="O95" s="146" t="s">
        <v>1247</v>
      </c>
      <c r="P95" s="145">
        <v>2120803</v>
      </c>
    </row>
    <row r="96" s="113" customFormat="1" ht="28" customHeight="1" spans="1:16">
      <c r="A96" s="123">
        <v>88</v>
      </c>
      <c r="B96" s="123" t="s">
        <v>696</v>
      </c>
      <c r="C96" s="123" t="s">
        <v>1303</v>
      </c>
      <c r="D96" s="124" t="s">
        <v>1434</v>
      </c>
      <c r="E96" s="125"/>
      <c r="F96" s="125">
        <v>1000</v>
      </c>
      <c r="G96" s="125">
        <v>-1000</v>
      </c>
      <c r="H96" s="125">
        <f t="shared" si="9"/>
        <v>0</v>
      </c>
      <c r="I96" s="125">
        <v>0</v>
      </c>
      <c r="J96" s="125">
        <f t="shared" si="6"/>
        <v>-1000</v>
      </c>
      <c r="K96" s="125">
        <v>0</v>
      </c>
      <c r="L96" s="156" t="s">
        <v>1435</v>
      </c>
      <c r="M96" s="145"/>
      <c r="N96" s="123" t="s">
        <v>1386</v>
      </c>
      <c r="O96" s="146" t="s">
        <v>1247</v>
      </c>
      <c r="P96" s="145">
        <v>2120803</v>
      </c>
    </row>
    <row r="97" s="113" customFormat="1" ht="28" customHeight="1" spans="1:16">
      <c r="A97" s="123">
        <v>89</v>
      </c>
      <c r="B97" s="123" t="s">
        <v>696</v>
      </c>
      <c r="C97" s="123" t="s">
        <v>1436</v>
      </c>
      <c r="D97" s="124" t="s">
        <v>1437</v>
      </c>
      <c r="E97" s="125"/>
      <c r="F97" s="125"/>
      <c r="G97" s="125">
        <v>60</v>
      </c>
      <c r="H97" s="125">
        <v>60</v>
      </c>
      <c r="I97" s="125">
        <v>0</v>
      </c>
      <c r="J97" s="125">
        <f t="shared" si="6"/>
        <v>60</v>
      </c>
      <c r="K97" s="125">
        <v>60</v>
      </c>
      <c r="L97" s="156" t="s">
        <v>1438</v>
      </c>
      <c r="M97" s="145"/>
      <c r="N97" s="123" t="s">
        <v>1386</v>
      </c>
      <c r="O97" s="146" t="s">
        <v>1247</v>
      </c>
      <c r="P97" s="145">
        <v>2120803</v>
      </c>
    </row>
    <row r="98" s="113" customFormat="1" ht="28" customHeight="1" spans="1:16">
      <c r="A98" s="123">
        <v>90</v>
      </c>
      <c r="B98" s="123" t="s">
        <v>696</v>
      </c>
      <c r="C98" s="123" t="s">
        <v>1439</v>
      </c>
      <c r="D98" s="124" t="s">
        <v>1440</v>
      </c>
      <c r="E98" s="125">
        <f>49.39+40.66</f>
        <v>90.05</v>
      </c>
      <c r="F98" s="125">
        <v>90.05</v>
      </c>
      <c r="G98" s="125">
        <v>0</v>
      </c>
      <c r="H98" s="125">
        <v>90.05</v>
      </c>
      <c r="I98" s="125">
        <v>0</v>
      </c>
      <c r="J98" s="125">
        <f t="shared" si="6"/>
        <v>0</v>
      </c>
      <c r="K98" s="125">
        <v>90.05</v>
      </c>
      <c r="L98" s="156"/>
      <c r="M98" s="145" t="s">
        <v>1441</v>
      </c>
      <c r="N98" s="123" t="s">
        <v>1386</v>
      </c>
      <c r="O98" s="146" t="s">
        <v>1247</v>
      </c>
      <c r="P98" s="145">
        <v>2120803</v>
      </c>
    </row>
    <row r="99" s="113" customFormat="1" ht="28" customHeight="1" spans="1:16">
      <c r="A99" s="123">
        <v>91</v>
      </c>
      <c r="B99" s="123" t="s">
        <v>696</v>
      </c>
      <c r="C99" s="123" t="s">
        <v>1442</v>
      </c>
      <c r="D99" s="124" t="s">
        <v>1443</v>
      </c>
      <c r="E99" s="125">
        <v>1100</v>
      </c>
      <c r="F99" s="125">
        <v>1100</v>
      </c>
      <c r="G99" s="125">
        <v>0</v>
      </c>
      <c r="H99" s="125">
        <v>1100</v>
      </c>
      <c r="I99" s="125">
        <v>106.215872</v>
      </c>
      <c r="J99" s="125">
        <f t="shared" si="6"/>
        <v>0</v>
      </c>
      <c r="K99" s="125">
        <v>1100</v>
      </c>
      <c r="L99" s="156" t="s">
        <v>1444</v>
      </c>
      <c r="M99" s="145" t="s">
        <v>1445</v>
      </c>
      <c r="N99" s="123" t="s">
        <v>1386</v>
      </c>
      <c r="O99" s="146" t="s">
        <v>1247</v>
      </c>
      <c r="P99" s="145">
        <v>2120803</v>
      </c>
    </row>
    <row r="100" s="113" customFormat="1" ht="28" customHeight="1" spans="1:16">
      <c r="A100" s="123">
        <v>92</v>
      </c>
      <c r="B100" s="123" t="s">
        <v>696</v>
      </c>
      <c r="C100" s="123" t="s">
        <v>1442</v>
      </c>
      <c r="D100" s="124" t="s">
        <v>1446</v>
      </c>
      <c r="E100" s="125">
        <v>12704.64</v>
      </c>
      <c r="F100" s="125">
        <v>500</v>
      </c>
      <c r="G100" s="125">
        <v>0</v>
      </c>
      <c r="H100" s="125">
        <v>500</v>
      </c>
      <c r="I100" s="125">
        <v>0</v>
      </c>
      <c r="J100" s="125">
        <f t="shared" si="6"/>
        <v>0</v>
      </c>
      <c r="K100" s="125">
        <v>500</v>
      </c>
      <c r="L100" s="156" t="s">
        <v>1447</v>
      </c>
      <c r="M100" s="145" t="s">
        <v>1448</v>
      </c>
      <c r="N100" s="123" t="s">
        <v>1386</v>
      </c>
      <c r="O100" s="146" t="s">
        <v>1247</v>
      </c>
      <c r="P100" s="145">
        <v>2120803</v>
      </c>
    </row>
    <row r="101" s="113" customFormat="1" ht="28" customHeight="1" spans="1:16">
      <c r="A101" s="123">
        <v>93</v>
      </c>
      <c r="B101" s="123" t="s">
        <v>696</v>
      </c>
      <c r="C101" s="123" t="s">
        <v>1317</v>
      </c>
      <c r="D101" s="124" t="s">
        <v>1449</v>
      </c>
      <c r="E101" s="125">
        <v>286.87</v>
      </c>
      <c r="F101" s="125">
        <v>286.87</v>
      </c>
      <c r="G101" s="125">
        <v>0</v>
      </c>
      <c r="H101" s="125">
        <v>286.87</v>
      </c>
      <c r="I101" s="125">
        <v>0</v>
      </c>
      <c r="J101" s="125">
        <f t="shared" si="6"/>
        <v>0</v>
      </c>
      <c r="K101" s="125">
        <v>286.87</v>
      </c>
      <c r="L101" s="156"/>
      <c r="M101" s="145"/>
      <c r="N101" s="123" t="s">
        <v>1386</v>
      </c>
      <c r="O101" s="146" t="s">
        <v>1247</v>
      </c>
      <c r="P101" s="145">
        <v>2120803</v>
      </c>
    </row>
    <row r="102" s="113" customFormat="1" ht="28" customHeight="1" spans="1:16">
      <c r="A102" s="123">
        <v>94</v>
      </c>
      <c r="B102" s="123" t="s">
        <v>696</v>
      </c>
      <c r="C102" s="123" t="s">
        <v>1450</v>
      </c>
      <c r="D102" s="124" t="s">
        <v>1451</v>
      </c>
      <c r="E102" s="125">
        <v>26.87</v>
      </c>
      <c r="F102" s="125">
        <v>26.87</v>
      </c>
      <c r="G102" s="125">
        <v>-4.1</v>
      </c>
      <c r="H102" s="125">
        <v>22.77</v>
      </c>
      <c r="I102" s="125">
        <v>22.77</v>
      </c>
      <c r="J102" s="125">
        <f t="shared" si="6"/>
        <v>-4.1</v>
      </c>
      <c r="K102" s="125">
        <v>22.77</v>
      </c>
      <c r="L102" s="156" t="s">
        <v>1402</v>
      </c>
      <c r="M102" s="145"/>
      <c r="N102" s="123" t="s">
        <v>1386</v>
      </c>
      <c r="O102" s="146" t="s">
        <v>1247</v>
      </c>
      <c r="P102" s="145">
        <v>2120803</v>
      </c>
    </row>
    <row r="103" s="113" customFormat="1" ht="28" customHeight="1" spans="1:16">
      <c r="A103" s="123">
        <v>95</v>
      </c>
      <c r="B103" s="123" t="s">
        <v>696</v>
      </c>
      <c r="C103" s="123" t="s">
        <v>1389</v>
      </c>
      <c r="D103" s="124" t="s">
        <v>1452</v>
      </c>
      <c r="E103" s="125">
        <v>19.71</v>
      </c>
      <c r="F103" s="125">
        <v>19.71</v>
      </c>
      <c r="G103" s="125">
        <v>0</v>
      </c>
      <c r="H103" s="125">
        <v>19.71</v>
      </c>
      <c r="I103" s="125">
        <v>0</v>
      </c>
      <c r="J103" s="125">
        <f t="shared" si="6"/>
        <v>0</v>
      </c>
      <c r="K103" s="125">
        <v>19.71</v>
      </c>
      <c r="L103" s="156"/>
      <c r="M103" s="145" t="s">
        <v>1453</v>
      </c>
      <c r="N103" s="123" t="s">
        <v>1386</v>
      </c>
      <c r="O103" s="146" t="s">
        <v>1247</v>
      </c>
      <c r="P103" s="145">
        <v>2120803</v>
      </c>
    </row>
    <row r="104" s="113" customFormat="1" ht="28" customHeight="1" spans="1:16">
      <c r="A104" s="123">
        <v>96</v>
      </c>
      <c r="B104" s="123" t="s">
        <v>696</v>
      </c>
      <c r="C104" s="123" t="s">
        <v>1454</v>
      </c>
      <c r="D104" s="124" t="s">
        <v>1455</v>
      </c>
      <c r="E104" s="125">
        <v>98</v>
      </c>
      <c r="F104" s="125">
        <v>98</v>
      </c>
      <c r="G104" s="125">
        <v>0</v>
      </c>
      <c r="H104" s="125">
        <v>98</v>
      </c>
      <c r="I104" s="125">
        <v>24.31646</v>
      </c>
      <c r="J104" s="125">
        <f t="shared" si="6"/>
        <v>0</v>
      </c>
      <c r="K104" s="125">
        <v>98</v>
      </c>
      <c r="L104" s="156"/>
      <c r="M104" s="145"/>
      <c r="N104" s="123" t="s">
        <v>1386</v>
      </c>
      <c r="O104" s="146" t="s">
        <v>1247</v>
      </c>
      <c r="P104" s="145">
        <v>2120803</v>
      </c>
    </row>
    <row r="105" s="113" customFormat="1" ht="28" customHeight="1" spans="1:16">
      <c r="A105" s="123">
        <v>97</v>
      </c>
      <c r="B105" s="123" t="s">
        <v>696</v>
      </c>
      <c r="C105" s="123" t="s">
        <v>1454</v>
      </c>
      <c r="D105" s="124" t="s">
        <v>1456</v>
      </c>
      <c r="E105" s="125">
        <v>19.14</v>
      </c>
      <c r="F105" s="125">
        <v>19.14</v>
      </c>
      <c r="G105" s="125">
        <v>0</v>
      </c>
      <c r="H105" s="125">
        <v>19.14</v>
      </c>
      <c r="I105" s="125">
        <v>0</v>
      </c>
      <c r="J105" s="125">
        <f t="shared" si="6"/>
        <v>0</v>
      </c>
      <c r="K105" s="125">
        <v>19.14</v>
      </c>
      <c r="L105" s="156"/>
      <c r="M105" s="145" t="s">
        <v>1457</v>
      </c>
      <c r="N105" s="123" t="s">
        <v>1386</v>
      </c>
      <c r="O105" s="146" t="s">
        <v>1247</v>
      </c>
      <c r="P105" s="145">
        <v>2120803</v>
      </c>
    </row>
    <row r="106" s="113" customFormat="1" ht="28" customHeight="1" spans="1:16">
      <c r="A106" s="123">
        <v>98</v>
      </c>
      <c r="B106" s="123" t="s">
        <v>696</v>
      </c>
      <c r="C106" s="123" t="s">
        <v>1458</v>
      </c>
      <c r="D106" s="124" t="s">
        <v>1459</v>
      </c>
      <c r="E106" s="125">
        <v>89.48</v>
      </c>
      <c r="F106" s="125">
        <v>89.48</v>
      </c>
      <c r="G106" s="125">
        <v>-8.579145</v>
      </c>
      <c r="H106" s="125">
        <v>80.900855</v>
      </c>
      <c r="I106" s="125">
        <v>80.900855</v>
      </c>
      <c r="J106" s="125">
        <f t="shared" si="6"/>
        <v>-8.579145</v>
      </c>
      <c r="K106" s="125">
        <v>80.900855</v>
      </c>
      <c r="L106" s="156" t="s">
        <v>1402</v>
      </c>
      <c r="M106" s="145" t="s">
        <v>1460</v>
      </c>
      <c r="N106" s="123" t="s">
        <v>1386</v>
      </c>
      <c r="O106" s="146" t="s">
        <v>1247</v>
      </c>
      <c r="P106" s="145">
        <v>2120803</v>
      </c>
    </row>
    <row r="107" s="113" customFormat="1" ht="28" customHeight="1" spans="1:16">
      <c r="A107" s="123">
        <v>99</v>
      </c>
      <c r="B107" s="123" t="s">
        <v>696</v>
      </c>
      <c r="C107" s="123" t="s">
        <v>1461</v>
      </c>
      <c r="D107" s="124" t="s">
        <v>1462</v>
      </c>
      <c r="E107" s="125">
        <v>35.18</v>
      </c>
      <c r="F107" s="125">
        <v>35.18</v>
      </c>
      <c r="G107" s="125">
        <v>-2.379444</v>
      </c>
      <c r="H107" s="125">
        <v>32.800556</v>
      </c>
      <c r="I107" s="125">
        <v>32.800556</v>
      </c>
      <c r="J107" s="125">
        <f t="shared" si="6"/>
        <v>-2.379444</v>
      </c>
      <c r="K107" s="125">
        <v>32.800556</v>
      </c>
      <c r="L107" s="156" t="s">
        <v>1402</v>
      </c>
      <c r="M107" s="145" t="s">
        <v>1463</v>
      </c>
      <c r="N107" s="123" t="s">
        <v>1386</v>
      </c>
      <c r="O107" s="146" t="s">
        <v>1247</v>
      </c>
      <c r="P107" s="145">
        <v>2120803</v>
      </c>
    </row>
    <row r="108" s="113" customFormat="1" ht="28" customHeight="1" spans="1:16">
      <c r="A108" s="123">
        <v>100</v>
      </c>
      <c r="B108" s="136" t="s">
        <v>696</v>
      </c>
      <c r="C108" s="130" t="s">
        <v>1303</v>
      </c>
      <c r="D108" s="131" t="s">
        <v>1464</v>
      </c>
      <c r="E108" s="132">
        <v>0</v>
      </c>
      <c r="F108" s="132">
        <v>4000</v>
      </c>
      <c r="G108" s="132">
        <v>0</v>
      </c>
      <c r="H108" s="132">
        <v>4000</v>
      </c>
      <c r="I108" s="132">
        <v>0</v>
      </c>
      <c r="J108" s="125">
        <f t="shared" si="6"/>
        <v>-3000</v>
      </c>
      <c r="K108" s="132">
        <v>1000</v>
      </c>
      <c r="L108" s="159" t="s">
        <v>1465</v>
      </c>
      <c r="M108" s="153"/>
      <c r="N108" s="154" t="s">
        <v>1386</v>
      </c>
      <c r="O108" s="155" t="s">
        <v>1247</v>
      </c>
      <c r="P108" s="153">
        <v>2120803</v>
      </c>
    </row>
    <row r="109" s="113" customFormat="1" ht="28" customHeight="1" spans="1:16">
      <c r="A109" s="123">
        <v>101</v>
      </c>
      <c r="B109" s="136" t="s">
        <v>696</v>
      </c>
      <c r="C109" s="130" t="s">
        <v>1303</v>
      </c>
      <c r="D109" s="131" t="s">
        <v>1466</v>
      </c>
      <c r="E109" s="132">
        <v>0</v>
      </c>
      <c r="F109" s="132">
        <v>3700</v>
      </c>
      <c r="G109" s="132">
        <v>26300</v>
      </c>
      <c r="H109" s="132">
        <v>30000</v>
      </c>
      <c r="I109" s="132">
        <v>0</v>
      </c>
      <c r="J109" s="125">
        <f t="shared" si="6"/>
        <v>-3700</v>
      </c>
      <c r="K109" s="132">
        <v>0</v>
      </c>
      <c r="L109" s="159"/>
      <c r="M109" s="153"/>
      <c r="N109" s="154" t="s">
        <v>1386</v>
      </c>
      <c r="O109" s="155" t="s">
        <v>1247</v>
      </c>
      <c r="P109" s="153">
        <v>2120803</v>
      </c>
    </row>
    <row r="110" s="113" customFormat="1" ht="28" customHeight="1" spans="1:16">
      <c r="A110" s="123">
        <v>102</v>
      </c>
      <c r="B110" s="136" t="s">
        <v>696</v>
      </c>
      <c r="C110" s="130" t="s">
        <v>1467</v>
      </c>
      <c r="D110" s="131" t="s">
        <v>1468</v>
      </c>
      <c r="E110" s="132"/>
      <c r="F110" s="132"/>
      <c r="G110" s="132">
        <v>56.82</v>
      </c>
      <c r="H110" s="132">
        <v>56.82</v>
      </c>
      <c r="I110" s="132">
        <v>0</v>
      </c>
      <c r="J110" s="125">
        <f t="shared" si="6"/>
        <v>56.82</v>
      </c>
      <c r="K110" s="132">
        <v>56.82</v>
      </c>
      <c r="L110" s="159" t="s">
        <v>1469</v>
      </c>
      <c r="M110" s="153"/>
      <c r="N110" s="123" t="s">
        <v>1386</v>
      </c>
      <c r="O110" s="146" t="s">
        <v>1247</v>
      </c>
      <c r="P110" s="145">
        <v>2120803</v>
      </c>
    </row>
    <row r="111" s="113" customFormat="1" ht="28" customHeight="1" spans="1:16">
      <c r="A111" s="123">
        <v>103</v>
      </c>
      <c r="B111" s="136" t="s">
        <v>696</v>
      </c>
      <c r="C111" s="130" t="s">
        <v>1467</v>
      </c>
      <c r="D111" s="131" t="s">
        <v>1470</v>
      </c>
      <c r="E111" s="132">
        <v>0</v>
      </c>
      <c r="F111" s="132">
        <v>2500</v>
      </c>
      <c r="G111" s="132">
        <v>-500</v>
      </c>
      <c r="H111" s="132">
        <v>2000</v>
      </c>
      <c r="I111" s="132">
        <v>0</v>
      </c>
      <c r="J111" s="125">
        <f t="shared" si="6"/>
        <v>-2500</v>
      </c>
      <c r="K111" s="132">
        <v>0</v>
      </c>
      <c r="L111" s="160"/>
      <c r="M111" s="153"/>
      <c r="N111" s="154" t="s">
        <v>1386</v>
      </c>
      <c r="O111" s="155" t="s">
        <v>1247</v>
      </c>
      <c r="P111" s="153">
        <v>2120803</v>
      </c>
    </row>
    <row r="112" s="113" customFormat="1" ht="28" customHeight="1" spans="1:16">
      <c r="A112" s="123">
        <v>104</v>
      </c>
      <c r="B112" s="136" t="s">
        <v>696</v>
      </c>
      <c r="C112" s="130" t="s">
        <v>1467</v>
      </c>
      <c r="D112" s="131" t="s">
        <v>1471</v>
      </c>
      <c r="E112" s="132">
        <v>0</v>
      </c>
      <c r="F112" s="132">
        <v>2500</v>
      </c>
      <c r="G112" s="132">
        <v>500</v>
      </c>
      <c r="H112" s="132">
        <v>3000</v>
      </c>
      <c r="I112" s="132">
        <v>0</v>
      </c>
      <c r="J112" s="125">
        <f t="shared" si="6"/>
        <v>-2500</v>
      </c>
      <c r="K112" s="132">
        <v>0</v>
      </c>
      <c r="L112" s="160"/>
      <c r="M112" s="153"/>
      <c r="N112" s="154" t="s">
        <v>1386</v>
      </c>
      <c r="O112" s="155" t="s">
        <v>1247</v>
      </c>
      <c r="P112" s="153">
        <v>2120803</v>
      </c>
    </row>
    <row r="113" s="113" customFormat="1" ht="28" customHeight="1" spans="1:16">
      <c r="A113" s="123">
        <v>105</v>
      </c>
      <c r="B113" s="136" t="s">
        <v>696</v>
      </c>
      <c r="C113" s="130" t="s">
        <v>1303</v>
      </c>
      <c r="D113" s="131" t="s">
        <v>1472</v>
      </c>
      <c r="E113" s="132">
        <v>0</v>
      </c>
      <c r="F113" s="132">
        <v>2500</v>
      </c>
      <c r="G113" s="132">
        <v>-2500</v>
      </c>
      <c r="H113" s="132">
        <v>0</v>
      </c>
      <c r="I113" s="132">
        <v>0</v>
      </c>
      <c r="J113" s="125">
        <f t="shared" si="6"/>
        <v>-2500</v>
      </c>
      <c r="K113" s="132">
        <v>0</v>
      </c>
      <c r="L113" s="159" t="s">
        <v>1473</v>
      </c>
      <c r="M113" s="153"/>
      <c r="N113" s="154" t="s">
        <v>1386</v>
      </c>
      <c r="O113" s="155" t="s">
        <v>1247</v>
      </c>
      <c r="P113" s="153">
        <v>2120803</v>
      </c>
    </row>
    <row r="114" s="113" customFormat="1" ht="28" customHeight="1" spans="1:16">
      <c r="A114" s="123">
        <v>106</v>
      </c>
      <c r="B114" s="136" t="s">
        <v>696</v>
      </c>
      <c r="C114" s="130" t="s">
        <v>1303</v>
      </c>
      <c r="D114" s="131" t="s">
        <v>1474</v>
      </c>
      <c r="E114" s="132">
        <v>0</v>
      </c>
      <c r="F114" s="132">
        <v>2500</v>
      </c>
      <c r="G114" s="132">
        <v>0</v>
      </c>
      <c r="H114" s="132">
        <v>2500</v>
      </c>
      <c r="I114" s="132">
        <v>2500</v>
      </c>
      <c r="J114" s="125">
        <f t="shared" si="6"/>
        <v>-2500</v>
      </c>
      <c r="K114" s="132">
        <v>0</v>
      </c>
      <c r="L114" s="159" t="s">
        <v>1475</v>
      </c>
      <c r="M114" s="153"/>
      <c r="N114" s="154" t="s">
        <v>1386</v>
      </c>
      <c r="O114" s="155" t="s">
        <v>1247</v>
      </c>
      <c r="P114" s="153">
        <v>2120803</v>
      </c>
    </row>
    <row r="115" s="113" customFormat="1" ht="31" customHeight="1" spans="1:16">
      <c r="A115" s="123">
        <v>107</v>
      </c>
      <c r="B115" s="136" t="s">
        <v>696</v>
      </c>
      <c r="C115" s="130" t="s">
        <v>1476</v>
      </c>
      <c r="D115" s="131" t="s">
        <v>1477</v>
      </c>
      <c r="E115" s="132"/>
      <c r="F115" s="132"/>
      <c r="G115" s="132">
        <v>18326</v>
      </c>
      <c r="H115" s="132">
        <v>18326</v>
      </c>
      <c r="I115" s="132">
        <v>3000</v>
      </c>
      <c r="J115" s="125">
        <f t="shared" si="6"/>
        <v>5500</v>
      </c>
      <c r="K115" s="132">
        <v>5500</v>
      </c>
      <c r="L115" s="159" t="s">
        <v>1478</v>
      </c>
      <c r="M115" s="153"/>
      <c r="N115" s="154" t="s">
        <v>1386</v>
      </c>
      <c r="O115" s="155" t="s">
        <v>1247</v>
      </c>
      <c r="P115" s="153">
        <v>2120803</v>
      </c>
    </row>
    <row r="116" s="113" customFormat="1" ht="28" customHeight="1" spans="1:16">
      <c r="A116" s="123">
        <v>108</v>
      </c>
      <c r="B116" s="136" t="s">
        <v>696</v>
      </c>
      <c r="C116" s="130" t="s">
        <v>1476</v>
      </c>
      <c r="D116" s="131" t="s">
        <v>1479</v>
      </c>
      <c r="E116" s="132"/>
      <c r="F116" s="132"/>
      <c r="G116" s="132">
        <v>852.03</v>
      </c>
      <c r="H116" s="132">
        <v>852.03</v>
      </c>
      <c r="I116" s="132">
        <v>0</v>
      </c>
      <c r="J116" s="125">
        <f t="shared" si="6"/>
        <v>500</v>
      </c>
      <c r="K116" s="132">
        <v>500</v>
      </c>
      <c r="L116" s="159" t="s">
        <v>1480</v>
      </c>
      <c r="M116" s="153"/>
      <c r="N116" s="123" t="s">
        <v>1386</v>
      </c>
      <c r="O116" s="146" t="s">
        <v>1247</v>
      </c>
      <c r="P116" s="145">
        <v>2120803</v>
      </c>
    </row>
    <row r="117" s="113" customFormat="1" ht="41" customHeight="1" spans="1:16">
      <c r="A117" s="123">
        <v>109</v>
      </c>
      <c r="B117" s="136" t="s">
        <v>696</v>
      </c>
      <c r="C117" s="130" t="s">
        <v>1476</v>
      </c>
      <c r="D117" s="131" t="s">
        <v>1481</v>
      </c>
      <c r="E117" s="132"/>
      <c r="F117" s="132"/>
      <c r="G117" s="132">
        <v>795.65</v>
      </c>
      <c r="H117" s="132">
        <v>795.65</v>
      </c>
      <c r="I117" s="132">
        <v>0</v>
      </c>
      <c r="J117" s="125">
        <f t="shared" si="6"/>
        <v>500</v>
      </c>
      <c r="K117" s="132">
        <v>500</v>
      </c>
      <c r="L117" s="159" t="s">
        <v>1482</v>
      </c>
      <c r="M117" s="153"/>
      <c r="N117" s="123" t="s">
        <v>1386</v>
      </c>
      <c r="O117" s="146" t="s">
        <v>1247</v>
      </c>
      <c r="P117" s="145">
        <v>2120803</v>
      </c>
    </row>
    <row r="118" s="113" customFormat="1" ht="28" customHeight="1" spans="1:16">
      <c r="A118" s="123">
        <v>110</v>
      </c>
      <c r="B118" s="136" t="s">
        <v>696</v>
      </c>
      <c r="C118" s="130" t="s">
        <v>1483</v>
      </c>
      <c r="D118" s="131" t="s">
        <v>1484</v>
      </c>
      <c r="E118" s="132"/>
      <c r="F118" s="132"/>
      <c r="G118" s="132">
        <v>98</v>
      </c>
      <c r="H118" s="132">
        <v>98</v>
      </c>
      <c r="I118" s="132">
        <v>0</v>
      </c>
      <c r="J118" s="125">
        <f t="shared" si="6"/>
        <v>98</v>
      </c>
      <c r="K118" s="132">
        <v>98</v>
      </c>
      <c r="L118" s="159" t="s">
        <v>1485</v>
      </c>
      <c r="M118" s="153"/>
      <c r="N118" s="123" t="s">
        <v>1386</v>
      </c>
      <c r="O118" s="146" t="s">
        <v>1247</v>
      </c>
      <c r="P118" s="145">
        <v>2120803</v>
      </c>
    </row>
    <row r="119" s="113" customFormat="1" ht="28" customHeight="1" spans="1:16">
      <c r="A119" s="123">
        <v>111</v>
      </c>
      <c r="B119" s="136" t="s">
        <v>551</v>
      </c>
      <c r="C119" s="130" t="s">
        <v>1322</v>
      </c>
      <c r="D119" s="131" t="s">
        <v>1486</v>
      </c>
      <c r="E119" s="132">
        <v>0</v>
      </c>
      <c r="F119" s="132">
        <v>2000</v>
      </c>
      <c r="G119" s="132"/>
      <c r="H119" s="132">
        <f t="shared" ref="H119:H129" si="10">F119+G119</f>
        <v>2000</v>
      </c>
      <c r="I119" s="132">
        <v>0</v>
      </c>
      <c r="J119" s="125">
        <f t="shared" si="6"/>
        <v>0</v>
      </c>
      <c r="K119" s="132">
        <v>2000</v>
      </c>
      <c r="L119" s="159"/>
      <c r="M119" s="153"/>
      <c r="N119" s="154" t="s">
        <v>1386</v>
      </c>
      <c r="O119" s="155" t="s">
        <v>1247</v>
      </c>
      <c r="P119" s="153">
        <v>2120803</v>
      </c>
    </row>
    <row r="120" s="113" customFormat="1" ht="28" customHeight="1" spans="1:16">
      <c r="A120" s="127" t="s">
        <v>1487</v>
      </c>
      <c r="B120" s="127"/>
      <c r="C120" s="127"/>
      <c r="D120" s="128"/>
      <c r="E120" s="129">
        <f t="shared" ref="E120:I120" si="11">SUM(E73:E119)</f>
        <v>67503.51</v>
      </c>
      <c r="F120" s="129">
        <f t="shared" si="11"/>
        <v>31123.87</v>
      </c>
      <c r="G120" s="129">
        <f t="shared" si="11"/>
        <v>46575.941411</v>
      </c>
      <c r="H120" s="129">
        <f t="shared" si="11"/>
        <v>77699.811411</v>
      </c>
      <c r="I120" s="129">
        <f t="shared" si="11"/>
        <v>8974.309228</v>
      </c>
      <c r="J120" s="129">
        <f t="shared" si="6"/>
        <v>-10697.736553</v>
      </c>
      <c r="K120" s="129">
        <f>SUM(K73:K119)</f>
        <v>20426.133447</v>
      </c>
      <c r="L120" s="147"/>
      <c r="M120" s="148"/>
      <c r="N120" s="127"/>
      <c r="O120" s="149"/>
      <c r="P120" s="145"/>
    </row>
    <row r="121" s="114" customFormat="1" ht="28" customHeight="1" spans="1:16">
      <c r="A121" s="123">
        <v>112</v>
      </c>
      <c r="B121" s="123" t="s">
        <v>628</v>
      </c>
      <c r="C121" s="123" t="s">
        <v>1488</v>
      </c>
      <c r="D121" s="124" t="s">
        <v>1489</v>
      </c>
      <c r="E121" s="125">
        <v>400.07</v>
      </c>
      <c r="F121" s="125">
        <v>400.07</v>
      </c>
      <c r="G121" s="125">
        <v>-15.002012</v>
      </c>
      <c r="H121" s="125">
        <f t="shared" si="10"/>
        <v>385.067988</v>
      </c>
      <c r="I121" s="125">
        <v>385.067988</v>
      </c>
      <c r="J121" s="125">
        <f t="shared" si="6"/>
        <v>-15.002012</v>
      </c>
      <c r="K121" s="125">
        <v>385.067988</v>
      </c>
      <c r="L121" s="156" t="s">
        <v>630</v>
      </c>
      <c r="M121" s="145" t="s">
        <v>1490</v>
      </c>
      <c r="N121" s="123" t="s">
        <v>1491</v>
      </c>
      <c r="O121" s="146" t="s">
        <v>1247</v>
      </c>
      <c r="P121" s="145">
        <v>2120899</v>
      </c>
    </row>
    <row r="122" s="114" customFormat="1" ht="28" customHeight="1" spans="1:16">
      <c r="A122" s="123">
        <v>113</v>
      </c>
      <c r="B122" s="123" t="s">
        <v>628</v>
      </c>
      <c r="C122" s="123" t="s">
        <v>1454</v>
      </c>
      <c r="D122" s="124" t="s">
        <v>1492</v>
      </c>
      <c r="E122" s="125">
        <v>412</v>
      </c>
      <c r="F122" s="125">
        <v>412</v>
      </c>
      <c r="G122" s="125"/>
      <c r="H122" s="125">
        <f t="shared" si="10"/>
        <v>412</v>
      </c>
      <c r="I122" s="125">
        <v>175</v>
      </c>
      <c r="J122" s="125">
        <f t="shared" si="6"/>
        <v>0</v>
      </c>
      <c r="K122" s="125">
        <v>412</v>
      </c>
      <c r="L122" s="156"/>
      <c r="M122" s="145" t="s">
        <v>1493</v>
      </c>
      <c r="N122" s="123" t="s">
        <v>1491</v>
      </c>
      <c r="O122" s="146" t="s">
        <v>1247</v>
      </c>
      <c r="P122" s="145">
        <v>2120899</v>
      </c>
    </row>
    <row r="123" s="114" customFormat="1" ht="28" customHeight="1" spans="1:16">
      <c r="A123" s="123">
        <v>114</v>
      </c>
      <c r="B123" s="123" t="s">
        <v>628</v>
      </c>
      <c r="C123" s="123" t="s">
        <v>1327</v>
      </c>
      <c r="D123" s="124" t="s">
        <v>1494</v>
      </c>
      <c r="E123" s="125">
        <v>1783</v>
      </c>
      <c r="F123" s="125">
        <v>1783</v>
      </c>
      <c r="G123" s="125"/>
      <c r="H123" s="125">
        <f t="shared" si="10"/>
        <v>1783</v>
      </c>
      <c r="I123" s="125">
        <v>800</v>
      </c>
      <c r="J123" s="125">
        <f t="shared" si="6"/>
        <v>0</v>
      </c>
      <c r="K123" s="125">
        <v>1783</v>
      </c>
      <c r="L123" s="156"/>
      <c r="M123" s="145" t="s">
        <v>1493</v>
      </c>
      <c r="N123" s="123" t="s">
        <v>1491</v>
      </c>
      <c r="O123" s="146" t="s">
        <v>1247</v>
      </c>
      <c r="P123" s="145">
        <v>2120899</v>
      </c>
    </row>
    <row r="124" s="114" customFormat="1" ht="28" customHeight="1" spans="1:16">
      <c r="A124" s="123">
        <v>115</v>
      </c>
      <c r="B124" s="123" t="s">
        <v>628</v>
      </c>
      <c r="C124" s="123" t="s">
        <v>1495</v>
      </c>
      <c r="D124" s="124" t="s">
        <v>1496</v>
      </c>
      <c r="E124" s="125">
        <v>5491</v>
      </c>
      <c r="F124" s="125">
        <v>5491</v>
      </c>
      <c r="G124" s="125"/>
      <c r="H124" s="125">
        <f t="shared" si="10"/>
        <v>5491</v>
      </c>
      <c r="I124" s="125">
        <v>2200</v>
      </c>
      <c r="J124" s="125">
        <f t="shared" si="6"/>
        <v>0</v>
      </c>
      <c r="K124" s="125">
        <v>5491</v>
      </c>
      <c r="L124" s="156"/>
      <c r="M124" s="145" t="s">
        <v>1493</v>
      </c>
      <c r="N124" s="123" t="s">
        <v>1491</v>
      </c>
      <c r="O124" s="146" t="s">
        <v>1247</v>
      </c>
      <c r="P124" s="145">
        <v>2120899</v>
      </c>
    </row>
    <row r="125" s="114" customFormat="1" ht="28" customHeight="1" spans="1:16">
      <c r="A125" s="123">
        <v>116</v>
      </c>
      <c r="B125" s="123" t="s">
        <v>628</v>
      </c>
      <c r="C125" s="123" t="s">
        <v>1495</v>
      </c>
      <c r="D125" s="124" t="s">
        <v>1497</v>
      </c>
      <c r="E125" s="125">
        <v>1409</v>
      </c>
      <c r="F125" s="125">
        <v>1409</v>
      </c>
      <c r="G125" s="125"/>
      <c r="H125" s="125">
        <f t="shared" si="10"/>
        <v>1409</v>
      </c>
      <c r="I125" s="125">
        <v>0</v>
      </c>
      <c r="J125" s="125">
        <f t="shared" si="6"/>
        <v>0</v>
      </c>
      <c r="K125" s="125">
        <v>1409</v>
      </c>
      <c r="L125" s="156"/>
      <c r="M125" s="145" t="s">
        <v>1498</v>
      </c>
      <c r="N125" s="123" t="s">
        <v>1491</v>
      </c>
      <c r="O125" s="146" t="s">
        <v>1247</v>
      </c>
      <c r="P125" s="145">
        <v>2120899</v>
      </c>
    </row>
    <row r="126" s="114" customFormat="1" ht="28" customHeight="1" spans="1:16">
      <c r="A126" s="123">
        <v>117</v>
      </c>
      <c r="B126" s="123" t="s">
        <v>628</v>
      </c>
      <c r="C126" s="123" t="s">
        <v>1305</v>
      </c>
      <c r="D126" s="124" t="s">
        <v>1499</v>
      </c>
      <c r="E126" s="125">
        <v>800.4</v>
      </c>
      <c r="F126" s="125">
        <v>700.4</v>
      </c>
      <c r="G126" s="125"/>
      <c r="H126" s="125">
        <f t="shared" si="10"/>
        <v>700.4</v>
      </c>
      <c r="I126" s="125">
        <v>679.061</v>
      </c>
      <c r="J126" s="125">
        <f t="shared" si="6"/>
        <v>-21.3389999999999</v>
      </c>
      <c r="K126" s="125">
        <v>679.061</v>
      </c>
      <c r="L126" s="156"/>
      <c r="M126" s="145" t="s">
        <v>1500</v>
      </c>
      <c r="N126" s="123" t="s">
        <v>1491</v>
      </c>
      <c r="O126" s="146" t="s">
        <v>1247</v>
      </c>
      <c r="P126" s="145">
        <v>2120899</v>
      </c>
    </row>
    <row r="127" s="114" customFormat="1" ht="28" customHeight="1" spans="1:16">
      <c r="A127" s="123">
        <v>118</v>
      </c>
      <c r="B127" s="123" t="s">
        <v>628</v>
      </c>
      <c r="C127" s="123" t="s">
        <v>1312</v>
      </c>
      <c r="D127" s="124" t="s">
        <v>1501</v>
      </c>
      <c r="E127" s="125">
        <v>176.17</v>
      </c>
      <c r="F127" s="125">
        <v>176.17</v>
      </c>
      <c r="G127" s="125">
        <v>-110.456245</v>
      </c>
      <c r="H127" s="125">
        <f t="shared" si="10"/>
        <v>65.713755</v>
      </c>
      <c r="I127" s="125">
        <v>65.713755</v>
      </c>
      <c r="J127" s="125">
        <f t="shared" si="6"/>
        <v>-110.456245</v>
      </c>
      <c r="K127" s="125">
        <v>65.713755</v>
      </c>
      <c r="L127" s="156" t="s">
        <v>630</v>
      </c>
      <c r="M127" s="145" t="s">
        <v>1502</v>
      </c>
      <c r="N127" s="123" t="s">
        <v>1491</v>
      </c>
      <c r="O127" s="146" t="s">
        <v>1247</v>
      </c>
      <c r="P127" s="145">
        <v>2120899</v>
      </c>
    </row>
    <row r="128" s="114" customFormat="1" ht="28" customHeight="1" spans="1:16">
      <c r="A128" s="123">
        <v>119</v>
      </c>
      <c r="B128" s="123" t="s">
        <v>628</v>
      </c>
      <c r="C128" s="123" t="s">
        <v>1414</v>
      </c>
      <c r="D128" s="124" t="s">
        <v>1503</v>
      </c>
      <c r="E128" s="125">
        <v>874.59</v>
      </c>
      <c r="F128" s="125">
        <v>874.59</v>
      </c>
      <c r="G128" s="125"/>
      <c r="H128" s="125">
        <f t="shared" si="10"/>
        <v>874.59</v>
      </c>
      <c r="I128" s="125">
        <v>737.887238</v>
      </c>
      <c r="J128" s="125">
        <f t="shared" si="6"/>
        <v>0</v>
      </c>
      <c r="K128" s="125">
        <v>874.59</v>
      </c>
      <c r="L128" s="156"/>
      <c r="M128" s="145" t="s">
        <v>1498</v>
      </c>
      <c r="N128" s="123" t="s">
        <v>1491</v>
      </c>
      <c r="O128" s="146" t="s">
        <v>1247</v>
      </c>
      <c r="P128" s="145">
        <v>2120899</v>
      </c>
    </row>
    <row r="129" s="114" customFormat="1" ht="28" customHeight="1" spans="1:16">
      <c r="A129" s="123">
        <v>120</v>
      </c>
      <c r="B129" s="123" t="s">
        <v>628</v>
      </c>
      <c r="C129" s="123" t="s">
        <v>1322</v>
      </c>
      <c r="D129" s="124" t="s">
        <v>1504</v>
      </c>
      <c r="E129" s="125">
        <v>1204</v>
      </c>
      <c r="F129" s="125">
        <v>1204</v>
      </c>
      <c r="G129" s="125"/>
      <c r="H129" s="125">
        <f t="shared" si="10"/>
        <v>1204</v>
      </c>
      <c r="I129" s="125">
        <v>0</v>
      </c>
      <c r="J129" s="125">
        <f t="shared" si="6"/>
        <v>0</v>
      </c>
      <c r="K129" s="125">
        <v>1204</v>
      </c>
      <c r="L129" s="156"/>
      <c r="M129" s="145" t="s">
        <v>1493</v>
      </c>
      <c r="N129" s="123" t="s">
        <v>1491</v>
      </c>
      <c r="O129" s="146" t="s">
        <v>1247</v>
      </c>
      <c r="P129" s="145">
        <v>2120899</v>
      </c>
    </row>
    <row r="130" s="114" customFormat="1" ht="28" customHeight="1" spans="1:16">
      <c r="A130" s="123">
        <v>121</v>
      </c>
      <c r="B130" s="123" t="s">
        <v>628</v>
      </c>
      <c r="C130" s="123" t="s">
        <v>1505</v>
      </c>
      <c r="D130" s="124" t="s">
        <v>1506</v>
      </c>
      <c r="E130" s="125"/>
      <c r="F130" s="125"/>
      <c r="G130" s="125"/>
      <c r="H130" s="125"/>
      <c r="I130" s="125"/>
      <c r="J130" s="125">
        <f t="shared" si="6"/>
        <v>5000</v>
      </c>
      <c r="K130" s="125">
        <v>5000</v>
      </c>
      <c r="L130" s="156" t="s">
        <v>1507</v>
      </c>
      <c r="M130" s="145"/>
      <c r="N130" s="123" t="s">
        <v>1491</v>
      </c>
      <c r="O130" s="146" t="s">
        <v>1247</v>
      </c>
      <c r="P130" s="145"/>
    </row>
    <row r="131" s="114" customFormat="1" ht="28" customHeight="1" spans="1:16">
      <c r="A131" s="123">
        <v>122</v>
      </c>
      <c r="B131" s="123" t="s">
        <v>628</v>
      </c>
      <c r="C131" s="123" t="s">
        <v>1303</v>
      </c>
      <c r="D131" s="124" t="s">
        <v>1508</v>
      </c>
      <c r="E131" s="125">
        <v>44012</v>
      </c>
      <c r="F131" s="125">
        <v>20000</v>
      </c>
      <c r="G131" s="125"/>
      <c r="H131" s="125">
        <f t="shared" ref="H131:H168" si="12">F131+G131</f>
        <v>20000</v>
      </c>
      <c r="I131" s="125">
        <v>0</v>
      </c>
      <c r="J131" s="125">
        <f t="shared" si="6"/>
        <v>-12100</v>
      </c>
      <c r="K131" s="125">
        <v>7900</v>
      </c>
      <c r="L131" s="156"/>
      <c r="M131" s="145" t="s">
        <v>1509</v>
      </c>
      <c r="N131" s="123" t="s">
        <v>1491</v>
      </c>
      <c r="O131" s="146" t="s">
        <v>1247</v>
      </c>
      <c r="P131" s="145">
        <v>2120899</v>
      </c>
    </row>
    <row r="132" s="114" customFormat="1" ht="28" customHeight="1" spans="1:16">
      <c r="A132" s="123">
        <v>123</v>
      </c>
      <c r="B132" s="123" t="s">
        <v>628</v>
      </c>
      <c r="C132" s="123" t="s">
        <v>1303</v>
      </c>
      <c r="D132" s="124" t="s">
        <v>1510</v>
      </c>
      <c r="E132" s="125">
        <v>710</v>
      </c>
      <c r="F132" s="125">
        <v>710</v>
      </c>
      <c r="G132" s="125">
        <v>-170</v>
      </c>
      <c r="H132" s="125">
        <f t="shared" si="12"/>
        <v>540</v>
      </c>
      <c r="I132" s="125">
        <v>540</v>
      </c>
      <c r="J132" s="125">
        <f t="shared" si="6"/>
        <v>-170</v>
      </c>
      <c r="K132" s="125">
        <v>540</v>
      </c>
      <c r="L132" s="156"/>
      <c r="M132" s="145" t="s">
        <v>1498</v>
      </c>
      <c r="N132" s="123" t="s">
        <v>1491</v>
      </c>
      <c r="O132" s="146" t="s">
        <v>1247</v>
      </c>
      <c r="P132" s="145">
        <v>2120899</v>
      </c>
    </row>
    <row r="133" s="114" customFormat="1" ht="28" customHeight="1" spans="1:16">
      <c r="A133" s="127" t="s">
        <v>1511</v>
      </c>
      <c r="B133" s="127"/>
      <c r="C133" s="127"/>
      <c r="D133" s="128"/>
      <c r="E133" s="129">
        <f t="shared" ref="E133:I133" si="13">SUM(E121:E132)</f>
        <v>57272.23</v>
      </c>
      <c r="F133" s="129">
        <f t="shared" si="13"/>
        <v>33160.23</v>
      </c>
      <c r="G133" s="129">
        <f t="shared" si="13"/>
        <v>-295.458257</v>
      </c>
      <c r="H133" s="129">
        <f t="shared" si="13"/>
        <v>32864.771743</v>
      </c>
      <c r="I133" s="129">
        <f t="shared" si="13"/>
        <v>5582.729981</v>
      </c>
      <c r="J133" s="129">
        <f t="shared" si="6"/>
        <v>-7416.797257</v>
      </c>
      <c r="K133" s="129">
        <f>SUM(K121:K132)</f>
        <v>25743.432743</v>
      </c>
      <c r="L133" s="147"/>
      <c r="M133" s="148"/>
      <c r="N133" s="127"/>
      <c r="O133" s="149"/>
      <c r="P133" s="145"/>
    </row>
    <row r="134" s="114" customFormat="1" ht="28" customHeight="1" spans="1:16">
      <c r="A134" s="123">
        <v>124</v>
      </c>
      <c r="B134" s="123" t="s">
        <v>1242</v>
      </c>
      <c r="C134" s="123" t="s">
        <v>1243</v>
      </c>
      <c r="D134" s="124" t="s">
        <v>1512</v>
      </c>
      <c r="E134" s="125">
        <v>8</v>
      </c>
      <c r="F134" s="125">
        <v>8</v>
      </c>
      <c r="G134" s="125">
        <v>12</v>
      </c>
      <c r="H134" s="125">
        <f t="shared" si="12"/>
        <v>20</v>
      </c>
      <c r="I134" s="125">
        <v>0</v>
      </c>
      <c r="J134" s="125">
        <f t="shared" ref="J134:J197" si="14">K134-F134</f>
        <v>12</v>
      </c>
      <c r="K134" s="125">
        <v>20</v>
      </c>
      <c r="L134" s="156"/>
      <c r="M134" s="145"/>
      <c r="N134" s="123" t="s">
        <v>977</v>
      </c>
      <c r="O134" s="146" t="s">
        <v>1247</v>
      </c>
      <c r="P134" s="145">
        <v>2120806</v>
      </c>
    </row>
    <row r="135" s="114" customFormat="1" ht="28" customHeight="1" spans="1:16">
      <c r="A135" s="123">
        <v>125</v>
      </c>
      <c r="B135" s="123" t="s">
        <v>1242</v>
      </c>
      <c r="C135" s="123" t="s">
        <v>1243</v>
      </c>
      <c r="D135" s="124" t="s">
        <v>1513</v>
      </c>
      <c r="E135" s="125">
        <v>46.4</v>
      </c>
      <c r="F135" s="125">
        <v>46</v>
      </c>
      <c r="G135" s="125"/>
      <c r="H135" s="125">
        <f t="shared" si="12"/>
        <v>46</v>
      </c>
      <c r="I135" s="125">
        <v>19</v>
      </c>
      <c r="J135" s="125">
        <f t="shared" si="14"/>
        <v>0</v>
      </c>
      <c r="K135" s="125">
        <v>46</v>
      </c>
      <c r="L135" s="156"/>
      <c r="M135" s="145"/>
      <c r="N135" s="123" t="s">
        <v>977</v>
      </c>
      <c r="O135" s="146" t="s">
        <v>1247</v>
      </c>
      <c r="P135" s="145">
        <v>2120806</v>
      </c>
    </row>
    <row r="136" s="114" customFormat="1" ht="28" customHeight="1" spans="1:16">
      <c r="A136" s="123">
        <v>126</v>
      </c>
      <c r="B136" s="123" t="s">
        <v>1242</v>
      </c>
      <c r="C136" s="123" t="s">
        <v>1243</v>
      </c>
      <c r="D136" s="124" t="s">
        <v>1514</v>
      </c>
      <c r="E136" s="125">
        <v>150</v>
      </c>
      <c r="F136" s="125">
        <v>83.01</v>
      </c>
      <c r="G136" s="125"/>
      <c r="H136" s="125">
        <f t="shared" si="12"/>
        <v>83.01</v>
      </c>
      <c r="I136" s="125">
        <v>12.138408</v>
      </c>
      <c r="J136" s="125">
        <f t="shared" si="14"/>
        <v>0</v>
      </c>
      <c r="K136" s="125">
        <v>83.01</v>
      </c>
      <c r="L136" s="156"/>
      <c r="M136" s="145"/>
      <c r="N136" s="123" t="s">
        <v>977</v>
      </c>
      <c r="O136" s="146" t="s">
        <v>1247</v>
      </c>
      <c r="P136" s="145">
        <v>2120806</v>
      </c>
    </row>
    <row r="137" s="114" customFormat="1" ht="28" customHeight="1" spans="1:16">
      <c r="A137" s="123">
        <v>127</v>
      </c>
      <c r="B137" s="123" t="s">
        <v>1242</v>
      </c>
      <c r="C137" s="123" t="s">
        <v>1243</v>
      </c>
      <c r="D137" s="124" t="s">
        <v>1515</v>
      </c>
      <c r="E137" s="125">
        <v>10</v>
      </c>
      <c r="F137" s="125">
        <v>10</v>
      </c>
      <c r="G137" s="125"/>
      <c r="H137" s="125">
        <f t="shared" si="12"/>
        <v>10</v>
      </c>
      <c r="I137" s="125">
        <v>0</v>
      </c>
      <c r="J137" s="125">
        <f t="shared" si="14"/>
        <v>0</v>
      </c>
      <c r="K137" s="125">
        <v>10</v>
      </c>
      <c r="L137" s="156"/>
      <c r="M137" s="145"/>
      <c r="N137" s="123" t="s">
        <v>977</v>
      </c>
      <c r="O137" s="146" t="s">
        <v>1247</v>
      </c>
      <c r="P137" s="145">
        <v>2120806</v>
      </c>
    </row>
    <row r="138" s="114" customFormat="1" ht="28" customHeight="1" spans="1:16">
      <c r="A138" s="123">
        <v>128</v>
      </c>
      <c r="B138" s="123" t="s">
        <v>1242</v>
      </c>
      <c r="C138" s="123" t="s">
        <v>1243</v>
      </c>
      <c r="D138" s="124" t="s">
        <v>1516</v>
      </c>
      <c r="E138" s="125">
        <v>6.99</v>
      </c>
      <c r="F138" s="125">
        <v>6.99</v>
      </c>
      <c r="G138" s="125"/>
      <c r="H138" s="125">
        <f t="shared" si="12"/>
        <v>6.99</v>
      </c>
      <c r="I138" s="125">
        <v>0</v>
      </c>
      <c r="J138" s="125">
        <f t="shared" si="14"/>
        <v>0</v>
      </c>
      <c r="K138" s="125">
        <v>6.99</v>
      </c>
      <c r="L138" s="156"/>
      <c r="M138" s="145"/>
      <c r="N138" s="123" t="s">
        <v>977</v>
      </c>
      <c r="O138" s="146" t="s">
        <v>1247</v>
      </c>
      <c r="P138" s="145">
        <v>2120806</v>
      </c>
    </row>
    <row r="139" s="114" customFormat="1" ht="28" customHeight="1" spans="1:16">
      <c r="A139" s="123">
        <v>129</v>
      </c>
      <c r="B139" s="123" t="s">
        <v>1242</v>
      </c>
      <c r="C139" s="123" t="s">
        <v>1312</v>
      </c>
      <c r="D139" s="124" t="s">
        <v>1517</v>
      </c>
      <c r="E139" s="125">
        <v>275.35</v>
      </c>
      <c r="F139" s="125">
        <v>275.35</v>
      </c>
      <c r="G139" s="125"/>
      <c r="H139" s="125">
        <f t="shared" si="12"/>
        <v>275.35</v>
      </c>
      <c r="I139" s="125">
        <v>211.929</v>
      </c>
      <c r="J139" s="125">
        <f t="shared" si="14"/>
        <v>0</v>
      </c>
      <c r="K139" s="125">
        <v>275.35</v>
      </c>
      <c r="L139" s="156"/>
      <c r="M139" s="145"/>
      <c r="N139" s="123" t="s">
        <v>977</v>
      </c>
      <c r="O139" s="146" t="s">
        <v>1247</v>
      </c>
      <c r="P139" s="145">
        <v>2120806</v>
      </c>
    </row>
    <row r="140" s="114" customFormat="1" ht="28" customHeight="1" spans="1:16">
      <c r="A140" s="123">
        <v>130</v>
      </c>
      <c r="B140" s="123" t="s">
        <v>1242</v>
      </c>
      <c r="C140" s="123" t="s">
        <v>1312</v>
      </c>
      <c r="D140" s="124" t="s">
        <v>1518</v>
      </c>
      <c r="E140" s="125">
        <v>352.91</v>
      </c>
      <c r="F140" s="125">
        <v>352.91</v>
      </c>
      <c r="G140" s="125"/>
      <c r="H140" s="125">
        <f t="shared" si="12"/>
        <v>352.91</v>
      </c>
      <c r="I140" s="125">
        <v>198.05</v>
      </c>
      <c r="J140" s="125">
        <f t="shared" si="14"/>
        <v>0</v>
      </c>
      <c r="K140" s="125">
        <v>352.91</v>
      </c>
      <c r="L140" s="156"/>
      <c r="M140" s="145"/>
      <c r="N140" s="123" t="s">
        <v>977</v>
      </c>
      <c r="O140" s="146" t="s">
        <v>1247</v>
      </c>
      <c r="P140" s="145">
        <v>2120806</v>
      </c>
    </row>
    <row r="141" s="114" customFormat="1" ht="45" customHeight="1" spans="1:16">
      <c r="A141" s="123">
        <v>131</v>
      </c>
      <c r="B141" s="123" t="s">
        <v>1242</v>
      </c>
      <c r="C141" s="123" t="s">
        <v>1312</v>
      </c>
      <c r="D141" s="124" t="s">
        <v>1519</v>
      </c>
      <c r="E141" s="125">
        <v>3551.48</v>
      </c>
      <c r="F141" s="125">
        <v>500</v>
      </c>
      <c r="G141" s="125">
        <v>-25</v>
      </c>
      <c r="H141" s="125">
        <f t="shared" si="12"/>
        <v>475</v>
      </c>
      <c r="I141" s="125">
        <v>0</v>
      </c>
      <c r="J141" s="125">
        <f t="shared" si="14"/>
        <v>-25</v>
      </c>
      <c r="K141" s="125">
        <v>475</v>
      </c>
      <c r="L141" s="156" t="s">
        <v>1520</v>
      </c>
      <c r="M141" s="145"/>
      <c r="N141" s="123" t="s">
        <v>977</v>
      </c>
      <c r="O141" s="146" t="s">
        <v>1247</v>
      </c>
      <c r="P141" s="145">
        <v>2120806</v>
      </c>
    </row>
    <row r="142" s="114" customFormat="1" ht="28" customHeight="1" spans="1:16">
      <c r="A142" s="123">
        <v>132</v>
      </c>
      <c r="B142" s="123" t="s">
        <v>1242</v>
      </c>
      <c r="C142" s="123" t="s">
        <v>1312</v>
      </c>
      <c r="D142" s="124" t="s">
        <v>1521</v>
      </c>
      <c r="E142" s="125">
        <v>10.8</v>
      </c>
      <c r="F142" s="125">
        <v>10.8</v>
      </c>
      <c r="G142" s="125"/>
      <c r="H142" s="125">
        <f t="shared" si="12"/>
        <v>10.8</v>
      </c>
      <c r="I142" s="125">
        <v>0</v>
      </c>
      <c r="J142" s="125">
        <f t="shared" si="14"/>
        <v>0</v>
      </c>
      <c r="K142" s="125">
        <v>10.8</v>
      </c>
      <c r="L142" s="156"/>
      <c r="M142" s="145"/>
      <c r="N142" s="123" t="s">
        <v>977</v>
      </c>
      <c r="O142" s="146" t="s">
        <v>1247</v>
      </c>
      <c r="P142" s="145">
        <v>2120806</v>
      </c>
    </row>
    <row r="143" s="114" customFormat="1" ht="28" customHeight="1" spans="1:16">
      <c r="A143" s="123">
        <v>133</v>
      </c>
      <c r="B143" s="123" t="s">
        <v>1242</v>
      </c>
      <c r="C143" s="123" t="s">
        <v>1312</v>
      </c>
      <c r="D143" s="124" t="s">
        <v>1522</v>
      </c>
      <c r="E143" s="125">
        <v>71.25</v>
      </c>
      <c r="F143" s="125">
        <v>71.25</v>
      </c>
      <c r="G143" s="125">
        <v>-2.12</v>
      </c>
      <c r="H143" s="125">
        <f t="shared" si="12"/>
        <v>69.13</v>
      </c>
      <c r="I143" s="125">
        <v>29.65631</v>
      </c>
      <c r="J143" s="125">
        <f t="shared" si="14"/>
        <v>-2.12</v>
      </c>
      <c r="K143" s="125">
        <v>69.13</v>
      </c>
      <c r="L143" s="156" t="s">
        <v>1523</v>
      </c>
      <c r="M143" s="145"/>
      <c r="N143" s="123" t="s">
        <v>977</v>
      </c>
      <c r="O143" s="146" t="s">
        <v>1247</v>
      </c>
      <c r="P143" s="145">
        <v>2120806</v>
      </c>
    </row>
    <row r="144" s="114" customFormat="1" ht="28" customHeight="1" spans="1:16">
      <c r="A144" s="123">
        <v>134</v>
      </c>
      <c r="B144" s="123" t="s">
        <v>1242</v>
      </c>
      <c r="C144" s="123" t="s">
        <v>1312</v>
      </c>
      <c r="D144" s="124" t="s">
        <v>1524</v>
      </c>
      <c r="E144" s="125">
        <v>81.05</v>
      </c>
      <c r="F144" s="125">
        <v>81.05</v>
      </c>
      <c r="G144" s="125"/>
      <c r="H144" s="125">
        <f t="shared" si="12"/>
        <v>81.05</v>
      </c>
      <c r="I144" s="125">
        <v>6.885</v>
      </c>
      <c r="J144" s="125">
        <f t="shared" si="14"/>
        <v>0</v>
      </c>
      <c r="K144" s="125">
        <v>81.05</v>
      </c>
      <c r="L144" s="156"/>
      <c r="M144" s="145"/>
      <c r="N144" s="123" t="s">
        <v>977</v>
      </c>
      <c r="O144" s="146" t="s">
        <v>1247</v>
      </c>
      <c r="P144" s="145">
        <v>2120806</v>
      </c>
    </row>
    <row r="145" s="114" customFormat="1" ht="28" customHeight="1" spans="1:16">
      <c r="A145" s="123">
        <v>135</v>
      </c>
      <c r="B145" s="123" t="s">
        <v>1242</v>
      </c>
      <c r="C145" s="123" t="s">
        <v>1312</v>
      </c>
      <c r="D145" s="124" t="s">
        <v>1525</v>
      </c>
      <c r="E145" s="125">
        <v>31</v>
      </c>
      <c r="F145" s="125">
        <v>27.8</v>
      </c>
      <c r="G145" s="125"/>
      <c r="H145" s="125">
        <f t="shared" si="12"/>
        <v>27.8</v>
      </c>
      <c r="I145" s="125">
        <v>1.7577</v>
      </c>
      <c r="J145" s="125">
        <f t="shared" si="14"/>
        <v>0</v>
      </c>
      <c r="K145" s="125">
        <v>27.8</v>
      </c>
      <c r="L145" s="156"/>
      <c r="M145" s="145"/>
      <c r="N145" s="123" t="s">
        <v>977</v>
      </c>
      <c r="O145" s="146" t="s">
        <v>1247</v>
      </c>
      <c r="P145" s="145">
        <v>2120806</v>
      </c>
    </row>
    <row r="146" s="114" customFormat="1" ht="28" customHeight="1" spans="1:16">
      <c r="A146" s="123">
        <v>136</v>
      </c>
      <c r="B146" s="123" t="s">
        <v>1242</v>
      </c>
      <c r="C146" s="123" t="s">
        <v>1312</v>
      </c>
      <c r="D146" s="124" t="s">
        <v>1526</v>
      </c>
      <c r="E146" s="125">
        <v>20</v>
      </c>
      <c r="F146" s="125">
        <v>20</v>
      </c>
      <c r="G146" s="125"/>
      <c r="H146" s="125">
        <f t="shared" si="12"/>
        <v>20</v>
      </c>
      <c r="I146" s="125">
        <v>20</v>
      </c>
      <c r="J146" s="125">
        <f t="shared" si="14"/>
        <v>0</v>
      </c>
      <c r="K146" s="125">
        <v>20</v>
      </c>
      <c r="L146" s="156"/>
      <c r="M146" s="145"/>
      <c r="N146" s="123" t="s">
        <v>977</v>
      </c>
      <c r="O146" s="146" t="s">
        <v>1247</v>
      </c>
      <c r="P146" s="145">
        <v>2120806</v>
      </c>
    </row>
    <row r="147" s="114" customFormat="1" ht="28" customHeight="1" spans="1:16">
      <c r="A147" s="123">
        <v>137</v>
      </c>
      <c r="B147" s="123" t="s">
        <v>1242</v>
      </c>
      <c r="C147" s="123" t="s">
        <v>1312</v>
      </c>
      <c r="D147" s="124" t="s">
        <v>1527</v>
      </c>
      <c r="E147" s="125">
        <v>31.2</v>
      </c>
      <c r="F147" s="125">
        <v>31.2</v>
      </c>
      <c r="G147" s="125"/>
      <c r="H147" s="125">
        <f t="shared" si="12"/>
        <v>31.2</v>
      </c>
      <c r="I147" s="125">
        <v>15.6</v>
      </c>
      <c r="J147" s="125">
        <f t="shared" si="14"/>
        <v>0</v>
      </c>
      <c r="K147" s="125">
        <v>31.2</v>
      </c>
      <c r="L147" s="156"/>
      <c r="M147" s="145"/>
      <c r="N147" s="123" t="s">
        <v>977</v>
      </c>
      <c r="O147" s="146" t="s">
        <v>1247</v>
      </c>
      <c r="P147" s="145">
        <v>2120806</v>
      </c>
    </row>
    <row r="148" s="114" customFormat="1" ht="28" customHeight="1" spans="1:16">
      <c r="A148" s="123">
        <v>138</v>
      </c>
      <c r="B148" s="123" t="s">
        <v>1242</v>
      </c>
      <c r="C148" s="123" t="s">
        <v>1312</v>
      </c>
      <c r="D148" s="124" t="s">
        <v>1528</v>
      </c>
      <c r="E148" s="125">
        <v>26.4</v>
      </c>
      <c r="F148" s="125">
        <v>26.4</v>
      </c>
      <c r="G148" s="125"/>
      <c r="H148" s="125">
        <f t="shared" si="12"/>
        <v>26.4</v>
      </c>
      <c r="I148" s="125">
        <v>13.2</v>
      </c>
      <c r="J148" s="125">
        <f t="shared" si="14"/>
        <v>0</v>
      </c>
      <c r="K148" s="125">
        <v>26.4</v>
      </c>
      <c r="L148" s="156"/>
      <c r="M148" s="145"/>
      <c r="N148" s="123" t="s">
        <v>977</v>
      </c>
      <c r="O148" s="146" t="s">
        <v>1247</v>
      </c>
      <c r="P148" s="145">
        <v>2120806</v>
      </c>
    </row>
    <row r="149" s="114" customFormat="1" ht="28" customHeight="1" spans="1:16">
      <c r="A149" s="123">
        <v>139</v>
      </c>
      <c r="B149" s="123" t="s">
        <v>1242</v>
      </c>
      <c r="C149" s="123" t="s">
        <v>1312</v>
      </c>
      <c r="D149" s="124" t="s">
        <v>1529</v>
      </c>
      <c r="E149" s="125">
        <v>6</v>
      </c>
      <c r="F149" s="125">
        <v>6</v>
      </c>
      <c r="G149" s="125"/>
      <c r="H149" s="125">
        <f t="shared" si="12"/>
        <v>6</v>
      </c>
      <c r="I149" s="125">
        <v>0</v>
      </c>
      <c r="J149" s="125">
        <f t="shared" si="14"/>
        <v>0</v>
      </c>
      <c r="K149" s="125">
        <v>6</v>
      </c>
      <c r="L149" s="156"/>
      <c r="M149" s="145"/>
      <c r="N149" s="123" t="s">
        <v>977</v>
      </c>
      <c r="O149" s="146" t="s">
        <v>1247</v>
      </c>
      <c r="P149" s="145">
        <v>21211</v>
      </c>
    </row>
    <row r="150" s="114" customFormat="1" ht="28" customHeight="1" spans="1:16">
      <c r="A150" s="123">
        <v>140</v>
      </c>
      <c r="B150" s="123" t="s">
        <v>1242</v>
      </c>
      <c r="C150" s="123" t="s">
        <v>1312</v>
      </c>
      <c r="D150" s="124" t="s">
        <v>1530</v>
      </c>
      <c r="E150" s="125">
        <v>38.04</v>
      </c>
      <c r="F150" s="125">
        <v>38.04</v>
      </c>
      <c r="G150" s="125"/>
      <c r="H150" s="125">
        <f t="shared" si="12"/>
        <v>38.04</v>
      </c>
      <c r="I150" s="125">
        <v>0</v>
      </c>
      <c r="J150" s="125">
        <f t="shared" si="14"/>
        <v>0</v>
      </c>
      <c r="K150" s="125">
        <v>38.04</v>
      </c>
      <c r="L150" s="156"/>
      <c r="M150" s="145"/>
      <c r="N150" s="123" t="s">
        <v>977</v>
      </c>
      <c r="O150" s="146" t="s">
        <v>1247</v>
      </c>
      <c r="P150" s="145">
        <v>21211</v>
      </c>
    </row>
    <row r="151" s="114" customFormat="1" ht="28" customHeight="1" spans="1:16">
      <c r="A151" s="123">
        <v>141</v>
      </c>
      <c r="B151" s="123" t="s">
        <v>1242</v>
      </c>
      <c r="C151" s="123" t="s">
        <v>1312</v>
      </c>
      <c r="D151" s="124" t="s">
        <v>1531</v>
      </c>
      <c r="E151" s="125">
        <v>12</v>
      </c>
      <c r="F151" s="125">
        <v>12</v>
      </c>
      <c r="G151" s="125">
        <v>8</v>
      </c>
      <c r="H151" s="125">
        <f t="shared" si="12"/>
        <v>20</v>
      </c>
      <c r="I151" s="125">
        <v>0</v>
      </c>
      <c r="J151" s="125">
        <f t="shared" si="14"/>
        <v>8</v>
      </c>
      <c r="K151" s="125">
        <v>20</v>
      </c>
      <c r="L151" s="156" t="s">
        <v>1532</v>
      </c>
      <c r="M151" s="145"/>
      <c r="N151" s="123" t="s">
        <v>977</v>
      </c>
      <c r="O151" s="146" t="s">
        <v>1247</v>
      </c>
      <c r="P151" s="145">
        <v>21211</v>
      </c>
    </row>
    <row r="152" s="114" customFormat="1" ht="28" customHeight="1" spans="1:16">
      <c r="A152" s="123">
        <v>142</v>
      </c>
      <c r="B152" s="123" t="s">
        <v>1242</v>
      </c>
      <c r="C152" s="123" t="s">
        <v>1312</v>
      </c>
      <c r="D152" s="124" t="s">
        <v>1533</v>
      </c>
      <c r="E152" s="125">
        <v>409.22</v>
      </c>
      <c r="F152" s="125">
        <v>409.22</v>
      </c>
      <c r="G152" s="125"/>
      <c r="H152" s="125">
        <f t="shared" si="12"/>
        <v>409.22</v>
      </c>
      <c r="I152" s="125">
        <v>4</v>
      </c>
      <c r="J152" s="125">
        <f t="shared" si="14"/>
        <v>0</v>
      </c>
      <c r="K152" s="125">
        <v>409.22</v>
      </c>
      <c r="L152" s="156"/>
      <c r="M152" s="145"/>
      <c r="N152" s="123" t="s">
        <v>977</v>
      </c>
      <c r="O152" s="146" t="s">
        <v>1247</v>
      </c>
      <c r="P152" s="145">
        <v>21211</v>
      </c>
    </row>
    <row r="153" s="114" customFormat="1" ht="28" customHeight="1" spans="1:16">
      <c r="A153" s="123">
        <v>143</v>
      </c>
      <c r="B153" s="123" t="s">
        <v>1242</v>
      </c>
      <c r="C153" s="123" t="s">
        <v>1312</v>
      </c>
      <c r="D153" s="124" t="s">
        <v>1534</v>
      </c>
      <c r="E153" s="125">
        <v>20</v>
      </c>
      <c r="F153" s="125">
        <v>20</v>
      </c>
      <c r="G153" s="125">
        <v>-20</v>
      </c>
      <c r="H153" s="125">
        <f t="shared" si="12"/>
        <v>0</v>
      </c>
      <c r="I153" s="125">
        <v>0</v>
      </c>
      <c r="J153" s="125">
        <f t="shared" si="14"/>
        <v>-20</v>
      </c>
      <c r="K153" s="125">
        <v>0</v>
      </c>
      <c r="L153" s="156" t="s">
        <v>1535</v>
      </c>
      <c r="M153" s="145"/>
      <c r="N153" s="123" t="s">
        <v>977</v>
      </c>
      <c r="O153" s="146" t="s">
        <v>1247</v>
      </c>
      <c r="P153" s="145">
        <v>21211</v>
      </c>
    </row>
    <row r="154" s="114" customFormat="1" ht="55" customHeight="1" spans="1:16">
      <c r="A154" s="123">
        <v>144</v>
      </c>
      <c r="B154" s="123" t="s">
        <v>1242</v>
      </c>
      <c r="C154" s="123" t="s">
        <v>1312</v>
      </c>
      <c r="D154" s="124" t="s">
        <v>1536</v>
      </c>
      <c r="E154" s="125">
        <v>400</v>
      </c>
      <c r="F154" s="125">
        <v>400</v>
      </c>
      <c r="G154" s="125">
        <v>-150</v>
      </c>
      <c r="H154" s="125">
        <f t="shared" si="12"/>
        <v>250</v>
      </c>
      <c r="I154" s="125">
        <v>182.6555</v>
      </c>
      <c r="J154" s="125">
        <f t="shared" si="14"/>
        <v>-150</v>
      </c>
      <c r="K154" s="125">
        <v>250</v>
      </c>
      <c r="L154" s="156" t="s">
        <v>1537</v>
      </c>
      <c r="M154" s="145"/>
      <c r="N154" s="123" t="s">
        <v>977</v>
      </c>
      <c r="O154" s="146" t="s">
        <v>1247</v>
      </c>
      <c r="P154" s="145">
        <v>21211</v>
      </c>
    </row>
    <row r="155" s="114" customFormat="1" ht="28" customHeight="1" spans="1:16">
      <c r="A155" s="123">
        <v>145</v>
      </c>
      <c r="B155" s="123" t="s">
        <v>1242</v>
      </c>
      <c r="C155" s="123" t="s">
        <v>1312</v>
      </c>
      <c r="D155" s="124" t="s">
        <v>1538</v>
      </c>
      <c r="E155" s="125"/>
      <c r="F155" s="125"/>
      <c r="G155" s="125">
        <v>80</v>
      </c>
      <c r="H155" s="125">
        <f t="shared" si="12"/>
        <v>80</v>
      </c>
      <c r="I155" s="125">
        <v>0</v>
      </c>
      <c r="J155" s="125">
        <f t="shared" si="14"/>
        <v>80</v>
      </c>
      <c r="K155" s="125">
        <v>80</v>
      </c>
      <c r="L155" s="156"/>
      <c r="M155" s="145"/>
      <c r="N155" s="123" t="s">
        <v>977</v>
      </c>
      <c r="O155" s="146" t="s">
        <v>1247</v>
      </c>
      <c r="P155" s="145">
        <v>21211</v>
      </c>
    </row>
    <row r="156" s="114" customFormat="1" ht="28" customHeight="1" spans="1:16">
      <c r="A156" s="123">
        <v>146</v>
      </c>
      <c r="B156" s="123" t="s">
        <v>1242</v>
      </c>
      <c r="C156" s="123" t="s">
        <v>1312</v>
      </c>
      <c r="D156" s="124" t="s">
        <v>1539</v>
      </c>
      <c r="E156" s="125">
        <v>60</v>
      </c>
      <c r="F156" s="125">
        <v>60</v>
      </c>
      <c r="G156" s="125"/>
      <c r="H156" s="125">
        <f t="shared" si="12"/>
        <v>60</v>
      </c>
      <c r="I156" s="125">
        <v>0</v>
      </c>
      <c r="J156" s="125">
        <f t="shared" si="14"/>
        <v>0</v>
      </c>
      <c r="K156" s="125">
        <v>60</v>
      </c>
      <c r="L156" s="156"/>
      <c r="M156" s="145"/>
      <c r="N156" s="123" t="s">
        <v>977</v>
      </c>
      <c r="O156" s="146" t="s">
        <v>1247</v>
      </c>
      <c r="P156" s="145">
        <v>2120806</v>
      </c>
    </row>
    <row r="157" s="114" customFormat="1" ht="28" customHeight="1" spans="1:16">
      <c r="A157" s="123">
        <v>147</v>
      </c>
      <c r="B157" s="123" t="s">
        <v>1242</v>
      </c>
      <c r="C157" s="123" t="s">
        <v>1312</v>
      </c>
      <c r="D157" s="124" t="s">
        <v>455</v>
      </c>
      <c r="E157" s="125">
        <v>120</v>
      </c>
      <c r="F157" s="125">
        <v>120</v>
      </c>
      <c r="G157" s="125"/>
      <c r="H157" s="125">
        <f t="shared" si="12"/>
        <v>120</v>
      </c>
      <c r="I157" s="125">
        <v>10</v>
      </c>
      <c r="J157" s="125">
        <f t="shared" si="14"/>
        <v>0</v>
      </c>
      <c r="K157" s="125">
        <v>120</v>
      </c>
      <c r="L157" s="156"/>
      <c r="M157" s="145"/>
      <c r="N157" s="123" t="s">
        <v>977</v>
      </c>
      <c r="O157" s="146" t="s">
        <v>1247</v>
      </c>
      <c r="P157" s="145">
        <v>2120806</v>
      </c>
    </row>
    <row r="158" s="114" customFormat="1" ht="28" customHeight="1" spans="1:16">
      <c r="A158" s="123">
        <v>148</v>
      </c>
      <c r="B158" s="123" t="s">
        <v>1242</v>
      </c>
      <c r="C158" s="123" t="s">
        <v>1312</v>
      </c>
      <c r="D158" s="124" t="s">
        <v>1540</v>
      </c>
      <c r="E158" s="125">
        <v>137</v>
      </c>
      <c r="F158" s="125">
        <v>137</v>
      </c>
      <c r="G158" s="125"/>
      <c r="H158" s="125">
        <f t="shared" si="12"/>
        <v>137</v>
      </c>
      <c r="I158" s="125">
        <v>31</v>
      </c>
      <c r="J158" s="125">
        <f t="shared" si="14"/>
        <v>0</v>
      </c>
      <c r="K158" s="125">
        <v>137</v>
      </c>
      <c r="L158" s="156"/>
      <c r="M158" s="145"/>
      <c r="N158" s="123" t="s">
        <v>977</v>
      </c>
      <c r="O158" s="146" t="s">
        <v>1247</v>
      </c>
      <c r="P158" s="145">
        <v>2120806</v>
      </c>
    </row>
    <row r="159" s="114" customFormat="1" ht="28" customHeight="1" spans="1:16">
      <c r="A159" s="123">
        <v>149</v>
      </c>
      <c r="B159" s="123" t="s">
        <v>1242</v>
      </c>
      <c r="C159" s="123" t="s">
        <v>1312</v>
      </c>
      <c r="D159" s="124" t="s">
        <v>1541</v>
      </c>
      <c r="E159" s="125">
        <v>90</v>
      </c>
      <c r="F159" s="125">
        <v>90</v>
      </c>
      <c r="G159" s="125"/>
      <c r="H159" s="125">
        <f t="shared" si="12"/>
        <v>90</v>
      </c>
      <c r="I159" s="125">
        <v>67.5</v>
      </c>
      <c r="J159" s="125">
        <f t="shared" si="14"/>
        <v>0</v>
      </c>
      <c r="K159" s="125">
        <v>90</v>
      </c>
      <c r="L159" s="156"/>
      <c r="M159" s="145"/>
      <c r="N159" s="123" t="s">
        <v>977</v>
      </c>
      <c r="O159" s="146" t="s">
        <v>1247</v>
      </c>
      <c r="P159" s="145">
        <v>2120806</v>
      </c>
    </row>
    <row r="160" s="114" customFormat="1" ht="28" customHeight="1" spans="1:16">
      <c r="A160" s="123">
        <v>150</v>
      </c>
      <c r="B160" s="123" t="s">
        <v>1242</v>
      </c>
      <c r="C160" s="123" t="s">
        <v>1312</v>
      </c>
      <c r="D160" s="124" t="s">
        <v>1542</v>
      </c>
      <c r="E160" s="125">
        <v>90</v>
      </c>
      <c r="F160" s="125">
        <v>90</v>
      </c>
      <c r="G160" s="125"/>
      <c r="H160" s="125">
        <f t="shared" si="12"/>
        <v>90</v>
      </c>
      <c r="I160" s="125">
        <v>65</v>
      </c>
      <c r="J160" s="125">
        <f t="shared" si="14"/>
        <v>0</v>
      </c>
      <c r="K160" s="125">
        <v>90</v>
      </c>
      <c r="L160" s="156"/>
      <c r="M160" s="145"/>
      <c r="N160" s="123" t="s">
        <v>977</v>
      </c>
      <c r="O160" s="146" t="s">
        <v>1247</v>
      </c>
      <c r="P160" s="145">
        <v>2120806</v>
      </c>
    </row>
    <row r="161" s="114" customFormat="1" ht="28" customHeight="1" spans="1:16">
      <c r="A161" s="123">
        <v>151</v>
      </c>
      <c r="B161" s="123" t="s">
        <v>1242</v>
      </c>
      <c r="C161" s="123" t="s">
        <v>1312</v>
      </c>
      <c r="D161" s="124" t="s">
        <v>1543</v>
      </c>
      <c r="E161" s="125">
        <v>144.42</v>
      </c>
      <c r="F161" s="125">
        <v>144.42</v>
      </c>
      <c r="G161" s="125"/>
      <c r="H161" s="125">
        <f t="shared" si="12"/>
        <v>144.42</v>
      </c>
      <c r="I161" s="125">
        <v>0</v>
      </c>
      <c r="J161" s="125">
        <f t="shared" si="14"/>
        <v>0</v>
      </c>
      <c r="K161" s="125">
        <v>144.42</v>
      </c>
      <c r="L161" s="156"/>
      <c r="M161" s="145"/>
      <c r="N161" s="123" t="s">
        <v>977</v>
      </c>
      <c r="O161" s="146" t="s">
        <v>1247</v>
      </c>
      <c r="P161" s="145">
        <v>2120806</v>
      </c>
    </row>
    <row r="162" s="114" customFormat="1" ht="28" customHeight="1" spans="1:16">
      <c r="A162" s="123">
        <v>152</v>
      </c>
      <c r="B162" s="123" t="s">
        <v>1242</v>
      </c>
      <c r="C162" s="123" t="s">
        <v>1312</v>
      </c>
      <c r="D162" s="124" t="s">
        <v>1544</v>
      </c>
      <c r="E162" s="125">
        <v>193.3</v>
      </c>
      <c r="F162" s="125">
        <v>193.3</v>
      </c>
      <c r="G162" s="125"/>
      <c r="H162" s="125">
        <f t="shared" si="12"/>
        <v>193.3</v>
      </c>
      <c r="I162" s="125">
        <v>13.5</v>
      </c>
      <c r="J162" s="125">
        <f t="shared" si="14"/>
        <v>0</v>
      </c>
      <c r="K162" s="125">
        <v>193.3</v>
      </c>
      <c r="L162" s="156"/>
      <c r="M162" s="145"/>
      <c r="N162" s="123" t="s">
        <v>977</v>
      </c>
      <c r="O162" s="146" t="s">
        <v>1247</v>
      </c>
      <c r="P162" s="145">
        <v>2120806</v>
      </c>
    </row>
    <row r="163" s="114" customFormat="1" ht="28" customHeight="1" spans="1:16">
      <c r="A163" s="123">
        <v>153</v>
      </c>
      <c r="B163" s="123" t="s">
        <v>1242</v>
      </c>
      <c r="C163" s="123" t="s">
        <v>1312</v>
      </c>
      <c r="D163" s="124" t="s">
        <v>1545</v>
      </c>
      <c r="E163" s="125"/>
      <c r="F163" s="125"/>
      <c r="G163" s="125">
        <v>0.48848</v>
      </c>
      <c r="H163" s="125">
        <f t="shared" si="12"/>
        <v>0.48848</v>
      </c>
      <c r="I163" s="125">
        <v>0.48848</v>
      </c>
      <c r="J163" s="125">
        <f t="shared" si="14"/>
        <v>0.48848</v>
      </c>
      <c r="K163" s="125">
        <v>0.48848</v>
      </c>
      <c r="L163" s="157" t="s">
        <v>1546</v>
      </c>
      <c r="M163" s="145"/>
      <c r="N163" s="123" t="s">
        <v>977</v>
      </c>
      <c r="O163" s="146" t="s">
        <v>1247</v>
      </c>
      <c r="P163" s="145">
        <v>2120806</v>
      </c>
    </row>
    <row r="164" s="114" customFormat="1" ht="28" customHeight="1" spans="1:16">
      <c r="A164" s="123">
        <v>154</v>
      </c>
      <c r="B164" s="123" t="s">
        <v>1242</v>
      </c>
      <c r="C164" s="123" t="s">
        <v>1312</v>
      </c>
      <c r="D164" s="124" t="s">
        <v>1547</v>
      </c>
      <c r="E164" s="125"/>
      <c r="F164" s="125"/>
      <c r="G164" s="125">
        <v>10</v>
      </c>
      <c r="H164" s="125">
        <f t="shared" si="12"/>
        <v>10</v>
      </c>
      <c r="I164" s="125">
        <v>0</v>
      </c>
      <c r="J164" s="125">
        <f t="shared" si="14"/>
        <v>10</v>
      </c>
      <c r="K164" s="125">
        <v>10</v>
      </c>
      <c r="L164" s="157" t="s">
        <v>1548</v>
      </c>
      <c r="M164" s="145"/>
      <c r="N164" s="123" t="s">
        <v>977</v>
      </c>
      <c r="O164" s="146" t="s">
        <v>1247</v>
      </c>
      <c r="P164" s="145">
        <v>2120806</v>
      </c>
    </row>
    <row r="165" s="114" customFormat="1" ht="28" customHeight="1" spans="1:16">
      <c r="A165" s="123">
        <v>155</v>
      </c>
      <c r="B165" s="123" t="s">
        <v>1242</v>
      </c>
      <c r="C165" s="123" t="s">
        <v>1312</v>
      </c>
      <c r="D165" s="124" t="s">
        <v>1549</v>
      </c>
      <c r="E165" s="125"/>
      <c r="F165" s="125"/>
      <c r="G165" s="125">
        <v>28</v>
      </c>
      <c r="H165" s="125">
        <f t="shared" si="12"/>
        <v>28</v>
      </c>
      <c r="I165" s="125">
        <v>0</v>
      </c>
      <c r="J165" s="125">
        <f t="shared" si="14"/>
        <v>28</v>
      </c>
      <c r="K165" s="125">
        <v>28</v>
      </c>
      <c r="L165" s="157" t="s">
        <v>1550</v>
      </c>
      <c r="M165" s="145"/>
      <c r="N165" s="123" t="s">
        <v>977</v>
      </c>
      <c r="O165" s="146" t="s">
        <v>1247</v>
      </c>
      <c r="P165" s="145">
        <v>2120806</v>
      </c>
    </row>
    <row r="166" s="114" customFormat="1" ht="28" customHeight="1" spans="1:16">
      <c r="A166" s="123">
        <v>156</v>
      </c>
      <c r="B166" s="123" t="s">
        <v>1242</v>
      </c>
      <c r="C166" s="123" t="s">
        <v>1312</v>
      </c>
      <c r="D166" s="124" t="s">
        <v>1551</v>
      </c>
      <c r="E166" s="125"/>
      <c r="F166" s="125"/>
      <c r="G166" s="125">
        <v>46</v>
      </c>
      <c r="H166" s="125">
        <f t="shared" si="12"/>
        <v>46</v>
      </c>
      <c r="I166" s="125">
        <v>0</v>
      </c>
      <c r="J166" s="125">
        <f t="shared" si="14"/>
        <v>46</v>
      </c>
      <c r="K166" s="125">
        <v>46</v>
      </c>
      <c r="L166" s="157" t="s">
        <v>1552</v>
      </c>
      <c r="M166" s="145"/>
      <c r="N166" s="123" t="s">
        <v>977</v>
      </c>
      <c r="O166" s="146" t="s">
        <v>1247</v>
      </c>
      <c r="P166" s="145">
        <v>2120806</v>
      </c>
    </row>
    <row r="167" s="114" customFormat="1" ht="28" customHeight="1" spans="1:16">
      <c r="A167" s="123">
        <v>157</v>
      </c>
      <c r="B167" s="123" t="s">
        <v>1242</v>
      </c>
      <c r="C167" s="123" t="s">
        <v>1312</v>
      </c>
      <c r="D167" s="124" t="s">
        <v>1553</v>
      </c>
      <c r="E167" s="125"/>
      <c r="F167" s="125"/>
      <c r="G167" s="125">
        <v>17.4</v>
      </c>
      <c r="H167" s="125">
        <f t="shared" si="12"/>
        <v>17.4</v>
      </c>
      <c r="I167" s="125">
        <v>0</v>
      </c>
      <c r="J167" s="125">
        <f t="shared" si="14"/>
        <v>17.4</v>
      </c>
      <c r="K167" s="125">
        <v>17.4</v>
      </c>
      <c r="L167" s="157" t="s">
        <v>1552</v>
      </c>
      <c r="M167" s="145"/>
      <c r="N167" s="123" t="s">
        <v>977</v>
      </c>
      <c r="O167" s="146" t="s">
        <v>1247</v>
      </c>
      <c r="P167" s="145">
        <v>21211</v>
      </c>
    </row>
    <row r="168" s="114" customFormat="1" ht="40" customHeight="1" spans="1:16">
      <c r="A168" s="123">
        <v>158</v>
      </c>
      <c r="B168" s="123" t="s">
        <v>1242</v>
      </c>
      <c r="C168" s="123" t="s">
        <v>1312</v>
      </c>
      <c r="D168" s="124" t="s">
        <v>1554</v>
      </c>
      <c r="E168" s="125"/>
      <c r="F168" s="125"/>
      <c r="G168" s="125">
        <v>18</v>
      </c>
      <c r="H168" s="125">
        <f t="shared" si="12"/>
        <v>18</v>
      </c>
      <c r="I168" s="125">
        <v>0</v>
      </c>
      <c r="J168" s="125">
        <f t="shared" si="14"/>
        <v>18</v>
      </c>
      <c r="K168" s="125">
        <v>18</v>
      </c>
      <c r="L168" s="157" t="s">
        <v>1555</v>
      </c>
      <c r="M168" s="145"/>
      <c r="N168" s="123" t="s">
        <v>977</v>
      </c>
      <c r="O168" s="146" t="s">
        <v>1247</v>
      </c>
      <c r="P168" s="145">
        <v>2120806</v>
      </c>
    </row>
    <row r="169" s="114" customFormat="1" ht="28" customHeight="1" spans="1:16">
      <c r="A169" s="123">
        <v>159</v>
      </c>
      <c r="B169" s="123" t="s">
        <v>696</v>
      </c>
      <c r="C169" s="123" t="s">
        <v>1556</v>
      </c>
      <c r="D169" s="124" t="s">
        <v>1557</v>
      </c>
      <c r="E169" s="125">
        <v>30</v>
      </c>
      <c r="F169" s="125">
        <v>30</v>
      </c>
      <c r="G169" s="125"/>
      <c r="H169" s="125">
        <f t="shared" ref="H169:H172" si="15">G169+F169</f>
        <v>30</v>
      </c>
      <c r="I169" s="125">
        <v>0</v>
      </c>
      <c r="J169" s="125">
        <f t="shared" si="14"/>
        <v>-20</v>
      </c>
      <c r="K169" s="125">
        <v>10</v>
      </c>
      <c r="L169" s="156"/>
      <c r="M169" s="145"/>
      <c r="N169" s="123" t="s">
        <v>977</v>
      </c>
      <c r="O169" s="146" t="s">
        <v>1247</v>
      </c>
      <c r="P169" s="145">
        <v>2120811</v>
      </c>
    </row>
    <row r="170" s="114" customFormat="1" ht="28" customHeight="1" spans="1:16">
      <c r="A170" s="123">
        <v>160</v>
      </c>
      <c r="B170" s="123" t="s">
        <v>696</v>
      </c>
      <c r="C170" s="123" t="s">
        <v>1556</v>
      </c>
      <c r="D170" s="124" t="s">
        <v>1558</v>
      </c>
      <c r="E170" s="125">
        <v>80</v>
      </c>
      <c r="F170" s="125">
        <v>80</v>
      </c>
      <c r="G170" s="125"/>
      <c r="H170" s="125">
        <f t="shared" si="15"/>
        <v>80</v>
      </c>
      <c r="I170" s="125">
        <v>0</v>
      </c>
      <c r="J170" s="125">
        <f t="shared" si="14"/>
        <v>0</v>
      </c>
      <c r="K170" s="125">
        <v>80</v>
      </c>
      <c r="L170" s="156"/>
      <c r="M170" s="145"/>
      <c r="N170" s="123" t="s">
        <v>977</v>
      </c>
      <c r="O170" s="146" t="s">
        <v>1247</v>
      </c>
      <c r="P170" s="145">
        <v>2120811</v>
      </c>
    </row>
    <row r="171" s="113" customFormat="1" ht="28" customHeight="1" spans="1:16">
      <c r="A171" s="123">
        <v>161</v>
      </c>
      <c r="B171" s="123" t="s">
        <v>696</v>
      </c>
      <c r="C171" s="123" t="s">
        <v>522</v>
      </c>
      <c r="D171" s="124" t="s">
        <v>1559</v>
      </c>
      <c r="E171" s="125">
        <v>0</v>
      </c>
      <c r="F171" s="125">
        <v>578.04</v>
      </c>
      <c r="G171" s="125"/>
      <c r="H171" s="125">
        <f t="shared" si="15"/>
        <v>578.04</v>
      </c>
      <c r="I171" s="125">
        <v>0</v>
      </c>
      <c r="J171" s="125">
        <f t="shared" si="14"/>
        <v>0</v>
      </c>
      <c r="K171" s="125">
        <f>F171</f>
        <v>578.04</v>
      </c>
      <c r="L171" s="156"/>
      <c r="M171" s="145"/>
      <c r="N171" s="123" t="s">
        <v>977</v>
      </c>
      <c r="O171" s="146" t="s">
        <v>1247</v>
      </c>
      <c r="P171" s="145">
        <v>2120811</v>
      </c>
    </row>
    <row r="172" s="113" customFormat="1" ht="28" customHeight="1" spans="1:16">
      <c r="A172" s="123">
        <v>162</v>
      </c>
      <c r="B172" s="123" t="s">
        <v>696</v>
      </c>
      <c r="C172" s="123" t="s">
        <v>522</v>
      </c>
      <c r="D172" s="124" t="s">
        <v>1560</v>
      </c>
      <c r="E172" s="125"/>
      <c r="F172" s="125"/>
      <c r="G172" s="125">
        <v>1524.86</v>
      </c>
      <c r="H172" s="125">
        <f t="shared" si="15"/>
        <v>1524.86</v>
      </c>
      <c r="I172" s="125">
        <v>0</v>
      </c>
      <c r="J172" s="125">
        <f t="shared" si="14"/>
        <v>1524.86</v>
      </c>
      <c r="K172" s="125">
        <v>1524.86</v>
      </c>
      <c r="L172" s="156"/>
      <c r="M172" s="145"/>
      <c r="N172" s="123" t="s">
        <v>977</v>
      </c>
      <c r="O172" s="146" t="s">
        <v>1247</v>
      </c>
      <c r="P172" s="145">
        <v>2120899</v>
      </c>
    </row>
    <row r="173" s="113" customFormat="1" ht="28" customHeight="1" spans="1:16">
      <c r="A173" s="123">
        <v>163</v>
      </c>
      <c r="B173" s="123" t="s">
        <v>521</v>
      </c>
      <c r="C173" s="161" t="s">
        <v>1505</v>
      </c>
      <c r="D173" s="162" t="s">
        <v>1561</v>
      </c>
      <c r="E173" s="125">
        <v>2079.48</v>
      </c>
      <c r="F173" s="125">
        <v>2079.48</v>
      </c>
      <c r="G173" s="125"/>
      <c r="H173" s="125">
        <f t="shared" ref="H173:H175" si="16">F173+G173</f>
        <v>2079.48</v>
      </c>
      <c r="I173" s="125">
        <v>1386.4</v>
      </c>
      <c r="J173" s="125">
        <f t="shared" si="14"/>
        <v>0</v>
      </c>
      <c r="K173" s="125">
        <v>2079.48</v>
      </c>
      <c r="L173" s="156"/>
      <c r="M173" s="145"/>
      <c r="N173" s="123" t="s">
        <v>977</v>
      </c>
      <c r="O173" s="146" t="s">
        <v>1562</v>
      </c>
      <c r="P173" s="145">
        <v>2121302</v>
      </c>
    </row>
    <row r="174" s="114" customFormat="1" ht="28" customHeight="1" spans="1:16">
      <c r="A174" s="123">
        <v>164</v>
      </c>
      <c r="B174" s="163" t="s">
        <v>521</v>
      </c>
      <c r="C174" s="123" t="s">
        <v>522</v>
      </c>
      <c r="D174" s="162" t="s">
        <v>1563</v>
      </c>
      <c r="E174" s="125">
        <v>7900</v>
      </c>
      <c r="F174" s="125">
        <v>7900</v>
      </c>
      <c r="G174" s="125">
        <v>274.09</v>
      </c>
      <c r="H174" s="125">
        <f t="shared" si="16"/>
        <v>8174.09</v>
      </c>
      <c r="I174" s="125">
        <v>6822.611</v>
      </c>
      <c r="J174" s="125">
        <f t="shared" si="14"/>
        <v>274.09</v>
      </c>
      <c r="K174" s="125">
        <v>8174.09</v>
      </c>
      <c r="L174" s="156" t="s">
        <v>1564</v>
      </c>
      <c r="M174" s="145"/>
      <c r="N174" s="123" t="s">
        <v>977</v>
      </c>
      <c r="O174" s="146" t="s">
        <v>1247</v>
      </c>
      <c r="P174" s="164">
        <v>2320411</v>
      </c>
    </row>
    <row r="175" s="114" customFormat="1" ht="28" customHeight="1" spans="1:16">
      <c r="A175" s="123">
        <v>165</v>
      </c>
      <c r="B175" s="163" t="s">
        <v>521</v>
      </c>
      <c r="C175" s="123" t="s">
        <v>522</v>
      </c>
      <c r="D175" s="162" t="s">
        <v>1565</v>
      </c>
      <c r="E175" s="125">
        <v>100</v>
      </c>
      <c r="F175" s="125">
        <v>100</v>
      </c>
      <c r="G175" s="125">
        <v>3.07985</v>
      </c>
      <c r="H175" s="125">
        <f t="shared" si="16"/>
        <v>103.07985</v>
      </c>
      <c r="I175" s="125">
        <v>102.941131</v>
      </c>
      <c r="J175" s="125">
        <f t="shared" si="14"/>
        <v>3.07984999999999</v>
      </c>
      <c r="K175" s="125">
        <v>103.07985</v>
      </c>
      <c r="L175" s="156" t="s">
        <v>1566</v>
      </c>
      <c r="M175" s="145"/>
      <c r="N175" s="123" t="s">
        <v>977</v>
      </c>
      <c r="O175" s="146" t="s">
        <v>1247</v>
      </c>
      <c r="P175" s="164">
        <v>2330411</v>
      </c>
    </row>
    <row r="176" s="114" customFormat="1" ht="28" customHeight="1" spans="1:16">
      <c r="A176" s="127" t="s">
        <v>1567</v>
      </c>
      <c r="B176" s="127"/>
      <c r="C176" s="127"/>
      <c r="D176" s="128"/>
      <c r="E176" s="129">
        <f t="shared" ref="E176:I176" si="17">SUM(E134:E175)</f>
        <v>16582.29</v>
      </c>
      <c r="F176" s="129">
        <f t="shared" si="17"/>
        <v>14038.26</v>
      </c>
      <c r="G176" s="129">
        <f t="shared" si="17"/>
        <v>1824.79833</v>
      </c>
      <c r="H176" s="129">
        <f t="shared" si="17"/>
        <v>15863.05833</v>
      </c>
      <c r="I176" s="129">
        <f t="shared" si="17"/>
        <v>9214.312529</v>
      </c>
      <c r="J176" s="129">
        <f t="shared" si="14"/>
        <v>1804.79833</v>
      </c>
      <c r="K176" s="129">
        <f>SUM(K134:K175)</f>
        <v>15843.05833</v>
      </c>
      <c r="L176" s="147"/>
      <c r="M176" s="148"/>
      <c r="N176" s="127"/>
      <c r="O176" s="149"/>
      <c r="P176" s="145"/>
    </row>
    <row r="177" s="114" customFormat="1" ht="28" customHeight="1" spans="1:16">
      <c r="A177" s="123">
        <v>166</v>
      </c>
      <c r="B177" s="123" t="s">
        <v>628</v>
      </c>
      <c r="C177" s="123" t="s">
        <v>522</v>
      </c>
      <c r="D177" s="124" t="s">
        <v>1568</v>
      </c>
      <c r="E177" s="125">
        <v>0</v>
      </c>
      <c r="F177" s="125">
        <v>200</v>
      </c>
      <c r="G177" s="125"/>
      <c r="H177" s="125">
        <f t="shared" ref="H177:H198" si="18">F177+G177</f>
        <v>200</v>
      </c>
      <c r="I177" s="125">
        <v>0</v>
      </c>
      <c r="J177" s="125">
        <f t="shared" si="14"/>
        <v>0</v>
      </c>
      <c r="K177" s="125">
        <v>200</v>
      </c>
      <c r="L177" s="156"/>
      <c r="M177" s="145"/>
      <c r="N177" s="123" t="s">
        <v>1491</v>
      </c>
      <c r="O177" s="146" t="s">
        <v>1247</v>
      </c>
      <c r="P177" s="145">
        <v>2120899</v>
      </c>
    </row>
    <row r="178" s="113" customFormat="1" ht="28" customHeight="1" spans="1:16">
      <c r="A178" s="123">
        <v>167</v>
      </c>
      <c r="B178" s="123" t="s">
        <v>696</v>
      </c>
      <c r="C178" s="123" t="s">
        <v>522</v>
      </c>
      <c r="D178" s="162" t="s">
        <v>1569</v>
      </c>
      <c r="E178" s="125">
        <v>0</v>
      </c>
      <c r="F178" s="125">
        <v>3000</v>
      </c>
      <c r="G178" s="125"/>
      <c r="H178" s="125">
        <f>G178+F178</f>
        <v>3000</v>
      </c>
      <c r="I178" s="125">
        <v>0</v>
      </c>
      <c r="J178" s="125">
        <f t="shared" si="14"/>
        <v>0</v>
      </c>
      <c r="K178" s="125">
        <v>3000</v>
      </c>
      <c r="L178" s="156"/>
      <c r="M178" s="145"/>
      <c r="N178" s="123" t="s">
        <v>1386</v>
      </c>
      <c r="O178" s="146" t="s">
        <v>1247</v>
      </c>
      <c r="P178" s="145">
        <v>2120803</v>
      </c>
    </row>
    <row r="179" s="114" customFormat="1" ht="28" customHeight="1" spans="1:16">
      <c r="A179" s="123">
        <v>168</v>
      </c>
      <c r="B179" s="123" t="s">
        <v>1242</v>
      </c>
      <c r="C179" s="123" t="s">
        <v>522</v>
      </c>
      <c r="D179" s="124" t="s">
        <v>1570</v>
      </c>
      <c r="E179" s="125">
        <v>0</v>
      </c>
      <c r="F179" s="125">
        <v>1000</v>
      </c>
      <c r="G179" s="125"/>
      <c r="H179" s="125">
        <f t="shared" si="18"/>
        <v>1000</v>
      </c>
      <c r="I179" s="125">
        <v>0</v>
      </c>
      <c r="J179" s="125">
        <f t="shared" si="14"/>
        <v>500</v>
      </c>
      <c r="K179" s="125">
        <f>1000+500</f>
        <v>1500</v>
      </c>
      <c r="L179" s="156"/>
      <c r="M179" s="145"/>
      <c r="N179" s="123" t="s">
        <v>977</v>
      </c>
      <c r="O179" s="146" t="s">
        <v>1247</v>
      </c>
      <c r="P179" s="145">
        <v>2120801</v>
      </c>
    </row>
    <row r="180" s="114" customFormat="1" ht="28" customHeight="1" spans="1:16">
      <c r="A180" s="127" t="s">
        <v>1571</v>
      </c>
      <c r="B180" s="127"/>
      <c r="C180" s="127"/>
      <c r="D180" s="128"/>
      <c r="E180" s="129">
        <f t="shared" ref="E180:I180" si="19">SUM(E177:E179)</f>
        <v>0</v>
      </c>
      <c r="F180" s="129">
        <f t="shared" si="19"/>
        <v>4200</v>
      </c>
      <c r="G180" s="129">
        <f t="shared" si="19"/>
        <v>0</v>
      </c>
      <c r="H180" s="129">
        <f t="shared" si="19"/>
        <v>4200</v>
      </c>
      <c r="I180" s="129">
        <f t="shared" si="19"/>
        <v>0</v>
      </c>
      <c r="J180" s="129">
        <f t="shared" si="14"/>
        <v>500</v>
      </c>
      <c r="K180" s="129">
        <f>SUM(K177:K179)</f>
        <v>4700</v>
      </c>
      <c r="L180" s="147"/>
      <c r="M180" s="148"/>
      <c r="N180" s="127"/>
      <c r="O180" s="149"/>
      <c r="P180" s="145"/>
    </row>
    <row r="181" s="114" customFormat="1" ht="28" customHeight="1" spans="1:16">
      <c r="A181" s="127" t="s">
        <v>1572</v>
      </c>
      <c r="B181" s="127"/>
      <c r="C181" s="127"/>
      <c r="D181" s="128"/>
      <c r="E181" s="129">
        <f t="shared" ref="E181:I181" si="20">E8+E58+E72+E120+E133+E176+E180</f>
        <v>437774</v>
      </c>
      <c r="F181" s="129">
        <f t="shared" si="20"/>
        <v>367576.57</v>
      </c>
      <c r="G181" s="129">
        <f t="shared" si="20"/>
        <v>77642.639429</v>
      </c>
      <c r="H181" s="129">
        <f t="shared" si="20"/>
        <v>444519.209429</v>
      </c>
      <c r="I181" s="129">
        <f t="shared" si="20"/>
        <v>101704.493662</v>
      </c>
      <c r="J181" s="129">
        <f t="shared" si="14"/>
        <v>-92632.398135</v>
      </c>
      <c r="K181" s="129">
        <f>K8+K58+K72+K120+K133+K176+K180</f>
        <v>274944.171865</v>
      </c>
      <c r="L181" s="147"/>
      <c r="M181" s="148"/>
      <c r="N181" s="127"/>
      <c r="O181" s="149"/>
      <c r="P181" s="145"/>
    </row>
    <row r="182" s="113" customFormat="1" ht="28" customHeight="1" spans="1:16">
      <c r="A182" s="123">
        <v>169</v>
      </c>
      <c r="B182" s="123" t="s">
        <v>536</v>
      </c>
      <c r="C182" s="123" t="s">
        <v>1312</v>
      </c>
      <c r="D182" s="124" t="s">
        <v>1573</v>
      </c>
      <c r="E182" s="125">
        <v>40</v>
      </c>
      <c r="F182" s="125">
        <v>40</v>
      </c>
      <c r="G182" s="125"/>
      <c r="H182" s="125">
        <f t="shared" si="18"/>
        <v>40</v>
      </c>
      <c r="I182" s="125">
        <v>0</v>
      </c>
      <c r="J182" s="125">
        <f t="shared" si="14"/>
        <v>-40</v>
      </c>
      <c r="K182" s="125">
        <v>0</v>
      </c>
      <c r="L182" s="156"/>
      <c r="M182" s="145"/>
      <c r="N182" s="123" t="s">
        <v>977</v>
      </c>
      <c r="O182" s="146" t="s">
        <v>1562</v>
      </c>
      <c r="P182" s="145">
        <v>2121399</v>
      </c>
    </row>
    <row r="183" s="113" customFormat="1" ht="28" customHeight="1" spans="1:16">
      <c r="A183" s="123">
        <v>170</v>
      </c>
      <c r="B183" s="123" t="s">
        <v>536</v>
      </c>
      <c r="C183" s="123" t="s">
        <v>1312</v>
      </c>
      <c r="D183" s="124" t="s">
        <v>1574</v>
      </c>
      <c r="E183" s="125">
        <v>410</v>
      </c>
      <c r="F183" s="125">
        <v>410</v>
      </c>
      <c r="G183" s="125">
        <v>-150</v>
      </c>
      <c r="H183" s="125">
        <f t="shared" si="18"/>
        <v>260</v>
      </c>
      <c r="I183" s="125">
        <v>0</v>
      </c>
      <c r="J183" s="125">
        <f t="shared" si="14"/>
        <v>-150</v>
      </c>
      <c r="K183" s="125">
        <v>260</v>
      </c>
      <c r="L183" s="156" t="s">
        <v>1575</v>
      </c>
      <c r="M183" s="145"/>
      <c r="N183" s="123" t="s">
        <v>977</v>
      </c>
      <c r="O183" s="146" t="s">
        <v>1562</v>
      </c>
      <c r="P183" s="145">
        <v>2121399</v>
      </c>
    </row>
    <row r="184" s="113" customFormat="1" ht="28" customHeight="1" spans="1:16">
      <c r="A184" s="123">
        <v>171</v>
      </c>
      <c r="B184" s="123" t="s">
        <v>536</v>
      </c>
      <c r="C184" s="123" t="s">
        <v>1312</v>
      </c>
      <c r="D184" s="124" t="s">
        <v>1576</v>
      </c>
      <c r="E184" s="125">
        <v>269.8</v>
      </c>
      <c r="F184" s="125">
        <v>269.8</v>
      </c>
      <c r="G184" s="125"/>
      <c r="H184" s="125">
        <f t="shared" si="18"/>
        <v>269.8</v>
      </c>
      <c r="I184" s="125">
        <v>0</v>
      </c>
      <c r="J184" s="125">
        <f t="shared" si="14"/>
        <v>0</v>
      </c>
      <c r="K184" s="125">
        <v>269.8</v>
      </c>
      <c r="L184" s="156"/>
      <c r="M184" s="145"/>
      <c r="N184" s="123" t="s">
        <v>977</v>
      </c>
      <c r="O184" s="146" t="s">
        <v>1562</v>
      </c>
      <c r="P184" s="145">
        <v>2121399</v>
      </c>
    </row>
    <row r="185" s="113" customFormat="1" ht="28" customHeight="1" spans="1:16">
      <c r="A185" s="123">
        <v>172</v>
      </c>
      <c r="B185" s="123" t="s">
        <v>536</v>
      </c>
      <c r="C185" s="123" t="s">
        <v>1312</v>
      </c>
      <c r="D185" s="124" t="s">
        <v>1577</v>
      </c>
      <c r="E185" s="125">
        <v>546</v>
      </c>
      <c r="F185" s="125">
        <v>546</v>
      </c>
      <c r="G185" s="125"/>
      <c r="H185" s="125">
        <f t="shared" si="18"/>
        <v>546</v>
      </c>
      <c r="I185" s="125">
        <v>0</v>
      </c>
      <c r="J185" s="125">
        <f t="shared" si="14"/>
        <v>0</v>
      </c>
      <c r="K185" s="125">
        <v>546</v>
      </c>
      <c r="L185" s="156"/>
      <c r="M185" s="145"/>
      <c r="N185" s="123" t="s">
        <v>977</v>
      </c>
      <c r="O185" s="146" t="s">
        <v>1562</v>
      </c>
      <c r="P185" s="145">
        <v>2121399</v>
      </c>
    </row>
    <row r="186" s="113" customFormat="1" ht="28" customHeight="1" spans="1:16">
      <c r="A186" s="123">
        <v>173</v>
      </c>
      <c r="B186" s="123" t="s">
        <v>536</v>
      </c>
      <c r="C186" s="123" t="s">
        <v>1312</v>
      </c>
      <c r="D186" s="124" t="s">
        <v>1578</v>
      </c>
      <c r="E186" s="125">
        <v>16</v>
      </c>
      <c r="F186" s="125">
        <v>16</v>
      </c>
      <c r="G186" s="125"/>
      <c r="H186" s="125">
        <f t="shared" si="18"/>
        <v>16</v>
      </c>
      <c r="I186" s="125">
        <v>16</v>
      </c>
      <c r="J186" s="125">
        <f t="shared" si="14"/>
        <v>0</v>
      </c>
      <c r="K186" s="125">
        <v>16</v>
      </c>
      <c r="L186" s="156"/>
      <c r="M186" s="145"/>
      <c r="N186" s="123" t="s">
        <v>977</v>
      </c>
      <c r="O186" s="146" t="s">
        <v>1562</v>
      </c>
      <c r="P186" s="145">
        <v>2121399</v>
      </c>
    </row>
    <row r="187" s="113" customFormat="1" ht="28" customHeight="1" spans="1:16">
      <c r="A187" s="123">
        <v>174</v>
      </c>
      <c r="B187" s="123" t="s">
        <v>536</v>
      </c>
      <c r="C187" s="123" t="s">
        <v>1312</v>
      </c>
      <c r="D187" s="124" t="s">
        <v>1579</v>
      </c>
      <c r="E187" s="125">
        <v>9.84</v>
      </c>
      <c r="F187" s="125">
        <v>9.84</v>
      </c>
      <c r="G187" s="125"/>
      <c r="H187" s="125">
        <f t="shared" si="18"/>
        <v>9.84</v>
      </c>
      <c r="I187" s="125">
        <v>9.84</v>
      </c>
      <c r="J187" s="125">
        <f t="shared" si="14"/>
        <v>0</v>
      </c>
      <c r="K187" s="125">
        <v>9.84</v>
      </c>
      <c r="L187" s="156"/>
      <c r="M187" s="145"/>
      <c r="N187" s="123" t="s">
        <v>977</v>
      </c>
      <c r="O187" s="146" t="s">
        <v>1562</v>
      </c>
      <c r="P187" s="145">
        <v>2121399</v>
      </c>
    </row>
    <row r="188" s="113" customFormat="1" ht="55" customHeight="1" spans="1:16">
      <c r="A188" s="123">
        <v>175</v>
      </c>
      <c r="B188" s="123" t="s">
        <v>536</v>
      </c>
      <c r="C188" s="123" t="s">
        <v>1312</v>
      </c>
      <c r="D188" s="124" t="s">
        <v>1580</v>
      </c>
      <c r="E188" s="125"/>
      <c r="F188" s="125"/>
      <c r="G188" s="125">
        <v>99.6</v>
      </c>
      <c r="H188" s="125">
        <f t="shared" si="18"/>
        <v>99.6</v>
      </c>
      <c r="I188" s="125">
        <v>0</v>
      </c>
      <c r="J188" s="125">
        <f t="shared" si="14"/>
        <v>99.6</v>
      </c>
      <c r="K188" s="125">
        <v>99.6</v>
      </c>
      <c r="L188" s="156" t="s">
        <v>1581</v>
      </c>
      <c r="M188" s="145"/>
      <c r="N188" s="123" t="s">
        <v>977</v>
      </c>
      <c r="O188" s="146" t="s">
        <v>1562</v>
      </c>
      <c r="P188" s="145">
        <v>2121399</v>
      </c>
    </row>
    <row r="189" s="113" customFormat="1" ht="28" customHeight="1" spans="1:16">
      <c r="A189" s="123">
        <v>176</v>
      </c>
      <c r="B189" s="123" t="s">
        <v>536</v>
      </c>
      <c r="C189" s="123" t="s">
        <v>1312</v>
      </c>
      <c r="D189" s="124" t="s">
        <v>1582</v>
      </c>
      <c r="E189" s="125"/>
      <c r="F189" s="125"/>
      <c r="G189" s="125">
        <v>189.5</v>
      </c>
      <c r="H189" s="125">
        <f t="shared" si="18"/>
        <v>189.5</v>
      </c>
      <c r="I189" s="125">
        <v>0</v>
      </c>
      <c r="J189" s="125">
        <f t="shared" si="14"/>
        <v>189.5</v>
      </c>
      <c r="K189" s="125">
        <v>189.5</v>
      </c>
      <c r="L189" s="156" t="s">
        <v>1583</v>
      </c>
      <c r="M189" s="145"/>
      <c r="N189" s="123" t="s">
        <v>977</v>
      </c>
      <c r="O189" s="146" t="s">
        <v>1562</v>
      </c>
      <c r="P189" s="145">
        <v>2121399</v>
      </c>
    </row>
    <row r="190" s="113" customFormat="1" ht="28" customHeight="1" spans="1:16">
      <c r="A190" s="123">
        <v>177</v>
      </c>
      <c r="B190" s="123" t="s">
        <v>696</v>
      </c>
      <c r="C190" s="123" t="s">
        <v>1467</v>
      </c>
      <c r="D190" s="124" t="s">
        <v>1584</v>
      </c>
      <c r="E190" s="125">
        <v>28</v>
      </c>
      <c r="F190" s="125">
        <v>28</v>
      </c>
      <c r="G190" s="125">
        <v>-6.8</v>
      </c>
      <c r="H190" s="125">
        <f t="shared" si="18"/>
        <v>21.2</v>
      </c>
      <c r="I190" s="125">
        <v>21.195009</v>
      </c>
      <c r="J190" s="125">
        <f t="shared" si="14"/>
        <v>-6.804991</v>
      </c>
      <c r="K190" s="125">
        <v>21.195009</v>
      </c>
      <c r="L190" s="156" t="s">
        <v>1402</v>
      </c>
      <c r="M190" s="145" t="s">
        <v>1585</v>
      </c>
      <c r="N190" s="123" t="s">
        <v>977</v>
      </c>
      <c r="O190" s="146" t="s">
        <v>1562</v>
      </c>
      <c r="P190" s="145">
        <v>2121399</v>
      </c>
    </row>
    <row r="191" s="113" customFormat="1" ht="28" customHeight="1" spans="1:16">
      <c r="A191" s="123">
        <v>178</v>
      </c>
      <c r="B191" s="123" t="s">
        <v>696</v>
      </c>
      <c r="C191" s="123" t="s">
        <v>1586</v>
      </c>
      <c r="D191" s="124" t="s">
        <v>1587</v>
      </c>
      <c r="E191" s="125"/>
      <c r="F191" s="125"/>
      <c r="G191" s="125">
        <v>11.21</v>
      </c>
      <c r="H191" s="125">
        <f t="shared" si="18"/>
        <v>11.21</v>
      </c>
      <c r="I191" s="125">
        <v>0</v>
      </c>
      <c r="J191" s="125">
        <f t="shared" si="14"/>
        <v>11.21</v>
      </c>
      <c r="K191" s="125">
        <v>11.21</v>
      </c>
      <c r="L191" s="156" t="s">
        <v>1588</v>
      </c>
      <c r="M191" s="145"/>
      <c r="N191" s="123" t="s">
        <v>977</v>
      </c>
      <c r="O191" s="146" t="s">
        <v>1562</v>
      </c>
      <c r="P191" s="145">
        <v>2121399</v>
      </c>
    </row>
    <row r="192" s="113" customFormat="1" ht="28" customHeight="1" spans="1:16">
      <c r="A192" s="123">
        <v>179</v>
      </c>
      <c r="B192" s="123" t="s">
        <v>540</v>
      </c>
      <c r="C192" s="123" t="s">
        <v>1586</v>
      </c>
      <c r="D192" s="124" t="s">
        <v>1589</v>
      </c>
      <c r="E192" s="125">
        <v>800</v>
      </c>
      <c r="F192" s="125">
        <v>300</v>
      </c>
      <c r="G192" s="125"/>
      <c r="H192" s="125">
        <f t="shared" si="18"/>
        <v>300</v>
      </c>
      <c r="I192" s="125">
        <v>180.29</v>
      </c>
      <c r="J192" s="125">
        <f t="shared" si="14"/>
        <v>0</v>
      </c>
      <c r="K192" s="125">
        <v>300</v>
      </c>
      <c r="L192" s="156"/>
      <c r="M192" s="145" t="s">
        <v>1590</v>
      </c>
      <c r="N192" s="123" t="s">
        <v>977</v>
      </c>
      <c r="O192" s="146" t="s">
        <v>1562</v>
      </c>
      <c r="P192" s="145">
        <v>2121301</v>
      </c>
    </row>
    <row r="193" s="113" customFormat="1" ht="28" customHeight="1" spans="1:16">
      <c r="A193" s="123">
        <v>180</v>
      </c>
      <c r="B193" s="123" t="s">
        <v>540</v>
      </c>
      <c r="C193" s="123" t="s">
        <v>1586</v>
      </c>
      <c r="D193" s="124" t="s">
        <v>1591</v>
      </c>
      <c r="E193" s="125">
        <v>3000</v>
      </c>
      <c r="F193" s="125">
        <v>2000</v>
      </c>
      <c r="G193" s="125">
        <v>-973.63</v>
      </c>
      <c r="H193" s="125">
        <f t="shared" si="18"/>
        <v>1026.37</v>
      </c>
      <c r="I193" s="125">
        <v>1026.37</v>
      </c>
      <c r="J193" s="125">
        <f t="shared" si="14"/>
        <v>0</v>
      </c>
      <c r="K193" s="125">
        <v>2000</v>
      </c>
      <c r="L193" s="156"/>
      <c r="M193" s="145" t="s">
        <v>1592</v>
      </c>
      <c r="N193" s="123" t="s">
        <v>977</v>
      </c>
      <c r="O193" s="146" t="s">
        <v>1562</v>
      </c>
      <c r="P193" s="145">
        <v>2121302</v>
      </c>
    </row>
    <row r="194" s="113" customFormat="1" ht="28" customHeight="1" spans="1:16">
      <c r="A194" s="123">
        <v>181</v>
      </c>
      <c r="B194" s="123" t="s">
        <v>540</v>
      </c>
      <c r="C194" s="123" t="s">
        <v>1305</v>
      </c>
      <c r="D194" s="124" t="s">
        <v>1593</v>
      </c>
      <c r="E194" s="125"/>
      <c r="F194" s="125"/>
      <c r="G194" s="125">
        <v>69.48</v>
      </c>
      <c r="H194" s="125">
        <f t="shared" si="18"/>
        <v>69.48</v>
      </c>
      <c r="I194" s="125">
        <v>0</v>
      </c>
      <c r="J194" s="125">
        <f t="shared" si="14"/>
        <v>69.48</v>
      </c>
      <c r="K194" s="125">
        <v>69.48</v>
      </c>
      <c r="L194" s="156" t="s">
        <v>1594</v>
      </c>
      <c r="M194" s="145"/>
      <c r="N194" s="123" t="s">
        <v>977</v>
      </c>
      <c r="O194" s="146" t="s">
        <v>1562</v>
      </c>
      <c r="P194" s="145">
        <v>2121301</v>
      </c>
    </row>
    <row r="195" s="113" customFormat="1" ht="28" customHeight="1" spans="1:16">
      <c r="A195" s="123">
        <v>182</v>
      </c>
      <c r="B195" s="123" t="s">
        <v>540</v>
      </c>
      <c r="C195" s="123" t="s">
        <v>1595</v>
      </c>
      <c r="D195" s="124" t="s">
        <v>1596</v>
      </c>
      <c r="E195" s="125"/>
      <c r="F195" s="125"/>
      <c r="G195" s="125">
        <v>793.63</v>
      </c>
      <c r="H195" s="125">
        <f t="shared" si="18"/>
        <v>793.63</v>
      </c>
      <c r="I195" s="125">
        <v>0</v>
      </c>
      <c r="J195" s="125">
        <f t="shared" si="14"/>
        <v>793.63</v>
      </c>
      <c r="K195" s="125">
        <v>793.63</v>
      </c>
      <c r="L195" s="156" t="s">
        <v>1597</v>
      </c>
      <c r="M195" s="145"/>
      <c r="N195" s="123" t="s">
        <v>977</v>
      </c>
      <c r="O195" s="146" t="s">
        <v>1562</v>
      </c>
      <c r="P195" s="145">
        <v>2121302</v>
      </c>
    </row>
    <row r="196" s="113" customFormat="1" ht="28" customHeight="1" spans="1:16">
      <c r="A196" s="123">
        <v>183</v>
      </c>
      <c r="B196" s="123" t="s">
        <v>540</v>
      </c>
      <c r="C196" s="123" t="s">
        <v>1595</v>
      </c>
      <c r="D196" s="124" t="s">
        <v>1598</v>
      </c>
      <c r="E196" s="125"/>
      <c r="F196" s="125"/>
      <c r="G196" s="125">
        <v>750</v>
      </c>
      <c r="H196" s="125">
        <f t="shared" si="18"/>
        <v>750</v>
      </c>
      <c r="I196" s="125">
        <v>0</v>
      </c>
      <c r="J196" s="125">
        <f t="shared" si="14"/>
        <v>750</v>
      </c>
      <c r="K196" s="125">
        <v>750</v>
      </c>
      <c r="L196" s="156" t="s">
        <v>1599</v>
      </c>
      <c r="M196" s="145"/>
      <c r="N196" s="123" t="s">
        <v>977</v>
      </c>
      <c r="O196" s="146" t="s">
        <v>1562</v>
      </c>
      <c r="P196" s="145">
        <v>2121302</v>
      </c>
    </row>
    <row r="197" s="113" customFormat="1" ht="28" customHeight="1" spans="1:16">
      <c r="A197" s="123">
        <v>184</v>
      </c>
      <c r="B197" s="123" t="s">
        <v>540</v>
      </c>
      <c r="C197" s="123" t="s">
        <v>1600</v>
      </c>
      <c r="D197" s="124" t="s">
        <v>1601</v>
      </c>
      <c r="E197" s="125">
        <v>19.7</v>
      </c>
      <c r="F197" s="125">
        <v>19.7</v>
      </c>
      <c r="G197" s="125"/>
      <c r="H197" s="125">
        <f t="shared" si="18"/>
        <v>19.7</v>
      </c>
      <c r="I197" s="125">
        <v>19.68</v>
      </c>
      <c r="J197" s="125">
        <f t="shared" si="14"/>
        <v>-0.0199999999999996</v>
      </c>
      <c r="K197" s="125">
        <v>19.68</v>
      </c>
      <c r="L197" s="156" t="s">
        <v>614</v>
      </c>
      <c r="M197" s="145"/>
      <c r="N197" s="123" t="s">
        <v>977</v>
      </c>
      <c r="O197" s="146" t="s">
        <v>1562</v>
      </c>
      <c r="P197" s="145">
        <v>2121302</v>
      </c>
    </row>
    <row r="198" s="113" customFormat="1" ht="28" customHeight="1" spans="1:16">
      <c r="A198" s="123">
        <v>185</v>
      </c>
      <c r="B198" s="123" t="s">
        <v>540</v>
      </c>
      <c r="C198" s="123" t="s">
        <v>1600</v>
      </c>
      <c r="D198" s="124" t="s">
        <v>1602</v>
      </c>
      <c r="E198" s="125">
        <v>19.4</v>
      </c>
      <c r="F198" s="125">
        <v>19.4</v>
      </c>
      <c r="G198" s="125"/>
      <c r="H198" s="125">
        <f t="shared" si="18"/>
        <v>19.4</v>
      </c>
      <c r="I198" s="125">
        <v>19.33</v>
      </c>
      <c r="J198" s="125">
        <f t="shared" ref="J198:J218" si="21">K198-F198</f>
        <v>-0.0700000000000003</v>
      </c>
      <c r="K198" s="125">
        <v>19.33</v>
      </c>
      <c r="L198" s="156" t="s">
        <v>614</v>
      </c>
      <c r="M198" s="145"/>
      <c r="N198" s="123" t="s">
        <v>977</v>
      </c>
      <c r="O198" s="146" t="s">
        <v>1562</v>
      </c>
      <c r="P198" s="145">
        <v>2121302</v>
      </c>
    </row>
    <row r="199" s="113" customFormat="1" ht="28" customHeight="1" spans="1:16">
      <c r="A199" s="123">
        <v>186</v>
      </c>
      <c r="B199" s="123" t="s">
        <v>540</v>
      </c>
      <c r="C199" s="123" t="s">
        <v>1600</v>
      </c>
      <c r="D199" s="124" t="s">
        <v>1603</v>
      </c>
      <c r="E199" s="125">
        <v>180</v>
      </c>
      <c r="F199" s="125">
        <v>180</v>
      </c>
      <c r="G199" s="125"/>
      <c r="H199" s="125">
        <v>180</v>
      </c>
      <c r="I199" s="125">
        <v>0</v>
      </c>
      <c r="J199" s="125">
        <f t="shared" si="21"/>
        <v>0</v>
      </c>
      <c r="K199" s="125">
        <v>180</v>
      </c>
      <c r="L199" s="156"/>
      <c r="M199" s="145" t="s">
        <v>1604</v>
      </c>
      <c r="N199" s="123" t="s">
        <v>977</v>
      </c>
      <c r="O199" s="146" t="s">
        <v>1562</v>
      </c>
      <c r="P199" s="145">
        <v>2121301</v>
      </c>
    </row>
    <row r="200" s="113" customFormat="1" ht="28" customHeight="1" spans="1:16">
      <c r="A200" s="123">
        <v>187</v>
      </c>
      <c r="B200" s="123" t="s">
        <v>540</v>
      </c>
      <c r="C200" s="123" t="s">
        <v>1600</v>
      </c>
      <c r="D200" s="124" t="s">
        <v>1605</v>
      </c>
      <c r="E200" s="125">
        <v>12.3</v>
      </c>
      <c r="F200" s="125">
        <v>12.3</v>
      </c>
      <c r="G200" s="125"/>
      <c r="H200" s="125">
        <f t="shared" ref="H200:H202" si="22">F200+G200</f>
        <v>12.3</v>
      </c>
      <c r="I200" s="125">
        <v>12.26</v>
      </c>
      <c r="J200" s="125">
        <f t="shared" si="21"/>
        <v>-0.0400000000000009</v>
      </c>
      <c r="K200" s="125">
        <v>12.26</v>
      </c>
      <c r="L200" s="156" t="s">
        <v>614</v>
      </c>
      <c r="M200" s="145"/>
      <c r="N200" s="123" t="s">
        <v>977</v>
      </c>
      <c r="O200" s="146" t="s">
        <v>1562</v>
      </c>
      <c r="P200" s="145">
        <v>2121302</v>
      </c>
    </row>
    <row r="201" s="113" customFormat="1" ht="28" customHeight="1" spans="1:16">
      <c r="A201" s="123">
        <v>188</v>
      </c>
      <c r="B201" s="123" t="s">
        <v>540</v>
      </c>
      <c r="C201" s="123" t="s">
        <v>1600</v>
      </c>
      <c r="D201" s="124" t="s">
        <v>1606</v>
      </c>
      <c r="E201" s="125">
        <v>3.5</v>
      </c>
      <c r="F201" s="125">
        <v>3.5</v>
      </c>
      <c r="G201" s="125"/>
      <c r="H201" s="125">
        <f t="shared" si="22"/>
        <v>3.5</v>
      </c>
      <c r="I201" s="125">
        <v>3.47</v>
      </c>
      <c r="J201" s="125">
        <f t="shared" si="21"/>
        <v>-0.0299999999999998</v>
      </c>
      <c r="K201" s="125">
        <v>3.47</v>
      </c>
      <c r="L201" s="156" t="s">
        <v>614</v>
      </c>
      <c r="M201" s="145"/>
      <c r="N201" s="123" t="s">
        <v>977</v>
      </c>
      <c r="O201" s="146" t="s">
        <v>1562</v>
      </c>
      <c r="P201" s="145">
        <v>2121302</v>
      </c>
    </row>
    <row r="202" s="113" customFormat="1" ht="28" customHeight="1" spans="1:16">
      <c r="A202" s="123">
        <v>189</v>
      </c>
      <c r="B202" s="123" t="s">
        <v>536</v>
      </c>
      <c r="C202" s="123" t="s">
        <v>1389</v>
      </c>
      <c r="D202" s="124" t="s">
        <v>1390</v>
      </c>
      <c r="E202" s="125">
        <v>469.21</v>
      </c>
      <c r="F202" s="125">
        <v>230</v>
      </c>
      <c r="G202" s="125">
        <v>-230</v>
      </c>
      <c r="H202" s="125">
        <f t="shared" si="22"/>
        <v>0</v>
      </c>
      <c r="I202" s="125">
        <v>0</v>
      </c>
      <c r="J202" s="125">
        <f t="shared" si="21"/>
        <v>-230</v>
      </c>
      <c r="K202" s="125">
        <v>0</v>
      </c>
      <c r="L202" s="156" t="s">
        <v>1607</v>
      </c>
      <c r="M202" s="145" t="s">
        <v>1392</v>
      </c>
      <c r="N202" s="123" t="s">
        <v>977</v>
      </c>
      <c r="O202" s="146" t="s">
        <v>1562</v>
      </c>
      <c r="P202" s="145">
        <v>2121399</v>
      </c>
    </row>
    <row r="203" s="113" customFormat="1" ht="28" customHeight="1" spans="1:16">
      <c r="A203" s="123">
        <v>190</v>
      </c>
      <c r="B203" s="123" t="s">
        <v>551</v>
      </c>
      <c r="C203" s="123" t="s">
        <v>835</v>
      </c>
      <c r="D203" s="124" t="s">
        <v>1608</v>
      </c>
      <c r="E203" s="125"/>
      <c r="F203" s="125">
        <v>100</v>
      </c>
      <c r="G203" s="125"/>
      <c r="H203" s="125">
        <v>100</v>
      </c>
      <c r="I203" s="125">
        <v>0</v>
      </c>
      <c r="J203" s="125">
        <f t="shared" si="21"/>
        <v>0</v>
      </c>
      <c r="K203" s="125">
        <v>100</v>
      </c>
      <c r="L203" s="156"/>
      <c r="M203" s="145"/>
      <c r="N203" s="123" t="s">
        <v>977</v>
      </c>
      <c r="O203" s="146" t="s">
        <v>1562</v>
      </c>
      <c r="P203" s="145"/>
    </row>
    <row r="204" s="113" customFormat="1" ht="28" customHeight="1" spans="1:16">
      <c r="A204" s="123">
        <v>191</v>
      </c>
      <c r="B204" s="123" t="s">
        <v>536</v>
      </c>
      <c r="C204" s="123" t="s">
        <v>522</v>
      </c>
      <c r="D204" s="124" t="s">
        <v>1609</v>
      </c>
      <c r="E204" s="125">
        <v>200</v>
      </c>
      <c r="F204" s="125">
        <v>200</v>
      </c>
      <c r="G204" s="125">
        <v>-100</v>
      </c>
      <c r="H204" s="125">
        <f t="shared" ref="H204:H212" si="23">F204+G204</f>
        <v>100</v>
      </c>
      <c r="I204" s="125">
        <v>0</v>
      </c>
      <c r="J204" s="125">
        <f t="shared" si="21"/>
        <v>-100</v>
      </c>
      <c r="K204" s="125">
        <v>100</v>
      </c>
      <c r="L204" s="156"/>
      <c r="M204" s="145"/>
      <c r="N204" s="123" t="s">
        <v>977</v>
      </c>
      <c r="O204" s="146" t="s">
        <v>1562</v>
      </c>
      <c r="P204" s="145">
        <v>2121399</v>
      </c>
    </row>
    <row r="205" s="113" customFormat="1" ht="28" customHeight="1" spans="1:16">
      <c r="A205" s="123">
        <v>192</v>
      </c>
      <c r="B205" s="123" t="s">
        <v>551</v>
      </c>
      <c r="C205" s="123" t="s">
        <v>1610</v>
      </c>
      <c r="D205" s="124" t="s">
        <v>1611</v>
      </c>
      <c r="E205" s="125"/>
      <c r="F205" s="125">
        <v>55</v>
      </c>
      <c r="G205" s="125"/>
      <c r="H205" s="125"/>
      <c r="I205" s="125"/>
      <c r="J205" s="125">
        <f t="shared" si="21"/>
        <v>0</v>
      </c>
      <c r="K205" s="125">
        <v>55</v>
      </c>
      <c r="L205" s="156"/>
      <c r="M205" s="145"/>
      <c r="N205" s="123" t="s">
        <v>977</v>
      </c>
      <c r="O205" s="146" t="s">
        <v>1562</v>
      </c>
      <c r="P205" s="145"/>
    </row>
    <row r="206" s="113" customFormat="1" ht="28" customHeight="1" spans="1:16">
      <c r="A206" s="127" t="s">
        <v>1612</v>
      </c>
      <c r="B206" s="127"/>
      <c r="C206" s="127"/>
      <c r="D206" s="128"/>
      <c r="E206" s="129">
        <f t="shared" ref="E206:I206" si="24">SUM(E182:E204)</f>
        <v>6023.75</v>
      </c>
      <c r="F206" s="129">
        <f>SUM(F182:F205)</f>
        <v>4439.54</v>
      </c>
      <c r="G206" s="129">
        <f t="shared" si="24"/>
        <v>452.99</v>
      </c>
      <c r="H206" s="129">
        <f t="shared" si="24"/>
        <v>4837.53</v>
      </c>
      <c r="I206" s="129">
        <f t="shared" si="24"/>
        <v>1308.435009</v>
      </c>
      <c r="J206" s="129">
        <f t="shared" si="21"/>
        <v>1386.455009</v>
      </c>
      <c r="K206" s="129">
        <f>SUM(K182:K205)</f>
        <v>5825.995009</v>
      </c>
      <c r="L206" s="147"/>
      <c r="M206" s="148"/>
      <c r="N206" s="127"/>
      <c r="O206" s="149"/>
      <c r="P206" s="145"/>
    </row>
    <row r="207" s="113" customFormat="1" ht="28" customHeight="1" spans="1:16">
      <c r="A207" s="123">
        <v>193</v>
      </c>
      <c r="B207" s="136" t="s">
        <v>530</v>
      </c>
      <c r="C207" s="123" t="s">
        <v>1389</v>
      </c>
      <c r="D207" s="124" t="s">
        <v>1613</v>
      </c>
      <c r="E207" s="125">
        <v>8.1</v>
      </c>
      <c r="F207" s="125">
        <v>8.1</v>
      </c>
      <c r="G207" s="125"/>
      <c r="H207" s="125">
        <f t="shared" si="23"/>
        <v>8.1</v>
      </c>
      <c r="I207" s="125">
        <v>0</v>
      </c>
      <c r="J207" s="125">
        <f t="shared" si="21"/>
        <v>0</v>
      </c>
      <c r="K207" s="125">
        <v>8.1</v>
      </c>
      <c r="L207" s="156"/>
      <c r="M207" s="145"/>
      <c r="N207" s="123" t="s">
        <v>977</v>
      </c>
      <c r="O207" s="146" t="s">
        <v>1614</v>
      </c>
      <c r="P207" s="145">
        <v>2296099</v>
      </c>
    </row>
    <row r="208" s="113" customFormat="1" ht="28" customHeight="1" spans="1:16">
      <c r="A208" s="123">
        <v>194</v>
      </c>
      <c r="B208" s="136" t="s">
        <v>530</v>
      </c>
      <c r="C208" s="123" t="s">
        <v>1389</v>
      </c>
      <c r="D208" s="124" t="s">
        <v>647</v>
      </c>
      <c r="E208" s="125">
        <v>0</v>
      </c>
      <c r="F208" s="125">
        <v>9.9</v>
      </c>
      <c r="G208" s="125"/>
      <c r="H208" s="125">
        <f t="shared" si="23"/>
        <v>9.9</v>
      </c>
      <c r="I208" s="125">
        <v>8.36</v>
      </c>
      <c r="J208" s="125">
        <f t="shared" si="21"/>
        <v>0</v>
      </c>
      <c r="K208" s="125">
        <v>9.9</v>
      </c>
      <c r="L208" s="156"/>
      <c r="M208" s="145"/>
      <c r="N208" s="123" t="s">
        <v>977</v>
      </c>
      <c r="O208" s="146" t="s">
        <v>1614</v>
      </c>
      <c r="P208" s="145">
        <v>2296099</v>
      </c>
    </row>
    <row r="209" s="113" customFormat="1" ht="28" customHeight="1" spans="1:16">
      <c r="A209" s="123">
        <v>195</v>
      </c>
      <c r="B209" s="136" t="s">
        <v>530</v>
      </c>
      <c r="C209" s="130" t="s">
        <v>1615</v>
      </c>
      <c r="D209" s="124" t="s">
        <v>1616</v>
      </c>
      <c r="E209" s="125">
        <f>1.6</f>
        <v>1.6</v>
      </c>
      <c r="F209" s="125">
        <v>1.6</v>
      </c>
      <c r="G209" s="125"/>
      <c r="H209" s="125">
        <f t="shared" si="23"/>
        <v>1.6</v>
      </c>
      <c r="I209" s="125">
        <v>0</v>
      </c>
      <c r="J209" s="125">
        <f t="shared" si="21"/>
        <v>0</v>
      </c>
      <c r="K209" s="125">
        <v>1.6</v>
      </c>
      <c r="L209" s="156"/>
      <c r="M209" s="145" t="s">
        <v>1617</v>
      </c>
      <c r="N209" s="123" t="s">
        <v>977</v>
      </c>
      <c r="O209" s="146" t="s">
        <v>1614</v>
      </c>
      <c r="P209" s="145">
        <v>2296099</v>
      </c>
    </row>
    <row r="210" s="113" customFormat="1" ht="28" customHeight="1" spans="1:16">
      <c r="A210" s="123">
        <v>196</v>
      </c>
      <c r="B210" s="136" t="s">
        <v>530</v>
      </c>
      <c r="C210" s="130" t="s">
        <v>1615</v>
      </c>
      <c r="D210" s="124" t="s">
        <v>1618</v>
      </c>
      <c r="E210" s="125">
        <v>3.1</v>
      </c>
      <c r="F210" s="125">
        <v>3.1</v>
      </c>
      <c r="G210" s="125"/>
      <c r="H210" s="125">
        <f t="shared" si="23"/>
        <v>3.1</v>
      </c>
      <c r="I210" s="125">
        <v>3.1</v>
      </c>
      <c r="J210" s="125">
        <f t="shared" si="21"/>
        <v>0</v>
      </c>
      <c r="K210" s="125">
        <v>3.1</v>
      </c>
      <c r="L210" s="156"/>
      <c r="M210" s="145" t="s">
        <v>1619</v>
      </c>
      <c r="N210" s="123" t="s">
        <v>977</v>
      </c>
      <c r="O210" s="146" t="s">
        <v>1614</v>
      </c>
      <c r="P210" s="145">
        <v>2296099</v>
      </c>
    </row>
    <row r="211" s="113" customFormat="1" ht="28" customHeight="1" spans="1:16">
      <c r="A211" s="123">
        <v>197</v>
      </c>
      <c r="B211" s="136" t="s">
        <v>530</v>
      </c>
      <c r="C211" s="130" t="s">
        <v>1615</v>
      </c>
      <c r="D211" s="124" t="s">
        <v>1620</v>
      </c>
      <c r="E211" s="125">
        <f>30-1.6-3.1</f>
        <v>25.3</v>
      </c>
      <c r="F211" s="125">
        <v>25.3</v>
      </c>
      <c r="G211" s="125"/>
      <c r="H211" s="125">
        <f t="shared" si="23"/>
        <v>25.3</v>
      </c>
      <c r="I211" s="125">
        <v>25.3</v>
      </c>
      <c r="J211" s="125">
        <f t="shared" si="21"/>
        <v>0</v>
      </c>
      <c r="K211" s="125">
        <v>25.3</v>
      </c>
      <c r="L211" s="156"/>
      <c r="M211" s="145"/>
      <c r="N211" s="123" t="s">
        <v>977</v>
      </c>
      <c r="O211" s="146" t="s">
        <v>1614</v>
      </c>
      <c r="P211" s="145">
        <v>2296099</v>
      </c>
    </row>
    <row r="212" s="113" customFormat="1" ht="28" customHeight="1" spans="1:16">
      <c r="A212" s="123">
        <v>198</v>
      </c>
      <c r="B212" s="136" t="s">
        <v>530</v>
      </c>
      <c r="C212" s="130" t="s">
        <v>1621</v>
      </c>
      <c r="D212" s="124" t="s">
        <v>1622</v>
      </c>
      <c r="E212" s="125">
        <v>12</v>
      </c>
      <c r="F212" s="125">
        <v>12</v>
      </c>
      <c r="G212" s="125"/>
      <c r="H212" s="125">
        <f t="shared" si="23"/>
        <v>12</v>
      </c>
      <c r="I212" s="125">
        <v>0</v>
      </c>
      <c r="J212" s="125">
        <f t="shared" si="21"/>
        <v>0</v>
      </c>
      <c r="K212" s="125">
        <v>12</v>
      </c>
      <c r="L212" s="156"/>
      <c r="M212" s="145"/>
      <c r="N212" s="123" t="s">
        <v>977</v>
      </c>
      <c r="O212" s="146" t="s">
        <v>1614</v>
      </c>
      <c r="P212" s="145">
        <v>2296099</v>
      </c>
    </row>
    <row r="213" s="113" customFormat="1" ht="28" customHeight="1" spans="1:16">
      <c r="A213" s="127" t="s">
        <v>1623</v>
      </c>
      <c r="B213" s="127"/>
      <c r="C213" s="127"/>
      <c r="D213" s="128"/>
      <c r="E213" s="129">
        <f t="shared" ref="E213:I213" si="25">SUM(E207:E212)</f>
        <v>50.1</v>
      </c>
      <c r="F213" s="129">
        <f t="shared" si="25"/>
        <v>60</v>
      </c>
      <c r="G213" s="129">
        <f t="shared" si="25"/>
        <v>0</v>
      </c>
      <c r="H213" s="129">
        <f t="shared" si="25"/>
        <v>60</v>
      </c>
      <c r="I213" s="129">
        <f t="shared" si="25"/>
        <v>36.76</v>
      </c>
      <c r="J213" s="129">
        <f t="shared" si="21"/>
        <v>0</v>
      </c>
      <c r="K213" s="129">
        <f>SUM(K207:K212)</f>
        <v>60</v>
      </c>
      <c r="L213" s="147"/>
      <c r="M213" s="148"/>
      <c r="N213" s="127"/>
      <c r="O213" s="149"/>
      <c r="P213" s="145"/>
    </row>
    <row r="214" s="113" customFormat="1" ht="28" customHeight="1" spans="1:16">
      <c r="A214" s="127" t="s">
        <v>1624</v>
      </c>
      <c r="B214" s="127"/>
      <c r="C214" s="127"/>
      <c r="D214" s="128"/>
      <c r="E214" s="129"/>
      <c r="F214" s="129">
        <v>30000</v>
      </c>
      <c r="G214" s="129"/>
      <c r="H214" s="129"/>
      <c r="I214" s="129"/>
      <c r="J214" s="129">
        <f t="shared" si="21"/>
        <v>65000</v>
      </c>
      <c r="K214" s="129">
        <v>95000</v>
      </c>
      <c r="L214" s="147"/>
      <c r="M214" s="148"/>
      <c r="N214" s="127" t="s">
        <v>1386</v>
      </c>
      <c r="O214" s="149" t="s">
        <v>1625</v>
      </c>
      <c r="P214" s="145"/>
    </row>
    <row r="215" s="113" customFormat="1" ht="28" customHeight="1" spans="1:16">
      <c r="A215" s="127" t="s">
        <v>1626</v>
      </c>
      <c r="B215" s="127"/>
      <c r="C215" s="127"/>
      <c r="D215" s="128"/>
      <c r="E215" s="129">
        <f t="shared" ref="E215:I215" si="26">E181+E206+E213</f>
        <v>443847.85</v>
      </c>
      <c r="F215" s="129">
        <f>F181+F206+F213+F214</f>
        <v>402076.11</v>
      </c>
      <c r="G215" s="129">
        <f t="shared" si="26"/>
        <v>78095.629429</v>
      </c>
      <c r="H215" s="129">
        <f t="shared" si="26"/>
        <v>449416.739429</v>
      </c>
      <c r="I215" s="129">
        <f t="shared" si="26"/>
        <v>103049.688671</v>
      </c>
      <c r="J215" s="129">
        <f t="shared" si="21"/>
        <v>-26245.9431259999</v>
      </c>
      <c r="K215" s="129">
        <f>K181+K206+K213+K214</f>
        <v>375830.166874</v>
      </c>
      <c r="L215" s="147" t="s">
        <v>1627</v>
      </c>
      <c r="M215" s="148"/>
      <c r="N215" s="127"/>
      <c r="O215" s="149"/>
      <c r="P215" s="145"/>
    </row>
    <row r="216" s="113" customFormat="1" ht="28" customHeight="1" spans="1:16">
      <c r="A216" s="165" t="s">
        <v>1628</v>
      </c>
      <c r="B216" s="166"/>
      <c r="C216" s="167"/>
      <c r="D216" s="168"/>
      <c r="E216" s="169"/>
      <c r="F216" s="129">
        <v>39800</v>
      </c>
      <c r="G216" s="129">
        <v>10200</v>
      </c>
      <c r="H216" s="129">
        <f>F216+G216</f>
        <v>50000</v>
      </c>
      <c r="I216" s="129">
        <v>0</v>
      </c>
      <c r="J216" s="129">
        <f t="shared" si="21"/>
        <v>8100</v>
      </c>
      <c r="K216" s="129">
        <f>50800-2900</f>
        <v>47900</v>
      </c>
      <c r="L216" s="147" t="s">
        <v>1629</v>
      </c>
      <c r="M216" s="177"/>
      <c r="N216" s="178"/>
      <c r="O216" s="149" t="s">
        <v>1630</v>
      </c>
      <c r="P216" s="179"/>
    </row>
    <row r="217" s="113" customFormat="1" ht="28" customHeight="1" spans="1:16">
      <c r="A217" s="170" t="s">
        <v>1631</v>
      </c>
      <c r="B217" s="171"/>
      <c r="C217" s="170"/>
      <c r="D217" s="172"/>
      <c r="E217" s="173">
        <f t="shared" ref="E217:I217" si="27">E215+E216</f>
        <v>443847.85</v>
      </c>
      <c r="F217" s="173">
        <f t="shared" si="27"/>
        <v>441876.11</v>
      </c>
      <c r="G217" s="173">
        <f t="shared" si="27"/>
        <v>88295.629429</v>
      </c>
      <c r="H217" s="173">
        <f t="shared" si="27"/>
        <v>499416.739429</v>
      </c>
      <c r="I217" s="173">
        <f t="shared" si="27"/>
        <v>103049.688671</v>
      </c>
      <c r="J217" s="129">
        <f t="shared" si="21"/>
        <v>-18145.9431259999</v>
      </c>
      <c r="K217" s="173">
        <f>K215+K216</f>
        <v>423730.166874</v>
      </c>
      <c r="L217" s="180"/>
      <c r="M217" s="177"/>
      <c r="N217" s="178"/>
      <c r="O217" s="181"/>
      <c r="P217" s="179"/>
    </row>
    <row r="218" s="113" customFormat="1" ht="28" customHeight="1" spans="1:15">
      <c r="A218" s="174" t="s">
        <v>1632</v>
      </c>
      <c r="B218" s="174"/>
      <c r="C218" s="174"/>
      <c r="D218" s="175"/>
      <c r="E218" s="176"/>
      <c r="F218" s="173">
        <f t="shared" ref="F218:I218" si="28">F217-F8</f>
        <v>238870.11</v>
      </c>
      <c r="G218" s="173">
        <f t="shared" si="28"/>
        <v>88295.629429</v>
      </c>
      <c r="H218" s="173">
        <f t="shared" si="28"/>
        <v>296410.739429</v>
      </c>
      <c r="I218" s="173">
        <f t="shared" si="28"/>
        <v>67949.688671</v>
      </c>
      <c r="J218" s="129">
        <f t="shared" si="21"/>
        <v>43560.0568740001</v>
      </c>
      <c r="K218" s="173">
        <f>K217-K8</f>
        <v>282430.166874</v>
      </c>
      <c r="L218" s="147" t="s">
        <v>1627</v>
      </c>
      <c r="M218" s="182"/>
      <c r="N218" s="183"/>
      <c r="O218" s="184"/>
    </row>
    <row r="219" s="113" customFormat="1" spans="1:13">
      <c r="A219" s="115"/>
      <c r="B219" s="116"/>
      <c r="C219" s="114"/>
      <c r="D219" s="117"/>
      <c r="E219" s="114"/>
      <c r="F219" s="114"/>
      <c r="G219" s="114"/>
      <c r="H219" s="114"/>
      <c r="I219" s="114"/>
      <c r="J219" s="114"/>
      <c r="K219" s="114"/>
      <c r="L219" s="117"/>
      <c r="M219" s="114"/>
    </row>
    <row r="220" s="113" customFormat="1" spans="1:13">
      <c r="A220" s="115"/>
      <c r="B220" s="116"/>
      <c r="C220" s="114"/>
      <c r="D220" s="117"/>
      <c r="E220" s="114"/>
      <c r="F220" s="114"/>
      <c r="G220" s="114"/>
      <c r="H220" s="114"/>
      <c r="I220" s="114"/>
      <c r="J220" s="114"/>
      <c r="K220" s="114"/>
      <c r="L220" s="117"/>
      <c r="M220" s="114"/>
    </row>
    <row r="221" s="113" customFormat="1" spans="1:13">
      <c r="A221" s="115"/>
      <c r="B221" s="116"/>
      <c r="C221" s="114"/>
      <c r="D221" s="117"/>
      <c r="E221" s="114"/>
      <c r="F221" s="114"/>
      <c r="G221" s="114"/>
      <c r="H221" s="114"/>
      <c r="I221" s="114"/>
      <c r="J221" s="114"/>
      <c r="K221" s="114"/>
      <c r="L221" s="117"/>
      <c r="M221" s="114"/>
    </row>
    <row r="222" s="113" customFormat="1" spans="1:13">
      <c r="A222" s="115"/>
      <c r="B222" s="116"/>
      <c r="C222" s="114"/>
      <c r="D222" s="117"/>
      <c r="E222" s="114"/>
      <c r="F222" s="114"/>
      <c r="G222" s="114"/>
      <c r="H222" s="114"/>
      <c r="I222" s="114"/>
      <c r="J222" s="114"/>
      <c r="K222" s="114"/>
      <c r="L222" s="117"/>
      <c r="M222" s="114"/>
    </row>
    <row r="223" s="113" customFormat="1" spans="1:13">
      <c r="A223" s="115"/>
      <c r="B223" s="116"/>
      <c r="C223" s="114"/>
      <c r="D223" s="117"/>
      <c r="E223" s="114"/>
      <c r="F223" s="114"/>
      <c r="G223" s="114"/>
      <c r="H223" s="114"/>
      <c r="I223" s="114"/>
      <c r="J223" s="114"/>
      <c r="K223" s="114"/>
      <c r="L223" s="117"/>
      <c r="M223" s="114"/>
    </row>
    <row r="224" s="113" customFormat="1" spans="1:13">
      <c r="A224" s="115"/>
      <c r="B224" s="116"/>
      <c r="C224" s="114"/>
      <c r="D224" s="117"/>
      <c r="E224" s="114"/>
      <c r="F224" s="114"/>
      <c r="G224" s="114"/>
      <c r="H224" s="114"/>
      <c r="I224" s="114"/>
      <c r="J224" s="114"/>
      <c r="K224" s="114"/>
      <c r="L224" s="117"/>
      <c r="M224" s="114"/>
    </row>
    <row r="225" s="113" customFormat="1" spans="1:13">
      <c r="A225" s="115"/>
      <c r="B225" s="116"/>
      <c r="C225" s="114"/>
      <c r="D225" s="117"/>
      <c r="E225" s="114"/>
      <c r="F225" s="114"/>
      <c r="G225" s="114"/>
      <c r="H225" s="114"/>
      <c r="I225" s="114"/>
      <c r="J225" s="114"/>
      <c r="K225" s="114"/>
      <c r="L225" s="117"/>
      <c r="M225" s="114"/>
    </row>
    <row r="226" s="113" customFormat="1" spans="1:13">
      <c r="A226" s="115"/>
      <c r="B226" s="116"/>
      <c r="C226" s="114"/>
      <c r="D226" s="117"/>
      <c r="E226" s="114"/>
      <c r="F226" s="114"/>
      <c r="G226" s="114"/>
      <c r="H226" s="114"/>
      <c r="I226" s="114"/>
      <c r="J226" s="114"/>
      <c r="K226" s="114"/>
      <c r="L226" s="117"/>
      <c r="M226" s="114"/>
    </row>
    <row r="227" s="113" customFormat="1" spans="1:13">
      <c r="A227" s="115"/>
      <c r="B227" s="116"/>
      <c r="C227" s="114"/>
      <c r="D227" s="117"/>
      <c r="E227" s="114"/>
      <c r="F227" s="114"/>
      <c r="G227" s="114"/>
      <c r="H227" s="114"/>
      <c r="I227" s="114"/>
      <c r="J227" s="114"/>
      <c r="K227" s="114"/>
      <c r="L227" s="117"/>
      <c r="M227" s="114"/>
    </row>
    <row r="228" s="113" customFormat="1" spans="1:13">
      <c r="A228" s="115"/>
      <c r="B228" s="116"/>
      <c r="C228" s="114"/>
      <c r="D228" s="117"/>
      <c r="E228" s="114"/>
      <c r="F228" s="114"/>
      <c r="G228" s="114"/>
      <c r="H228" s="114"/>
      <c r="I228" s="114"/>
      <c r="J228" s="114"/>
      <c r="K228" s="114"/>
      <c r="L228" s="117"/>
      <c r="M228" s="114"/>
    </row>
    <row r="229" s="113" customFormat="1" spans="1:13">
      <c r="A229" s="115"/>
      <c r="B229" s="116"/>
      <c r="C229" s="114"/>
      <c r="D229" s="117"/>
      <c r="E229" s="114"/>
      <c r="F229" s="114"/>
      <c r="G229" s="114"/>
      <c r="H229" s="114"/>
      <c r="I229" s="114"/>
      <c r="J229" s="114"/>
      <c r="K229" s="114"/>
      <c r="L229" s="117"/>
      <c r="M229" s="114"/>
    </row>
    <row r="230" s="113" customFormat="1" spans="1:13">
      <c r="A230" s="115"/>
      <c r="B230" s="116"/>
      <c r="C230" s="114"/>
      <c r="D230" s="117"/>
      <c r="E230" s="114"/>
      <c r="F230" s="114"/>
      <c r="G230" s="114"/>
      <c r="H230" s="114"/>
      <c r="I230" s="114"/>
      <c r="J230" s="114"/>
      <c r="K230" s="114"/>
      <c r="L230" s="117"/>
      <c r="M230" s="114"/>
    </row>
    <row r="231" s="113" customFormat="1" spans="1:13">
      <c r="A231" s="115"/>
      <c r="B231" s="116"/>
      <c r="C231" s="114"/>
      <c r="D231" s="117"/>
      <c r="E231" s="114"/>
      <c r="F231" s="114"/>
      <c r="G231" s="114"/>
      <c r="H231" s="114"/>
      <c r="I231" s="114"/>
      <c r="J231" s="114"/>
      <c r="K231" s="114"/>
      <c r="L231" s="117"/>
      <c r="M231" s="114"/>
    </row>
    <row r="232" s="113" customFormat="1" spans="1:13">
      <c r="A232" s="115"/>
      <c r="B232" s="116"/>
      <c r="C232" s="114"/>
      <c r="D232" s="117"/>
      <c r="E232" s="114"/>
      <c r="F232" s="114"/>
      <c r="G232" s="114"/>
      <c r="H232" s="114"/>
      <c r="I232" s="114"/>
      <c r="J232" s="114"/>
      <c r="K232" s="114"/>
      <c r="L232" s="117"/>
      <c r="M232" s="114"/>
    </row>
    <row r="233" s="113" customFormat="1" spans="1:13">
      <c r="A233" s="115"/>
      <c r="B233" s="116"/>
      <c r="C233" s="114"/>
      <c r="D233" s="117"/>
      <c r="E233" s="114"/>
      <c r="F233" s="114"/>
      <c r="G233" s="114"/>
      <c r="H233" s="114"/>
      <c r="I233" s="114"/>
      <c r="J233" s="114"/>
      <c r="K233" s="114"/>
      <c r="L233" s="117"/>
      <c r="M233" s="114"/>
    </row>
    <row r="234" s="113" customFormat="1" spans="1:13">
      <c r="A234" s="115"/>
      <c r="B234" s="116"/>
      <c r="C234" s="114"/>
      <c r="D234" s="117"/>
      <c r="E234" s="114"/>
      <c r="F234" s="114"/>
      <c r="G234" s="114"/>
      <c r="H234" s="114"/>
      <c r="I234" s="114"/>
      <c r="J234" s="114"/>
      <c r="K234" s="114"/>
      <c r="L234" s="117"/>
      <c r="M234" s="114"/>
    </row>
    <row r="235" s="113" customFormat="1" spans="1:13">
      <c r="A235" s="115"/>
      <c r="B235" s="116"/>
      <c r="C235" s="114"/>
      <c r="D235" s="117"/>
      <c r="E235" s="114"/>
      <c r="F235" s="114"/>
      <c r="G235" s="114"/>
      <c r="H235" s="114"/>
      <c r="I235" s="114"/>
      <c r="J235" s="114"/>
      <c r="K235" s="114"/>
      <c r="L235" s="117"/>
      <c r="M235" s="114"/>
    </row>
    <row r="236" s="113" customFormat="1" spans="1:13">
      <c r="A236" s="115"/>
      <c r="B236" s="116"/>
      <c r="C236" s="114"/>
      <c r="D236" s="117"/>
      <c r="E236" s="114"/>
      <c r="F236" s="114"/>
      <c r="G236" s="114"/>
      <c r="H236" s="114"/>
      <c r="I236" s="114"/>
      <c r="J236" s="114"/>
      <c r="K236" s="114"/>
      <c r="L236" s="117"/>
      <c r="M236" s="114"/>
    </row>
    <row r="237" s="113" customFormat="1" spans="1:13">
      <c r="A237" s="115"/>
      <c r="B237" s="116"/>
      <c r="C237" s="114"/>
      <c r="D237" s="117"/>
      <c r="E237" s="114"/>
      <c r="F237" s="114"/>
      <c r="G237" s="114"/>
      <c r="H237" s="114"/>
      <c r="I237" s="114"/>
      <c r="J237" s="114"/>
      <c r="K237" s="114"/>
      <c r="L237" s="117"/>
      <c r="M237" s="114"/>
    </row>
  </sheetData>
  <autoFilter xmlns:etc="http://www.wps.cn/officeDocument/2017/etCustomData" ref="A5:S218" etc:filterBottomFollowUsedRange="0">
    <extLst/>
  </autoFilter>
  <mergeCells count="33">
    <mergeCell ref="A2:O2"/>
    <mergeCell ref="L3:M3"/>
    <mergeCell ref="G4:H4"/>
    <mergeCell ref="A8:D8"/>
    <mergeCell ref="A58:D58"/>
    <mergeCell ref="A72:D72"/>
    <mergeCell ref="A120:D120"/>
    <mergeCell ref="A133:D133"/>
    <mergeCell ref="A176:D176"/>
    <mergeCell ref="A180:D180"/>
    <mergeCell ref="A181:D181"/>
    <mergeCell ref="A206:D206"/>
    <mergeCell ref="A213:D213"/>
    <mergeCell ref="A214:D214"/>
    <mergeCell ref="A215:D215"/>
    <mergeCell ref="A216:D216"/>
    <mergeCell ref="A217:D217"/>
    <mergeCell ref="A218:D218"/>
    <mergeCell ref="A4:A5"/>
    <mergeCell ref="B4:B5"/>
    <mergeCell ref="C4:C5"/>
    <mergeCell ref="D4:D5"/>
    <mergeCell ref="E4:E5"/>
    <mergeCell ref="F4:F5"/>
    <mergeCell ref="I4:I5"/>
    <mergeCell ref="J4:J5"/>
    <mergeCell ref="K4:K5"/>
    <mergeCell ref="L4:L5"/>
    <mergeCell ref="L6:L7"/>
    <mergeCell ref="M4:M5"/>
    <mergeCell ref="N4:N5"/>
    <mergeCell ref="O4:O5"/>
    <mergeCell ref="P4:P5"/>
  </mergeCells>
  <printOptions horizontalCentered="1"/>
  <pageMargins left="0.393055555555556" right="0.393055555555556" top="0.196527777777778" bottom="0.393055555555556" header="0.196527777777778" footer="0.196527777777778"/>
  <pageSetup paperSize="9" scale="83"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1" master="" otherUserPermission="visible"/>
  <rangeList sheetStid="37" master="" otherUserPermission="visible"/>
  <rangeList sheetStid="47" master="" otherUserPermission="visible">
    <arrUserId title="区域2" rangeCreator="" othersAccessPermission="edit"/>
    <arrUserId title="区域1" rangeCreator="" othersAccessPermission="edit"/>
    <arrUserId title="区域2_1" rangeCreator="" othersAccessPermission="edit"/>
    <arrUserId title="区域2_2"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arrUserId title="区域1_5" rangeCreator="" othersAccessPermission="edit"/>
    <arrUserId title="区域2_3" rangeCreator="" othersAccessPermission="edit"/>
    <arrUserId title="区域1_6" rangeCreator="" othersAccessPermission="edit"/>
    <arrUserId title="区域1_8" rangeCreator="" othersAccessPermission="edit"/>
    <arrUserId title="区域1_9" rangeCreator="" othersAccessPermission="edit"/>
    <arrUserId title="区域1_10" rangeCreator="" othersAccessPermission="edit"/>
    <arrUserId title="区域1_11" rangeCreator="" othersAccessPermission="edit"/>
    <arrUserId title="区域2_4" rangeCreator="" othersAccessPermission="edit"/>
    <arrUserId title="区域2_5" rangeCreator="" othersAccessPermission="edit"/>
    <arrUserId title="区域2_7" rangeCreator="" othersAccessPermission="edit"/>
    <arrUserId title="区域2_8" rangeCreator="" othersAccessPermission="edit"/>
    <arrUserId title="区域2_9" rangeCreator="" othersAccessPermission="edit"/>
    <arrUserId title="区域2_10" rangeCreator="" othersAccessPermission="edit"/>
    <arrUserId title="区域1_12" rangeCreator="" othersAccessPermission="edit"/>
    <arrUserId title="区域1_7" rangeCreator="" othersAccessPermission="edit"/>
    <arrUserId title="区域1_13" rangeCreator="" othersAccessPermission="edit"/>
    <arrUserId title="区域1_14" rangeCreator="" othersAccessPermission="edit"/>
    <arrUserId title="区域1_15" rangeCreator="" othersAccessPermission="edit"/>
    <arrUserId title="区域1_16" rangeCreator="" othersAccessPermission="edit"/>
    <arrUserId title="区域1_17" rangeCreator="" othersAccessPermission="edit"/>
    <arrUserId title="区域2_11" rangeCreator="" othersAccessPermission="edit"/>
    <arrUserId title="区域2_12" rangeCreator="" othersAccessPermission="edit"/>
    <arrUserId title="区域2_13" rangeCreator="" othersAccessPermission="edit"/>
    <arrUserId title="区域2_14" rangeCreator="" othersAccessPermission="edit"/>
    <arrUserId title="区域1_18" rangeCreator="" othersAccessPermission="edit"/>
  </rangeList>
  <rangeList sheetStid="33" master="" otherUserPermission="visible"/>
  <rangeList sheetStid="53" master="" otherUserPermission="visible"/>
  <rangeList sheetStid="54" master="" otherUserPermission="visible"/>
  <rangeList sheetStid="55" master="" otherUserPermission="visible"/>
  <rangeList sheetStid="56" master="" otherUserPermission="visible"/>
  <rangeList sheetStid="36" master="" otherUserPermission="visible"/>
  <rangeList sheetStid="42" master="" otherUserPermission="visible"/>
  <rangeList sheetStid="43" master="" otherUserPermission="visible"/>
  <rangeList sheetStid="51" master="" otherUserPermission="visible"/>
  <rangeList sheetStid="5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预算调整封面</vt:lpstr>
      <vt:lpstr>公共财政预算收入（附表1)</vt:lpstr>
      <vt:lpstr>公共财政预算支出计划调整表（附表2）</vt:lpstr>
      <vt:lpstr>公共财政项目调整表（附表3）</vt:lpstr>
      <vt:lpstr>财力性补助收入（附件4）</vt:lpstr>
      <vt:lpstr>基金收入科目（附表5）</vt:lpstr>
      <vt:lpstr>基金收入项目（附表6）</vt:lpstr>
      <vt:lpstr>基金支出科目（附表7）</vt:lpstr>
      <vt:lpstr>基金支出项目（附表8）</vt:lpstr>
      <vt:lpstr>盘活存量资金收支表（附件9）</vt:lpstr>
      <vt:lpstr>国有资本经营收入表（附表10）</vt:lpstr>
      <vt:lpstr>国有资本经营支出表（附表11）</vt:lpstr>
      <vt:lpstr>社会保险基金收入表（附表12）</vt:lpstr>
      <vt:lpstr>社会保险基金支出表（附表13）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大云朵</cp:lastModifiedBy>
  <dcterms:created xsi:type="dcterms:W3CDTF">1996-12-17T01:32:00Z</dcterms:created>
  <cp:lastPrinted>2018-08-26T12:40:00Z</cp:lastPrinted>
  <dcterms:modified xsi:type="dcterms:W3CDTF">2024-09-30T12:18:26Z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ubyTemplateID">
    <vt:lpwstr>14</vt:lpwstr>
  </property>
  <property fmtid="{D5CDD505-2E9C-101B-9397-08002B2CF9AE}" pid="4" name="ICV">
    <vt:lpwstr>CB66DAA216F6433AA81FCB027B05CDDD_12</vt:lpwstr>
  </property>
</Properties>
</file>