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tabRatio="608" firstSheet="4" activeTab="8"/>
  </bookViews>
  <sheets>
    <sheet name="公共财政预算（附表一）" sheetId="1" state="hidden" r:id="rId1"/>
    <sheet name="政府性基金预算（附表二）" sheetId="4" state="hidden" r:id="rId2"/>
    <sheet name="预算调整封面" sheetId="9" r:id="rId3"/>
    <sheet name="公共财政预算支出计划调整表（附表一）" sheetId="12" r:id="rId4"/>
    <sheet name="基金收入（附表二）" sheetId="6" r:id="rId5"/>
    <sheet name="调整后基金预算收入 (附表三)" sheetId="8" r:id="rId6"/>
    <sheet name="调整后基金预算收入 (附表四)" sheetId="7" state="hidden" r:id="rId7"/>
    <sheet name="基金支出（附表四）" sheetId="5" r:id="rId8"/>
    <sheet name="2018年新增债券项目调整表（附表五）" sheetId="10" r:id="rId9"/>
  </sheets>
  <externalReferences>
    <externalReference r:id="rId10"/>
  </externalReferences>
  <definedNames>
    <definedName name="_xlnm._FilterDatabase" localSheetId="3" hidden="1">'公共财政预算支出计划调整表（附表一）'!$A$6:$O$446</definedName>
    <definedName name="_xlnm._FilterDatabase" localSheetId="5" hidden="1">'调整后基金预算收入 (附表三)'!$A$6:$K$52</definedName>
    <definedName name="_xlnm._FilterDatabase" localSheetId="7" hidden="1">'基金支出（附表四）'!$A$5:$Q$94</definedName>
    <definedName name="_xlnm._FilterDatabase" localSheetId="8" hidden="1">'2018年新增债券项目调整表（附表五）'!$B$6:$M$13</definedName>
    <definedName name="_xlnm.Print_Area" localSheetId="8">'2018年新增债券项目调整表（附表五）'!$A$1:$M$38</definedName>
    <definedName name="_xlnm.Print_Titles" localSheetId="8">'2018年新增债券项目调整表（附表五）'!$2:$4</definedName>
    <definedName name="_xlnm.Print_Titles" localSheetId="5">'调整后基金预算收入 (附表三)'!$6:$6</definedName>
    <definedName name="_xlnm.Print_Titles" localSheetId="6">'调整后基金预算收入 (附表四)'!$6:$6</definedName>
    <definedName name="_xlnm.Print_Titles" localSheetId="3">'公共财政预算支出计划调整表（附表一）'!$2:$6</definedName>
    <definedName name="_xlnm.Print_Titles" localSheetId="4">'基金收入（附表二）'!$2:$6</definedName>
    <definedName name="_xlnm.Print_Titles" localSheetId="7">'基金支出（附表四）'!$2:$5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C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用土地净收益缴新增建设用地土地有偿使用费支出</t>
        </r>
      </text>
    </comment>
  </commentList>
</comments>
</file>

<file path=xl/sharedStrings.xml><?xml version="1.0" encoding="utf-8"?>
<sst xmlns="http://schemas.openxmlformats.org/spreadsheetml/2006/main" count="1185" uniqueCount="814">
  <si>
    <t>附表一</t>
  </si>
  <si>
    <t>2018年部门公共财政预算调整表</t>
  </si>
  <si>
    <t>单位：万元（小数点后两位）</t>
  </si>
  <si>
    <t>项目</t>
  </si>
  <si>
    <t>功能分类科目</t>
  </si>
  <si>
    <t>调减列入第一次、第二次预算调整的支出（以负数表示）</t>
  </si>
  <si>
    <t>调增11-12月新需求支出</t>
  </si>
  <si>
    <t>调整数</t>
  </si>
  <si>
    <t>调减调增的原因</t>
  </si>
  <si>
    <t>调增文件依据</t>
  </si>
  <si>
    <t>所属股室</t>
  </si>
  <si>
    <t>备注</t>
  </si>
  <si>
    <t>栏次</t>
  </si>
  <si>
    <t>3=1+2</t>
  </si>
  <si>
    <t>合计</t>
  </si>
  <si>
    <t>说明：1、1栏：填列已列入第一次、第二次预算调整，但2018年11-12月不需使用的支出。</t>
  </si>
  <si>
    <t xml:space="preserve">      2、2栏：填列未列入第一次、第二次预算调整，但2018年11-12月需使用的支出。</t>
  </si>
  <si>
    <t xml:space="preserve">      3、如不需调整，请送空表（加盖公章）。</t>
  </si>
  <si>
    <t xml:space="preserve">      4、本表可插行。</t>
  </si>
  <si>
    <t>附表二</t>
  </si>
  <si>
    <t>2018年部门政府性基金预算调整表</t>
  </si>
  <si>
    <t xml:space="preserve">      3、项目如需跨年度执行，按进度仅填列今年需支出的金额。</t>
  </si>
  <si>
    <t xml:space="preserve">      4、如不需调整，请送空表（加盖公章）</t>
  </si>
  <si>
    <t xml:space="preserve">      5、本表可插行</t>
  </si>
  <si>
    <r>
      <rPr>
        <b/>
        <sz val="28"/>
        <rFont val="宋体"/>
        <charset val="134"/>
      </rPr>
      <t>汕头市濠江区</t>
    </r>
    <r>
      <rPr>
        <b/>
        <sz val="28"/>
        <rFont val="Times New Roman"/>
        <charset val="134"/>
      </rPr>
      <t>2018</t>
    </r>
    <r>
      <rPr>
        <b/>
        <sz val="28"/>
        <rFont val="宋体"/>
        <charset val="134"/>
      </rPr>
      <t>年政府预算调整草案</t>
    </r>
  </si>
  <si>
    <t>编制部门：</t>
  </si>
  <si>
    <t>汕头市濠江区财政局</t>
  </si>
  <si>
    <t>编制时间：</t>
  </si>
  <si>
    <t>附表1</t>
  </si>
  <si>
    <t>汕头市濠江区2018年公共财政预算支出计划调整表</t>
  </si>
  <si>
    <t>单位：万元</t>
  </si>
  <si>
    <t>第二次调整计划数</t>
  </si>
  <si>
    <t>变动因素</t>
  </si>
  <si>
    <t>第三次调整计划数</t>
  </si>
  <si>
    <t>比增
%</t>
  </si>
  <si>
    <t>本级支出</t>
  </si>
  <si>
    <t>上级支出</t>
  </si>
  <si>
    <t>代码</t>
  </si>
  <si>
    <t>名称</t>
  </si>
  <si>
    <t>政策性调整</t>
  </si>
  <si>
    <t>其他调整</t>
  </si>
  <si>
    <t>上级资金收回</t>
  </si>
  <si>
    <t>同类及跨类调剂</t>
  </si>
  <si>
    <t>上级专项性补助</t>
  </si>
  <si>
    <t>一般公共服务支出</t>
  </si>
  <si>
    <t>人大事务</t>
  </si>
  <si>
    <t>行政运行</t>
  </si>
  <si>
    <t>规范津补贴，调增人员支出</t>
  </si>
  <si>
    <t>一般行政管理事务</t>
  </si>
  <si>
    <t>人大会议</t>
  </si>
  <si>
    <t>人大监督</t>
  </si>
  <si>
    <t>人大代表履职能力提升</t>
  </si>
  <si>
    <t>代表工作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</si>
  <si>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</si>
  <si>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</si>
  <si>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</si>
  <si>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</si>
  <si>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</si>
  <si>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</si>
  <si>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</si>
  <si>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其他政府办公厅（室）及相关机构事务支出</t>
  </si>
  <si>
    <t>发展与改革事务</t>
  </si>
  <si>
    <t>战略规划与实施</t>
  </si>
  <si>
    <t>其他发展与改革事务支出</t>
  </si>
  <si>
    <t>统计信息事务</t>
  </si>
  <si>
    <t>专项普查活动</t>
  </si>
  <si>
    <t>统计抽样调查</t>
  </si>
  <si>
    <t>财政事务</t>
  </si>
  <si>
    <t>预算改革业务</t>
  </si>
  <si>
    <t>财政国库业务</t>
  </si>
  <si>
    <t>信息化建设</t>
  </si>
  <si>
    <t>其他财政事务支出</t>
  </si>
  <si>
    <t>税收事务</t>
  </si>
  <si>
    <t>其他税收事务支出</t>
  </si>
  <si>
    <t>审计事务</t>
  </si>
  <si>
    <t>审计业务</t>
  </si>
  <si>
    <t>事业运行</t>
  </si>
  <si>
    <t>其他审计事务支出</t>
  </si>
  <si>
    <t>人力资源事务</t>
  </si>
  <si>
    <t>军队转业干部安置</t>
  </si>
  <si>
    <t>纪检监察事务</t>
  </si>
  <si>
    <t>大案要案查处</t>
  </si>
  <si>
    <t>派驻派出机构</t>
  </si>
  <si>
    <t>其他纪检监察事务支出</t>
  </si>
  <si>
    <t>商贸事务</t>
  </si>
  <si>
    <t>其他商贸事务支出</t>
  </si>
  <si>
    <t>知识产权事务</t>
  </si>
  <si>
    <t>专利试点和产业化推进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</si>
  <si>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</si>
  <si>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</si>
  <si>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</si>
  <si>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</si>
  <si>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</si>
  <si>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其他工商行政管理事务支出</t>
  </si>
  <si>
    <t>质量技术监督与检验检疫事务</t>
  </si>
  <si>
    <t>质量技术监督行政执法及业务管理</t>
  </si>
  <si>
    <t>其他质量技术监督与检验检疫事务支出</t>
  </si>
  <si>
    <t>宗教事务</t>
  </si>
  <si>
    <t>宗教工作专项</t>
  </si>
  <si>
    <t>港澳台侨事务</t>
  </si>
  <si>
    <t>港澳事务</t>
  </si>
  <si>
    <t>台湾事务</t>
  </si>
  <si>
    <t>华侨事务</t>
  </si>
  <si>
    <t>其他港澳台侨事务支出</t>
  </si>
  <si>
    <t>调增外宾接待经费</t>
  </si>
  <si>
    <t>档案事务</t>
  </si>
  <si>
    <t>档案馆</t>
  </si>
  <si>
    <t>民主党派及工商联事务</t>
  </si>
  <si>
    <t>其他民主党派及工商联事务支出</t>
  </si>
  <si>
    <t>群众团体事务</t>
  </si>
  <si>
    <t>其他群众团体事务支出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</si>
  <si>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</si>
  <si>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</si>
  <si>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</si>
  <si>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</si>
  <si>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</si>
  <si>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</si>
  <si>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</si>
  <si>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其他一般公共服务支出</t>
  </si>
  <si>
    <t>规范津补贴，调减工作补助经费</t>
  </si>
  <si>
    <t>国防支出</t>
  </si>
  <si>
    <t>国防动员</t>
  </si>
  <si>
    <t>兵役征集</t>
  </si>
  <si>
    <t>人民防空</t>
  </si>
  <si>
    <t>民兵</t>
  </si>
  <si>
    <t>其他国防支出</t>
  </si>
  <si>
    <t>公共安全支出</t>
  </si>
  <si>
    <t>武装警察</t>
  </si>
  <si>
    <t>边防</t>
  </si>
  <si>
    <t>消防</t>
  </si>
  <si>
    <t>公安</t>
  </si>
  <si>
    <t>治安管理</t>
  </si>
  <si>
    <t>其他公安支出</t>
  </si>
  <si>
    <t>检察</t>
  </si>
  <si>
    <t>其他检察支出</t>
  </si>
  <si>
    <t>法院</t>
  </si>
  <si>
    <t>其他法院支出</t>
  </si>
  <si>
    <t>司法</t>
  </si>
  <si>
    <t>基层司法业务</t>
  </si>
  <si>
    <t>普法宣传</t>
  </si>
  <si>
    <t>律师公证管理</t>
  </si>
  <si>
    <t>法律援助</t>
  </si>
  <si>
    <t>社区矫正</t>
  </si>
  <si>
    <t>其他司法支出</t>
  </si>
  <si>
    <t>其他公共安全支出</t>
  </si>
  <si>
    <t>教育支出</t>
  </si>
  <si>
    <t>教育管理事务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</si>
  <si>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</si>
  <si>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</si>
  <si>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</si>
  <si>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</si>
  <si>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</si>
  <si>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</si>
  <si>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</si>
  <si>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中专教育</t>
  </si>
  <si>
    <t>其他职业教育支出</t>
  </si>
  <si>
    <t>特殊教育</t>
  </si>
  <si>
    <t>特殊学校教育</t>
  </si>
  <si>
    <t>进修及培训</t>
  </si>
  <si>
    <t>培训支出</t>
  </si>
  <si>
    <t>教育费附加安排的支出</t>
  </si>
  <si>
    <t>其他教育费附加安排的支出</t>
  </si>
  <si>
    <t>其他教育支出</t>
  </si>
  <si>
    <t>科学技术支出</t>
  </si>
  <si>
    <t>科学技术管理事务</t>
  </si>
  <si>
    <t>技术研究与开发</t>
  </si>
  <si>
    <t>产业技术研究与开发</t>
  </si>
  <si>
    <t>其他技术研究与开发支出</t>
  </si>
  <si>
    <t>社会科学</t>
  </si>
  <si>
    <t>社会科学研究</t>
  </si>
  <si>
    <t>科学技术普及</t>
  </si>
  <si>
    <t>科普活动</t>
  </si>
  <si>
    <t>其他科学技术普及支出</t>
  </si>
  <si>
    <t>其他科学技术支出</t>
  </si>
  <si>
    <t>科技奖励</t>
  </si>
  <si>
    <t>文化体育与传媒支出</t>
  </si>
  <si>
    <t>文化</t>
  </si>
  <si>
    <t>图书馆</t>
  </si>
  <si>
    <t>群众文化</t>
  </si>
  <si>
    <t>文化市场管理</t>
  </si>
  <si>
    <t>其他文化支出</t>
  </si>
  <si>
    <t>文物</t>
  </si>
  <si>
    <t>文物保护</t>
  </si>
  <si>
    <t>体育</t>
  </si>
  <si>
    <t>群众体育</t>
  </si>
  <si>
    <t>其他文化体育与传媒支出</t>
  </si>
  <si>
    <t>社会保障和就业支出</t>
  </si>
  <si>
    <t>人力资源和社会保障管理事务</t>
  </si>
  <si>
    <t>综合业务管理</t>
  </si>
  <si>
    <t>公共就业服务和职业技能鉴定机构</t>
  </si>
  <si>
    <t>其他人力资源和社会保障管理事务支出</t>
  </si>
  <si>
    <t>民政管理事务</t>
  </si>
  <si>
    <t>拥军优属</t>
  </si>
  <si>
    <t>老龄事务</t>
  </si>
  <si>
    <t>行政区划和地名管理</t>
  </si>
  <si>
    <t>基层政权和社区建设</t>
  </si>
  <si>
    <t>其他民政管理事务支出</t>
  </si>
  <si>
    <t>行政事业单位离退休</t>
  </si>
  <si>
    <t>事业单位离退休</t>
  </si>
  <si>
    <t>离退休人员管理机构</t>
  </si>
  <si>
    <t>未归口管理的行政单位离退休</t>
  </si>
  <si>
    <t>机关事业单位基本养老保险缴费支出</t>
  </si>
  <si>
    <t>对机关事业单位基本养老保险基金的补助</t>
  </si>
  <si>
    <t>其他行政事业单位离退休支出</t>
  </si>
  <si>
    <t>就业补助</t>
  </si>
  <si>
    <t>就业创业服务补贴</t>
  </si>
  <si>
    <t>职业培训补贴</t>
  </si>
  <si>
    <t>社会保险补贴</t>
  </si>
  <si>
    <t>公益性岗位补贴</t>
  </si>
  <si>
    <t>就业见习补贴</t>
  </si>
  <si>
    <t>其他就业补助支出</t>
  </si>
  <si>
    <t>抚恤</t>
  </si>
  <si>
    <t>死亡抚恤</t>
  </si>
  <si>
    <t>在乡复员、退伍军人生活补助</t>
  </si>
  <si>
    <t>义务兵优待</t>
  </si>
  <si>
    <t>农村籍退役士兵老年生活补助</t>
  </si>
  <si>
    <t>退役安置</t>
  </si>
  <si>
    <t>退役士兵安置</t>
  </si>
  <si>
    <t>军队移交政府的离退休人员安置</t>
  </si>
  <si>
    <t>军队移交政府离退休干部管理机构</t>
  </si>
  <si>
    <t>社会福利</t>
  </si>
  <si>
    <t>儿童福利</t>
  </si>
  <si>
    <t>老年福利</t>
  </si>
  <si>
    <t>殡葬</t>
  </si>
  <si>
    <t>社会福利事业单位</t>
  </si>
  <si>
    <t>残疾人事业</t>
  </si>
  <si>
    <t>残疾人康复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</si>
  <si>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</si>
  <si>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</si>
  <si>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</si>
  <si>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</si>
  <si>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</si>
  <si>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</si>
  <si>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</si>
  <si>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</si>
  <si>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</si>
  <si>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</si>
  <si>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</si>
  <si>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</si>
  <si>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</si>
  <si>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</si>
  <si>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</si>
  <si>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</si>
  <si>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财政对城乡居民基本养老保险基金的补助</t>
  </si>
  <si>
    <t>财政对其他基本养老保险基金的补助</t>
  </si>
  <si>
    <t>其他社会保障和就业支出</t>
  </si>
  <si>
    <t>医疗卫生与计划生育支出</t>
  </si>
  <si>
    <t>医疗卫生与计划生育管理事务</t>
  </si>
  <si>
    <t>其他医疗卫生与计划生育管理事务支出</t>
  </si>
  <si>
    <t>公立医院</t>
  </si>
  <si>
    <t>综合医院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</si>
  <si>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</si>
  <si>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</si>
  <si>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</si>
  <si>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</si>
  <si>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</si>
  <si>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</si>
  <si>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</si>
  <si>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</si>
  <si>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</si>
  <si>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重大公共卫生专项</t>
  </si>
  <si>
    <t>突发公共卫生事件应急处理</t>
  </si>
  <si>
    <t>其他公共卫生支出</t>
  </si>
  <si>
    <t>中医药</t>
  </si>
  <si>
    <t>中医（民族医）药专项</t>
  </si>
  <si>
    <t>计划生育事务</t>
  </si>
  <si>
    <t>计划生育机构</t>
  </si>
  <si>
    <t>计划生育服务</t>
  </si>
  <si>
    <t>其他计划生育事务支出</t>
  </si>
  <si>
    <t>食品和药品监督管理事务</t>
  </si>
  <si>
    <t>食品安全事务</t>
  </si>
  <si>
    <t>其他食品和药品监督管理事务支出</t>
  </si>
  <si>
    <t>行政事业单位医疗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</si>
  <si>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</si>
  <si>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</si>
  <si>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</si>
  <si>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</si>
  <si>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</si>
  <si>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其他医疗救助支出</t>
  </si>
  <si>
    <t>优抚对象医疗</t>
  </si>
  <si>
    <t>优抚对象医疗补助</t>
  </si>
  <si>
    <t>其他医疗卫生与计划生育支出</t>
  </si>
  <si>
    <t>节能环保支出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</si>
  <si>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</si>
  <si>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</si>
  <si>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</si>
  <si>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</si>
  <si>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</si>
  <si>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水体</t>
  </si>
  <si>
    <t>其他污染防治支出</t>
  </si>
  <si>
    <t>其他节能环保支出</t>
  </si>
  <si>
    <t>城乡社区支出</t>
  </si>
  <si>
    <t>城乡社区管理事务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</si>
  <si>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</si>
  <si>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</si>
  <si>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</si>
  <si>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</si>
  <si>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</si>
  <si>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</si>
  <si>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</si>
  <si>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其他城乡社区支出</t>
  </si>
  <si>
    <t>农林水支出</t>
  </si>
  <si>
    <t>农业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</si>
  <si>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</si>
  <si>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</si>
  <si>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</si>
  <si>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</si>
  <si>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</si>
  <si>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</si>
  <si>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防灾救灾</t>
  </si>
  <si>
    <t>农业生产支持补贴</t>
  </si>
  <si>
    <t>农业组织化与产业化经营</t>
  </si>
  <si>
    <t>农村公益事业</t>
  </si>
  <si>
    <t>农业资源保护修复与利用</t>
  </si>
  <si>
    <t>成品油价格改革对渔业的补贴</t>
  </si>
  <si>
    <t>对高校毕业生到基层任职补助</t>
  </si>
  <si>
    <t>其他农业支出</t>
  </si>
  <si>
    <t>林业</t>
  </si>
  <si>
    <t>森林培育</t>
  </si>
  <si>
    <t>森林生态效益补偿</t>
  </si>
  <si>
    <t>动植物保护</t>
  </si>
  <si>
    <t>湿地保护</t>
  </si>
  <si>
    <t>林业执法与监督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</si>
  <si>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</si>
  <si>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</si>
  <si>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</si>
  <si>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</si>
  <si>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</si>
  <si>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</si>
  <si>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水利前期工作</t>
  </si>
  <si>
    <t>水土保持</t>
  </si>
  <si>
    <t>水资源节约管理与保护</t>
  </si>
  <si>
    <t>防汛</t>
  </si>
  <si>
    <t>抗旱</t>
  </si>
  <si>
    <t>农田水利</t>
  </si>
  <si>
    <t>水利技术推广</t>
  </si>
  <si>
    <t>水利安全监督</t>
  </si>
  <si>
    <t>其他水利支出</t>
  </si>
  <si>
    <t>扶贫</t>
  </si>
  <si>
    <t>其他扶贫支出</t>
  </si>
  <si>
    <t>农村综合改革</t>
  </si>
  <si>
    <t>对村级一事一议的补助</t>
  </si>
  <si>
    <t>对村集体经济组织的补助</t>
  </si>
  <si>
    <t>其他农村综合改革支出</t>
  </si>
  <si>
    <t>普惠金融发展支出</t>
  </si>
  <si>
    <t>农业保险保费补贴</t>
  </si>
  <si>
    <t>创业担保贷款贴息</t>
  </si>
  <si>
    <t>其他农林水支出</t>
  </si>
  <si>
    <t>交通运输支出</t>
  </si>
  <si>
    <t>公路水路运输</t>
  </si>
  <si>
    <t>公路建设</t>
  </si>
  <si>
    <t>其他公路水路运输支出</t>
  </si>
  <si>
    <t>成品油价格改革对交通运输的补贴]</t>
  </si>
  <si>
    <t>对出租车的补贴</t>
  </si>
  <si>
    <t>其他交通运输支出</t>
  </si>
  <si>
    <t>资源勘探信息等支出</t>
  </si>
  <si>
    <t>制造业</t>
  </si>
  <si>
    <t>其他制造业支出</t>
  </si>
  <si>
    <t>工业和信息产业监管</t>
  </si>
  <si>
    <t>其他工业和信息产业监管支出</t>
  </si>
  <si>
    <t>安全生产监管</t>
  </si>
  <si>
    <t>安全监管监察专项</t>
  </si>
  <si>
    <t>其他安全生产监管支出</t>
  </si>
  <si>
    <t>支持中小企业发展和管理支出</t>
  </si>
  <si>
    <t>中小企业发展专项</t>
  </si>
  <si>
    <t>商业服务业等支出</t>
  </si>
  <si>
    <t>商业流通事务</t>
  </si>
  <si>
    <t>其他商业流通事务支出</t>
  </si>
  <si>
    <t>旅游业管理与服务支出</t>
  </si>
  <si>
    <t>旅游宣传</t>
  </si>
  <si>
    <t>其他旅游业管理与服务支出</t>
  </si>
  <si>
    <t>涉外发展服务支出</t>
  </si>
  <si>
    <t>其他涉外发展服务支出</t>
  </si>
  <si>
    <t>其他商业服务业等支出</t>
  </si>
  <si>
    <t>金融支出</t>
  </si>
  <si>
    <t>其他金融支出</t>
  </si>
  <si>
    <t>国土海洋气象等支出</t>
  </si>
  <si>
    <t>国土资源事务</t>
  </si>
  <si>
    <t>国土整治</t>
  </si>
  <si>
    <t>地质灾害防治</t>
  </si>
  <si>
    <t>地质矿产资源利用与保护</t>
  </si>
  <si>
    <t>其他国土资源事务支出</t>
  </si>
  <si>
    <t>海洋管理事务</t>
  </si>
  <si>
    <t>海域使用管理</t>
  </si>
  <si>
    <t>海洋环境保护与监测</t>
  </si>
  <si>
    <t>其他海洋管理事务支出</t>
  </si>
  <si>
    <t>地震事务</t>
  </si>
  <si>
    <t>其他地震事务支出</t>
  </si>
  <si>
    <t>住房保障支出</t>
  </si>
  <si>
    <t>保障性安居工程支出</t>
  </si>
  <si>
    <t>棚户区改造</t>
  </si>
  <si>
    <t>农村危房改造</t>
  </si>
  <si>
    <t>公共租赁住房</t>
  </si>
  <si>
    <t>保障性住房租金补贴</t>
  </si>
  <si>
    <t>住房改革支出</t>
  </si>
  <si>
    <t>住房公积金</t>
  </si>
  <si>
    <t>粮油物资储备支出</t>
  </si>
  <si>
    <t>粮油事务</t>
  </si>
  <si>
    <t>粮食风险基金</t>
  </si>
  <si>
    <t>其他粮油事务支出</t>
  </si>
  <si>
    <t>粮油储备</t>
  </si>
  <si>
    <t>储备粮（油）库建设</t>
  </si>
  <si>
    <t>预备费</t>
  </si>
  <si>
    <t>其他支出</t>
  </si>
  <si>
    <t>转移性支出</t>
  </si>
  <si>
    <t>上解支出</t>
  </si>
  <si>
    <t>专项上解支出</t>
  </si>
  <si>
    <t>债务还本支出</t>
  </si>
  <si>
    <t>地方政府一般债务还本支出</t>
  </si>
  <si>
    <t>地方政府一般债券还本支出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</si>
  <si>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</si>
  <si>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</si>
  <si>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</si>
  <si>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</si>
  <si>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</si>
  <si>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t>  </t>
  </si>
  <si>
    <t>附表2</t>
  </si>
  <si>
    <t>2018年基金预算收入计划调整表</t>
  </si>
  <si>
    <t>变动</t>
  </si>
  <si>
    <t>比增 %</t>
  </si>
  <si>
    <t>总库</t>
  </si>
  <si>
    <t>本级</t>
  </si>
  <si>
    <t xml:space="preserve">    1、地方森林植被恢复费</t>
  </si>
  <si>
    <t xml:space="preserve">    2、公共租赁住房租金收入</t>
  </si>
  <si>
    <t xml:space="preserve">    3、国有土地收益基金收入</t>
  </si>
  <si>
    <t xml:space="preserve">    4、农业土地开发资金收入</t>
  </si>
  <si>
    <t xml:space="preserve">    5、土地出让价款收入</t>
  </si>
  <si>
    <t xml:space="preserve">    6、其他土地出让收入</t>
  </si>
  <si>
    <t xml:space="preserve">    7、补缴的土地价款</t>
  </si>
  <si>
    <t xml:space="preserve">    8、划拨土地收入</t>
  </si>
  <si>
    <t xml:space="preserve">    9、教育资金收入</t>
  </si>
  <si>
    <t xml:space="preserve">    10、农田水利建设资金收入</t>
  </si>
  <si>
    <t xml:space="preserve">    11、缴纳新增建设用地土地有偿使用费</t>
  </si>
  <si>
    <t xml:space="preserve">    12、福利彩票公益金收入</t>
  </si>
  <si>
    <t xml:space="preserve">    13、城市基础设施配套费收入</t>
  </si>
  <si>
    <t xml:space="preserve">    14、地方教育附加收入</t>
  </si>
  <si>
    <t xml:space="preserve">    15、船舶港务费</t>
  </si>
  <si>
    <t xml:space="preserve">    16、文化事业建设费收入</t>
  </si>
  <si>
    <t xml:space="preserve">    17、残疾人就业保障金收入</t>
  </si>
  <si>
    <t xml:space="preserve">    18、其他基金收入</t>
  </si>
  <si>
    <t>征收收入小计</t>
  </si>
  <si>
    <t>二.转移性收入</t>
  </si>
  <si>
    <t xml:space="preserve">   1.上级专项性补助收入</t>
  </si>
  <si>
    <t xml:space="preserve">   2.上年结余收入</t>
  </si>
  <si>
    <t xml:space="preserve">   3.上级债券收入</t>
  </si>
  <si>
    <t xml:space="preserve">   4.调入资金</t>
  </si>
  <si>
    <t>财力合计</t>
  </si>
  <si>
    <t>附表3</t>
  </si>
  <si>
    <t>2018年本级政府性基金收入项目调整表</t>
  </si>
  <si>
    <t>单位金额：万元</t>
  </si>
  <si>
    <t>序号</t>
  </si>
  <si>
    <t>项目单位</t>
  </si>
  <si>
    <t>用地类别/项目</t>
  </si>
  <si>
    <t>位置</t>
  </si>
  <si>
    <t>面积（亩）</t>
  </si>
  <si>
    <t>年初     预算</t>
  </si>
  <si>
    <t>第二次调整数</t>
  </si>
  <si>
    <t>第三次调整数</t>
  </si>
  <si>
    <t>增减</t>
  </si>
  <si>
    <t>出让方式</t>
  </si>
  <si>
    <t>中信</t>
  </si>
  <si>
    <t>统征地、商业，总部大厦（潮宏基项目）</t>
  </si>
  <si>
    <t>中信滨海南滨片区02-04-10、02-04-12地块</t>
  </si>
  <si>
    <t>2017.12.18成交，1月全缴</t>
  </si>
  <si>
    <t>挂牌</t>
  </si>
  <si>
    <t>统征地、商业，总部大厦（绿地项目）</t>
  </si>
  <si>
    <t>中信滨海南滨片区02-04-02、02-04-05地块</t>
  </si>
  <si>
    <t>2017.12.26成交，2月6日全缴</t>
  </si>
  <si>
    <t>统征地、商业（联泰万悦项目）</t>
  </si>
  <si>
    <t>中信滨海南滨片区02-01-07地块</t>
  </si>
  <si>
    <t>2017.12.21成交，2月5日全缴</t>
  </si>
  <si>
    <t>统征地、商业</t>
  </si>
  <si>
    <t>中信滨海南滨片区02-04-01地块</t>
  </si>
  <si>
    <t>中信预计12月收到投保保证金</t>
  </si>
  <si>
    <t>中信滨海南滨片区02-04-11地块</t>
  </si>
  <si>
    <t>投保保证金</t>
  </si>
  <si>
    <t>中信滨海南滨片区02-04-13地块</t>
  </si>
  <si>
    <t>中信项目小计</t>
  </si>
  <si>
    <t>国土局</t>
  </si>
  <si>
    <t>汕头市海悦度假村有限公司三旧改造项目</t>
  </si>
  <si>
    <t>该项目土地征转国有的手续按程序在报市审批，地价款缴纳时间预计在明年年初</t>
  </si>
  <si>
    <t>协议</t>
  </si>
  <si>
    <t>汕头市伟达房地产有限公司北山湾片区项目用地</t>
  </si>
  <si>
    <t>目前在按程序会同相关部门办理用地手续，地价款缴交时间预计在11月份</t>
  </si>
  <si>
    <t>补缴</t>
  </si>
  <si>
    <t>上海电气风电集团项目</t>
  </si>
  <si>
    <t>广澳物流园区B01地块</t>
  </si>
  <si>
    <t>2017.12.26成交</t>
  </si>
  <si>
    <t>大唐风能项目</t>
  </si>
  <si>
    <t>广澳物流园区</t>
  </si>
  <si>
    <t>经与企投中心对接，该项目拟取消，因此取消该出让用地项目</t>
  </si>
  <si>
    <t>电子电路工业基地（河浦片、台商片）A06-4地块</t>
  </si>
  <si>
    <t>电子电路工业基地</t>
  </si>
  <si>
    <t>目前在按程序办理出让手续，地价款缴交时间预计在9月底</t>
  </si>
  <si>
    <t>宏杰内衣项目</t>
  </si>
  <si>
    <t>河浦中心工业区A01-08地块</t>
  </si>
  <si>
    <t>2017.12.21成交</t>
  </si>
  <si>
    <t>澳头经联社三旧改造项目</t>
  </si>
  <si>
    <t>澳头经联社</t>
  </si>
  <si>
    <t>和记房产公司三旧改造项目</t>
  </si>
  <si>
    <t>广东汕粮实业投资有限公司</t>
  </si>
  <si>
    <t>划拨</t>
  </si>
  <si>
    <t>汕头市三河中学用地确权</t>
  </si>
  <si>
    <t>南山湾办</t>
  </si>
  <si>
    <t>塑化生产项目（锟盛）</t>
  </si>
  <si>
    <t>广澳物流园</t>
  </si>
  <si>
    <t>区政府控制集约节约用地，暂时未安排出让。</t>
  </si>
  <si>
    <t>敬宠实业项目</t>
  </si>
  <si>
    <t>滨海工业区A03-01</t>
  </si>
  <si>
    <t>2017.12.18成交</t>
  </si>
  <si>
    <t>台商投资区B02-4、D01-2地块商业商务用地（景峰投资公司）</t>
  </si>
  <si>
    <t>台商投资区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</si>
  <si>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日征求意见（部分原迪雅达地块）涉及前面两片公共绿地问题，要求协同开发利用，正在研究，预计收入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月份。</t>
    </r>
  </si>
  <si>
    <t>商服用地</t>
  </si>
  <si>
    <t>南山湾C01-01地块内</t>
  </si>
  <si>
    <t>2017年12月11日流拍，调整为商服用地。区政府暂时控制，尚未安排出让计划。</t>
  </si>
  <si>
    <t>广东省轻工机械产业计量         测试中心项目</t>
  </si>
  <si>
    <t>南山湾产业园C01单元南侧地块</t>
  </si>
  <si>
    <t>正在按程序办理供地手续，地价款缴交时间预计9月底</t>
  </si>
  <si>
    <t>工矿仓储用地（昆明创辉）</t>
  </si>
  <si>
    <r>
      <rPr>
        <sz val="10"/>
        <rFont val="宋体"/>
        <charset val="134"/>
      </rPr>
      <t>台商投资区</t>
    </r>
    <r>
      <rPr>
        <sz val="10"/>
        <rFont val="Times New Roman"/>
        <charset val="134"/>
      </rPr>
      <t>A03-1</t>
    </r>
    <r>
      <rPr>
        <sz val="10"/>
        <rFont val="宋体"/>
        <charset val="134"/>
      </rPr>
      <t>西北侧地块</t>
    </r>
  </si>
  <si>
    <t>已组织评估，出让地价款缴交时间预计11月底</t>
  </si>
  <si>
    <t>商服用地（航运中心项目，原李丽娟地块65亩范围）</t>
  </si>
  <si>
    <t>广澳物流园疏港大道南侧，锟盛东侧地块</t>
  </si>
  <si>
    <t>土地平整，10月收入。</t>
  </si>
  <si>
    <t>企投中心</t>
  </si>
  <si>
    <t>工矿仓储用地（鲁邦建材公司）</t>
  </si>
  <si>
    <t>台商投资区A02地块内，台横二西北侧地块（即新华生钢构西侧</t>
  </si>
  <si>
    <t>用地规划调整，12月份预收。</t>
  </si>
  <si>
    <t>工矿仓储用地（天泰机械公司）</t>
  </si>
  <si>
    <t>土储</t>
  </si>
  <si>
    <t>柏亚项目</t>
  </si>
  <si>
    <t>广澳物流园区B02地块一</t>
  </si>
  <si>
    <t>广澳物流园区B02地块二</t>
  </si>
  <si>
    <t>项目尚未启动</t>
  </si>
  <si>
    <t>公共管理与公共服务用地    （下衙养老福利中心）</t>
  </si>
  <si>
    <r>
      <rPr>
        <sz val="10"/>
        <rFont val="宋体"/>
        <charset val="134"/>
      </rPr>
      <t>下衙居委“渡西寺”西南侧</t>
    </r>
    <r>
      <rPr>
        <sz val="10"/>
        <rFont val="Times New Roman"/>
        <charset val="134"/>
      </rPr>
      <t>GP-2018-001</t>
    </r>
    <r>
      <rPr>
        <sz val="10"/>
        <rFont val="宋体"/>
        <charset val="134"/>
      </rPr>
      <t>地块</t>
    </r>
  </si>
  <si>
    <t>3季度</t>
  </si>
  <si>
    <t>潮州市雅华建筑材料有限公司、邱汉义、邱汉周名下三宗工业用地</t>
  </si>
  <si>
    <t>评估价</t>
  </si>
  <si>
    <t>美联项目</t>
  </si>
  <si>
    <t>疏港大道南侧用地（广澳物流园D01-02地块内）</t>
  </si>
  <si>
    <t>5月23日征求意见
评估价</t>
  </si>
  <si>
    <t>雨伞塭二期</t>
  </si>
  <si>
    <r>
      <rPr>
        <sz val="10"/>
        <rFont val="宋体"/>
        <charset val="134"/>
      </rPr>
      <t>马滘雨伞塭</t>
    </r>
    <r>
      <rPr>
        <sz val="10"/>
        <rFont val="Times New Roman"/>
        <charset val="134"/>
      </rPr>
      <t>GP-2018-004</t>
    </r>
    <r>
      <rPr>
        <sz val="10"/>
        <rFont val="宋体"/>
        <charset val="134"/>
      </rPr>
      <t>地块</t>
    </r>
  </si>
  <si>
    <t>评估价750万元/亩</t>
  </si>
  <si>
    <t>雨伞塭片区B-02-03地块西南侧</t>
  </si>
  <si>
    <t>公共管理与公共服务用地        (汕大附属)</t>
  </si>
  <si>
    <t>GP-2018-009地块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</si>
  <si>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季度</t>
    </r>
  </si>
  <si>
    <t>公共管理与公共服务用地         (残疾人康复中心项目）</t>
  </si>
  <si>
    <r>
      <rPr>
        <sz val="10"/>
        <rFont val="宋体"/>
        <charset val="134"/>
      </rPr>
      <t>达濠西田路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</si>
  <si>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季度</t>
    </r>
  </si>
  <si>
    <t>区供销社</t>
  </si>
  <si>
    <t>濠江区肉食品安全生产基地</t>
  </si>
  <si>
    <t>无收益</t>
  </si>
  <si>
    <t>代编</t>
  </si>
  <si>
    <t>其他零星项目</t>
  </si>
  <si>
    <t>上缴新增建设用地有偿使用费及有关资金</t>
  </si>
  <si>
    <t xml:space="preserve">土地基金区内项目小计 </t>
  </si>
  <si>
    <t xml:space="preserve">                  一、土地基金收入合计</t>
  </si>
  <si>
    <t xml:space="preserve">                  二、城市基础设施配套费收入</t>
  </si>
  <si>
    <t xml:space="preserve">                  三、福彩公益金收入</t>
  </si>
  <si>
    <r>
      <rPr>
        <b/>
        <sz val="10.5"/>
        <color indexed="8"/>
        <rFont val="Tahoma"/>
        <charset val="134"/>
      </rPr>
      <t xml:space="preserve">                                        2018</t>
    </r>
    <r>
      <rPr>
        <b/>
        <sz val="10.5"/>
        <color indexed="8"/>
        <rFont val="宋体"/>
        <charset val="134"/>
      </rPr>
      <t>年度政府性基金收入合计</t>
    </r>
  </si>
  <si>
    <t xml:space="preserve">                  四、上 年 结 转</t>
  </si>
  <si>
    <r>
      <rPr>
        <sz val="9"/>
        <color indexed="8"/>
        <rFont val="宋体"/>
        <charset val="134"/>
      </rPr>
      <t>土地基金</t>
    </r>
    <r>
      <rPr>
        <sz val="9"/>
        <color indexed="8"/>
        <rFont val="Tahoma"/>
        <charset val="134"/>
      </rPr>
      <t>10847</t>
    </r>
    <r>
      <rPr>
        <sz val="9"/>
        <color indexed="8"/>
        <rFont val="宋体"/>
        <charset val="134"/>
      </rPr>
      <t>万元；城市基础设施配套费</t>
    </r>
    <r>
      <rPr>
        <sz val="9"/>
        <color indexed="8"/>
        <rFont val="Tahoma"/>
        <charset val="134"/>
      </rPr>
      <t>2189</t>
    </r>
    <r>
      <rPr>
        <sz val="9"/>
        <color indexed="8"/>
        <rFont val="宋体"/>
        <charset val="134"/>
      </rPr>
      <t>万元；福彩公益金</t>
    </r>
    <r>
      <rPr>
        <sz val="9"/>
        <color indexed="8"/>
        <rFont val="Tahoma"/>
        <charset val="134"/>
      </rPr>
      <t>17</t>
    </r>
    <r>
      <rPr>
        <sz val="9"/>
        <color indexed="8"/>
        <rFont val="宋体"/>
        <charset val="134"/>
      </rPr>
      <t>万元。</t>
    </r>
  </si>
  <si>
    <r>
      <rPr>
        <b/>
        <sz val="10.5"/>
        <color indexed="8"/>
        <rFont val="Tahoma"/>
        <charset val="134"/>
      </rPr>
      <t xml:space="preserve">                                        2018</t>
    </r>
    <r>
      <rPr>
        <b/>
        <sz val="10.5"/>
        <color indexed="8"/>
        <rFont val="宋体"/>
        <charset val="134"/>
      </rPr>
      <t>年政府性基金收入总计</t>
    </r>
  </si>
  <si>
    <t>其中：区内项目收入</t>
  </si>
  <si>
    <t>附表四</t>
  </si>
  <si>
    <t>年初预算</t>
  </si>
  <si>
    <t>已完成</t>
  </si>
  <si>
    <t>上报调整</t>
  </si>
  <si>
    <t>预算调整</t>
  </si>
  <si>
    <t>……</t>
  </si>
  <si>
    <t>附表4</t>
  </si>
  <si>
    <t>2018年基金预算支出计划调整表</t>
  </si>
  <si>
    <t>科目编码</t>
  </si>
  <si>
    <t>比增  %</t>
  </si>
  <si>
    <t>政策性 调整</t>
  </si>
  <si>
    <t>批增</t>
  </si>
  <si>
    <t>其他 调整</t>
  </si>
  <si>
    <t>同类 调剂</t>
  </si>
  <si>
    <t>跨类 调剂</t>
  </si>
  <si>
    <t>205</t>
  </si>
  <si>
    <t>教育</t>
  </si>
  <si>
    <t>20510</t>
  </si>
  <si>
    <t xml:space="preserve">  地方教育附加安排的支出</t>
  </si>
  <si>
    <t>2051001</t>
  </si>
  <si>
    <t xml:space="preserve">    农村中小学校舍建设</t>
  </si>
  <si>
    <t>2051099</t>
  </si>
  <si>
    <t xml:space="preserve">    其他地方教育附加安排的支出</t>
  </si>
  <si>
    <t>207</t>
  </si>
  <si>
    <t>文化体育与传媒</t>
  </si>
  <si>
    <t>20707</t>
  </si>
  <si>
    <t xml:space="preserve">  国家电影事业发展专项资金及对应专项债务收入安排的支出</t>
  </si>
  <si>
    <t>2070799</t>
  </si>
  <si>
    <t xml:space="preserve">    其他国家电影事业发展专项资金支出</t>
  </si>
  <si>
    <t>20799</t>
  </si>
  <si>
    <t xml:space="preserve">  其他文化体育与传媒支出</t>
  </si>
  <si>
    <t xml:space="preserve">    文化事业建设费支出</t>
  </si>
  <si>
    <t>208</t>
  </si>
  <si>
    <t>社会保障和就业</t>
  </si>
  <si>
    <t>20811</t>
  </si>
  <si>
    <t xml:space="preserve">  残疾人事业</t>
  </si>
  <si>
    <t xml:space="preserve">    扶持农村残疾人生产</t>
  </si>
  <si>
    <t xml:space="preserve">    其他残疾人就业保障金支出</t>
  </si>
  <si>
    <t>20860</t>
  </si>
  <si>
    <t xml:space="preserve">  残疾人就业保障金支出</t>
  </si>
  <si>
    <t xml:space="preserve">     其他残疾人就业保障金支出</t>
  </si>
  <si>
    <t>212</t>
  </si>
  <si>
    <t>城乡社区事务</t>
  </si>
  <si>
    <t>21207</t>
  </si>
  <si>
    <t xml:space="preserve">  政府住房基金支出</t>
  </si>
  <si>
    <t xml:space="preserve">    公共租赁住房租金支出</t>
  </si>
  <si>
    <t>21208</t>
  </si>
  <si>
    <t xml:space="preserve">  国有土地使用权出让收入安排的支出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</si>
  <si>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征地和拆迁补偿支出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</si>
  <si>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土地开发支出</t>
    </r>
  </si>
  <si>
    <t xml:space="preserve">    城市建设支出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</si>
  <si>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农村基础设施建设支出</t>
    </r>
  </si>
  <si>
    <t xml:space="preserve">    补助被征地农民支出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</si>
  <si>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土地出让业务支出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</si>
  <si>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廉租住房支出</t>
    </r>
  </si>
  <si>
    <t xml:space="preserve">    教育资金安排的支出</t>
  </si>
  <si>
    <t>2120809</t>
  </si>
  <si>
    <t xml:space="preserve">    支付破产或改制企业职工安置费</t>
  </si>
  <si>
    <t xml:space="preserve">    公共租赁住房支出</t>
  </si>
  <si>
    <t xml:space="preserve">    农田水利建设资金安排的支出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</si>
  <si>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其他国有土地使用权出让收入安排的支出</t>
    </r>
  </si>
  <si>
    <t>21209</t>
  </si>
  <si>
    <t xml:space="preserve">  城市公用事业附加安排的支出</t>
  </si>
  <si>
    <t>2120901</t>
  </si>
  <si>
    <t xml:space="preserve">    城市公共设施</t>
  </si>
  <si>
    <t>2120902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</si>
  <si>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城市环境卫生（城市公用事业附加安排的支出）</t>
    </r>
  </si>
  <si>
    <t xml:space="preserve">    其他城市公用事业附加安排的支出</t>
  </si>
  <si>
    <t>21210</t>
  </si>
  <si>
    <t xml:space="preserve">  国有土地收益基金支出</t>
  </si>
  <si>
    <t xml:space="preserve">    征地和拆迁补偿支出</t>
  </si>
  <si>
    <t xml:space="preserve">    土地开发支出</t>
  </si>
  <si>
    <t xml:space="preserve">    其他国有土地收益基金支出</t>
  </si>
  <si>
    <t>21211</t>
  </si>
  <si>
    <t xml:space="preserve">  农业土地开发资金支出</t>
  </si>
  <si>
    <t>21212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</si>
  <si>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新增建设用地土地有偿使用费安排的支出</t>
    </r>
  </si>
  <si>
    <t xml:space="preserve">    基本农田建设和保护支出</t>
  </si>
  <si>
    <t xml:space="preserve">    土地整理支出</t>
  </si>
  <si>
    <t>21213</t>
  </si>
  <si>
    <t xml:space="preserve">  城市基础设施配套费安排的支出</t>
  </si>
  <si>
    <t>2121301</t>
  </si>
  <si>
    <t>2121302</t>
  </si>
  <si>
    <t xml:space="preserve">    城市环境卫生</t>
  </si>
  <si>
    <t xml:space="preserve">    其他城市基础设施配套费安排的支出</t>
  </si>
  <si>
    <t>213</t>
  </si>
  <si>
    <t>农林水事务</t>
  </si>
  <si>
    <t>21362</t>
  </si>
  <si>
    <t xml:space="preserve">  森林植被恢复费安排的支出</t>
  </si>
  <si>
    <t xml:space="preserve">    森林培育</t>
  </si>
  <si>
    <t xml:space="preserve">    其他森林植被恢复费安排的支出</t>
  </si>
  <si>
    <t>21364</t>
  </si>
  <si>
    <t xml:space="preserve">  地方水利建设基金支出</t>
  </si>
  <si>
    <t xml:space="preserve">    其他地方水利建设基金支出</t>
  </si>
  <si>
    <t>21370</t>
  </si>
  <si>
    <t xml:space="preserve">  水土保持补偿费安排的支出</t>
  </si>
  <si>
    <t>2137003</t>
  </si>
  <si>
    <t xml:space="preserve">    其他水土保持补偿费安排的支出</t>
  </si>
  <si>
    <t>214</t>
  </si>
  <si>
    <t>交通运输</t>
  </si>
  <si>
    <t>21401</t>
  </si>
  <si>
    <t xml:space="preserve">  公路水路运输</t>
  </si>
  <si>
    <t xml:space="preserve">    船舶港务费安排的支出</t>
  </si>
  <si>
    <t>215</t>
  </si>
  <si>
    <t>21560</t>
  </si>
  <si>
    <t xml:space="preserve">  散装水泥专项资金及对应专项债务收入安排的支出</t>
  </si>
  <si>
    <t>2156099</t>
  </si>
  <si>
    <t xml:space="preserve">    散装水泥专项资金安排的支出</t>
  </si>
  <si>
    <t>21561</t>
  </si>
  <si>
    <t xml:space="preserve">  新型墙体材料专项基金及对应专项债务收入安排的支出</t>
  </si>
  <si>
    <t>2156199</t>
  </si>
  <si>
    <t xml:space="preserve">    新型墙体材料专项基金安排的支出</t>
  </si>
  <si>
    <t>216</t>
  </si>
  <si>
    <t>21660</t>
  </si>
  <si>
    <t xml:space="preserve">  旅游发展基金支出</t>
  </si>
  <si>
    <t>2166004</t>
  </si>
  <si>
    <t xml:space="preserve">    地方旅游开发项目补助</t>
  </si>
  <si>
    <t>229</t>
  </si>
  <si>
    <t>22960</t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</si>
  <si>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彩票公益金安排的支出</t>
    </r>
  </si>
  <si>
    <t>2296001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</si>
  <si>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用于补充全国社会保障基金的彩票公益金支出</t>
    </r>
  </si>
  <si>
    <t>2296002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</si>
  <si>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用于社会福利的彩票公益金支出</t>
    </r>
  </si>
  <si>
    <t>2296003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</si>
  <si>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用于体育事业的彩票公益金支出</t>
    </r>
  </si>
  <si>
    <t>2296004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</si>
  <si>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用于教育事业的彩票公益金支出</t>
    </r>
  </si>
  <si>
    <t>2296006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</si>
  <si>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用于残疾人事务的彩票公益金支出</t>
    </r>
  </si>
  <si>
    <t>2296007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</si>
  <si>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用于城市医疗救助的彩票公益金支出</t>
    </r>
    <r>
      <rPr>
        <sz val="10"/>
        <rFont val="Times New Roman"/>
        <charset val="134"/>
      </rPr>
      <t xml:space="preserve"> </t>
    </r>
  </si>
  <si>
    <t>2296008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</si>
  <si>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用于农村医疗救助的彩票公益金支出</t>
    </r>
    <r>
      <rPr>
        <sz val="10"/>
        <rFont val="Times New Roman"/>
        <charset val="134"/>
      </rPr>
      <t xml:space="preserve"> </t>
    </r>
  </si>
  <si>
    <t>2296013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</si>
  <si>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用于城乡医疗救助的彩票公益金支出</t>
    </r>
  </si>
  <si>
    <t>2296099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</si>
  <si>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用于其他社会公益事业的彩票公益金支出</t>
    </r>
  </si>
  <si>
    <t>230</t>
  </si>
  <si>
    <t>23004</t>
  </si>
  <si>
    <t xml:space="preserve">  政府性基金转移支付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</si>
  <si>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政府性基金补助支出</t>
    </r>
  </si>
  <si>
    <t>23008</t>
  </si>
  <si>
    <t xml:space="preserve">  调出资金</t>
  </si>
  <si>
    <t>23009</t>
  </si>
  <si>
    <t xml:space="preserve">  年终结余</t>
  </si>
  <si>
    <t>231</t>
  </si>
  <si>
    <t>2310411</t>
  </si>
  <si>
    <t xml:space="preserve">    国有土地使用权出让金债务还本支出</t>
  </si>
  <si>
    <t>232</t>
  </si>
  <si>
    <t>2320411</t>
  </si>
  <si>
    <t xml:space="preserve">    国有土地使用权出让金债务付息支出</t>
  </si>
  <si>
    <t>233</t>
  </si>
  <si>
    <t>2330411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</si>
  <si>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国有土地使用权出让金债务发行费用支出</t>
    </r>
  </si>
  <si>
    <t>基金预算支出合计</t>
  </si>
  <si>
    <t>附表5</t>
  </si>
  <si>
    <t>2018濠江区政府新增专项债券资金安排方案调整表</t>
  </si>
  <si>
    <t>项目名称</t>
  </si>
  <si>
    <t>主要建设内容</t>
  </si>
  <si>
    <t>项目进展情况</t>
  </si>
  <si>
    <t>项目类型</t>
  </si>
  <si>
    <t>总投</t>
  </si>
  <si>
    <t>已投</t>
  </si>
  <si>
    <t>2018年预计投资</t>
  </si>
  <si>
    <t>原安排方案</t>
  </si>
  <si>
    <t>所属单位</t>
  </si>
  <si>
    <t>本次调整安排方案</t>
  </si>
  <si>
    <t>教育局</t>
  </si>
  <si>
    <t>广澳中学综合实训楼和学生宿舍楼建设项目</t>
  </si>
  <si>
    <t>广澳中学综合实训楼和学生宿舍楼建设</t>
  </si>
  <si>
    <t>已完成招标，即将开工</t>
  </si>
  <si>
    <t>河北小学教学用房及配套设施综合改建项目</t>
  </si>
  <si>
    <t>河北小学教学用房及配套设施综合改建设</t>
  </si>
  <si>
    <t>招标阶段</t>
  </si>
  <si>
    <t>河浦中学学生宿舍楼及配套设施</t>
  </si>
  <si>
    <t>城建环保局</t>
  </si>
  <si>
    <t>磊广路和达南路升级改造</t>
  </si>
  <si>
    <t>已完工</t>
  </si>
  <si>
    <t>市政建设</t>
  </si>
  <si>
    <t>城建局</t>
  </si>
  <si>
    <t>达濠街道</t>
  </si>
  <si>
    <t>达濠古城墙修缮</t>
  </si>
  <si>
    <t>达办</t>
  </si>
  <si>
    <t>该项目有其他资金来源</t>
  </si>
  <si>
    <t>市公路局</t>
  </si>
  <si>
    <t>324国道红旗岭宕石大桥市政配套建设</t>
  </si>
  <si>
    <t>道路建设、绿化等</t>
  </si>
  <si>
    <t>在建项目</t>
  </si>
  <si>
    <t>城建投集团</t>
  </si>
  <si>
    <t>澳旺路、同盛路、三寮路建设</t>
  </si>
  <si>
    <t>道路、给水、排水、电力、照明、绿化（不含通信及燃气工程）等工程。</t>
  </si>
  <si>
    <t>粤鑫</t>
  </si>
  <si>
    <t>石林桥危桥改造</t>
  </si>
  <si>
    <t>改造建设</t>
  </si>
  <si>
    <t>该项目尚未启动建设，且暂由2017年新增债券安排的资金可用</t>
  </si>
  <si>
    <t>汕头市濠江区玉岗路建设工程</t>
  </si>
  <si>
    <t>项目为城市次干路，改造延伸原玉岗路。总长约1089米，规划宽度为60米。</t>
  </si>
  <si>
    <t xml:space="preserve">四个项目打包命名为“三路一桥”，暂有其他资金来源可用
</t>
  </si>
  <si>
    <t>汕头市濠江区河浦府前路改造工程</t>
  </si>
  <si>
    <t>项目为城市次干路，改造原河浦府前路。总长约1352米，规划宽度为40米。</t>
  </si>
  <si>
    <t>汕头市濠江区河中路中段改造工程</t>
  </si>
  <si>
    <t>项目为城市主干道，改造延伸河中路中段。总长约1300米，规划宽度为80米。</t>
  </si>
  <si>
    <t>汕头市濠江区濠江大桥二桥建设工程项目</t>
  </si>
  <si>
    <t>项目新建濠江大桥二桥全长900米，桥梁宽度16.5米，桥梁道路等级为城市主干道，桥北西侧新建辅道接通沿江北路；桥南扩建达南路，与濠江大桥二桥接顺，全长430米，路宽43米；新建大众路位于现在大众路南侧，长约200 米，规划红线宽25米，道路等级为城市支路。</t>
  </si>
  <si>
    <t>汕头市濠江区东湖路（X053河埭线东湖至澳头段）及延长线改造工程</t>
  </si>
  <si>
    <t>项目包括县道X053河埭线东湖至澳头路段及相交路口改造和新建延长线（东湖中心路），项目全长9.538km，其中一级公路长6.659km，二级公路长2.529km，三级公路长0.35km。</t>
  </si>
  <si>
    <t>两个项目打包命名为“一路一桥”，按工程进度亟需资金支出</t>
  </si>
  <si>
    <t>汕头市濠江区濠江一桥建设工程</t>
  </si>
  <si>
    <t>项目主线全长1407.135m，其中新建濠江一桥主线：全长750m，桥梁道路等级为一级公路兼城市主干道，双向六车道桥面全宽34.5m，引桥全宽25.0m。新建左侧辅道579.750m、右侧辅道588.247m，宽8.0m。现状河浦大道其中左幅改线总长约998m、右幅加宽，道路总长约411m，改、扩建后河浦大道等级维持为城市主干道，路宽23 m，双向四车道（左幅+右幅）</t>
  </si>
  <si>
    <t>汕头市南山湾产业园基础设施及连接主干道（一期）工程</t>
  </si>
  <si>
    <t>南山湾产业园区土地平整和一个园区和四条主干道路及配套,总用地面积297公顷。疏港大道长9240米,宽60米及桥梁、排水、绿化、路灯等，含濠江大桥；河浦大道、河中路、安海路等道路建设。</t>
  </si>
  <si>
    <t>部分工程款无法融资，当前工程款已出现缺口，申请债券补充</t>
  </si>
  <si>
    <t>宕石街道</t>
  </si>
  <si>
    <t>马拉松公园</t>
  </si>
  <si>
    <t>广澳街道</t>
  </si>
  <si>
    <t>汕头南教育公园</t>
  </si>
  <si>
    <t>土储中心</t>
  </si>
  <si>
    <t>东湖教育园区用地项目（征收）</t>
  </si>
  <si>
    <t>征地所涉及的费用</t>
  </si>
  <si>
    <t>土地储备</t>
  </si>
  <si>
    <t>已在预留资金安排</t>
  </si>
  <si>
    <t>河浦高级中学（征收）</t>
  </si>
  <si>
    <t>疏港大道南侧用地项目（平整）</t>
  </si>
  <si>
    <t>平整所涉及的费用</t>
  </si>
  <si>
    <t>粤鑫平整美联项目</t>
  </si>
  <si>
    <t>河浦工业片区收购项目（联兴公司）</t>
  </si>
  <si>
    <t>收购所涉及的费用</t>
  </si>
  <si>
    <t>青州盐场收储用地项目（收购）</t>
  </si>
  <si>
    <t>北山湾旅游渡假区一期征地项目（教育园区预留用地）</t>
  </si>
  <si>
    <t>商住用地200亩</t>
  </si>
  <si>
    <t>巨峰寺（A07-A08、A15-A16地块）征地项目</t>
  </si>
  <si>
    <t>其中：征地136亩3500万元；收购43亩5000万元</t>
  </si>
  <si>
    <t>中医院用地项目</t>
  </si>
  <si>
    <t>河浦粮库用地收储项目</t>
  </si>
  <si>
    <t>广澳物流园（李丽娟）平整项目</t>
  </si>
  <si>
    <t>航运中心项目</t>
  </si>
  <si>
    <t>马滘工业园区生活配套区基础设施工程项目（二期平整）</t>
  </si>
  <si>
    <t>恒大雨伞塭二期34亩</t>
  </si>
  <si>
    <t>滨海工业区医药用地项目</t>
  </si>
  <si>
    <t>广澳物流园B02     地块二平整项目</t>
  </si>
  <si>
    <t>柏亚、上海电气交界</t>
  </si>
  <si>
    <t>得乐公司用地项目（平整）</t>
  </si>
  <si>
    <t>19亩</t>
  </si>
  <si>
    <t>下衙养老福利中心项目</t>
  </si>
  <si>
    <t>河浦爆破仓库用地项目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</si>
</sst>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m/dd"/>
    <numFmt numFmtId="179" formatCode="#,##0_ "/>
    <numFmt numFmtId="180" formatCode="00000"/>
    <numFmt numFmtId="181" formatCode="0_);[Red]\(0\)"/>
    <numFmt numFmtId="182" formatCode="_ * #,##0_ ;_ * \-#,##0_ ;_ * &quot;-&quot;??_ ;_ @_ "/>
    <numFmt numFmtId="183" formatCode="0_ ;[Red]\-0\ "/>
    <numFmt numFmtId="184" formatCode="yyyy&quot;年&quot;m&quot;月&quot;;@"/>
  </numFmts>
  <fonts count="5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color indexed="8"/>
      <name val="Tahoma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name val="宋体"/>
      <charset val="134"/>
    </font>
    <font>
      <b/>
      <sz val="10.5"/>
      <color indexed="8"/>
      <name val="宋体"/>
      <charset val="134"/>
    </font>
    <font>
      <b/>
      <sz val="10"/>
      <color indexed="8"/>
      <name val="宋体"/>
      <charset val="134"/>
    </font>
    <font>
      <b/>
      <sz val="10.5"/>
      <color indexed="8"/>
      <name val="Tahoma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Tahoma"/>
      <charset val="134"/>
    </font>
    <font>
      <sz val="10"/>
      <name val="Tahoma"/>
      <charset val="134"/>
    </font>
    <font>
      <sz val="9"/>
      <name val="Times New Roman"/>
      <charset val="134"/>
    </font>
    <font>
      <sz val="14"/>
      <name val="宋体"/>
      <charset val="134"/>
    </font>
    <font>
      <b/>
      <sz val="24"/>
      <name val="宋体"/>
      <charset val="134"/>
    </font>
    <font>
      <sz val="16"/>
      <name val="宋体"/>
      <charset val="134"/>
    </font>
    <font>
      <b/>
      <sz val="28"/>
      <name val="宋体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3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40" applyNumberFormat="0" applyAlignment="0" applyProtection="0">
      <alignment vertical="center"/>
    </xf>
    <xf numFmtId="0" fontId="39" fillId="5" borderId="41" applyNumberFormat="0" applyAlignment="0" applyProtection="0">
      <alignment vertical="center"/>
    </xf>
    <xf numFmtId="0" fontId="40" fillId="5" borderId="40" applyNumberFormat="0" applyAlignment="0" applyProtection="0">
      <alignment vertical="center"/>
    </xf>
    <xf numFmtId="0" fontId="41" fillId="6" borderId="42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5" fillId="0" borderId="0"/>
    <xf numFmtId="0" fontId="0" fillId="0" borderId="0">
      <alignment vertical="center"/>
    </xf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38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49" fontId="5" fillId="0" borderId="0" xfId="64" applyNumberFormat="1" applyFill="1" applyAlignment="1">
      <alignment horizontal="center" vertical="center"/>
    </xf>
    <xf numFmtId="0" fontId="5" fillId="0" borderId="0" xfId="64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5" fillId="0" borderId="0" xfId="64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179" fontId="7" fillId="0" borderId="1" xfId="1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179" fontId="7" fillId="0" borderId="1" xfId="66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2" borderId="12" xfId="56" applyFont="1" applyFill="1" applyBorder="1" applyAlignment="1">
      <alignment horizontal="center" vertical="center" wrapText="1"/>
    </xf>
    <xf numFmtId="0" fontId="6" fillId="2" borderId="13" xfId="56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52" applyFont="1" applyFill="1" applyBorder="1" applyAlignment="1">
      <alignment horizontal="center" vertical="center" wrapText="1"/>
    </xf>
    <xf numFmtId="0" fontId="11" fillId="2" borderId="1" xfId="54" applyFont="1" applyFill="1" applyBorder="1" applyAlignment="1">
      <alignment horizontal="center" vertical="center" wrapText="1"/>
    </xf>
    <xf numFmtId="176" fontId="11" fillId="2" borderId="1" xfId="58" applyNumberFormat="1" applyFont="1" applyFill="1" applyBorder="1" applyAlignment="1">
      <alignment horizontal="center" vertical="center" wrapText="1"/>
    </xf>
    <xf numFmtId="176" fontId="16" fillId="2" borderId="1" xfId="58" applyNumberFormat="1" applyFont="1" applyFill="1" applyBorder="1" applyAlignment="1">
      <alignment horizontal="center" vertical="center" wrapText="1"/>
    </xf>
    <xf numFmtId="0" fontId="11" fillId="2" borderId="1" xfId="6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176" fontId="16" fillId="2" borderId="16" xfId="6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0" xfId="52" applyFont="1" applyFill="1" applyBorder="1" applyAlignment="1">
      <alignment horizontal="center" vertical="center" wrapText="1"/>
    </xf>
    <xf numFmtId="0" fontId="11" fillId="2" borderId="10" xfId="60" applyFont="1" applyFill="1" applyBorder="1" applyAlignment="1">
      <alignment horizontal="center" vertical="center"/>
    </xf>
    <xf numFmtId="176" fontId="11" fillId="2" borderId="10" xfId="58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81" fontId="11" fillId="2" borderId="1" xfId="58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9" xfId="49" applyFont="1" applyFill="1" applyBorder="1" applyAlignment="1">
      <alignment horizontal="center" vertical="center" wrapText="1"/>
    </xf>
    <xf numFmtId="176" fontId="11" fillId="2" borderId="19" xfId="58" applyNumberFormat="1" applyFont="1" applyFill="1" applyBorder="1" applyAlignment="1">
      <alignment horizontal="center" vertical="center" wrapText="1"/>
    </xf>
    <xf numFmtId="176" fontId="16" fillId="2" borderId="19" xfId="58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176" fontId="11" fillId="0" borderId="21" xfId="49" applyNumberFormat="1" applyFont="1" applyFill="1" applyBorder="1" applyAlignment="1">
      <alignment horizontal="center" vertical="center" wrapText="1"/>
    </xf>
    <xf numFmtId="176" fontId="16" fillId="0" borderId="21" xfId="4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176" fontId="18" fillId="0" borderId="13" xfId="60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16" fillId="0" borderId="1" xfId="58" applyNumberFormat="1" applyFont="1" applyFill="1" applyBorder="1" applyAlignment="1">
      <alignment horizontal="center" vertical="center" wrapText="1"/>
    </xf>
    <xf numFmtId="176" fontId="16" fillId="0" borderId="1" xfId="58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176" fontId="16" fillId="0" borderId="19" xfId="58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176" fontId="16" fillId="0" borderId="13" xfId="58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7" fillId="2" borderId="16" xfId="52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7" fillId="2" borderId="10" xfId="60" applyFont="1" applyFill="1" applyBorder="1" applyAlignment="1">
      <alignment horizontal="center" vertical="center" wrapText="1"/>
    </xf>
    <xf numFmtId="0" fontId="11" fillId="2" borderId="26" xfId="60" applyFont="1" applyFill="1" applyBorder="1" applyAlignment="1">
      <alignment horizontal="center" vertical="center" wrapText="1"/>
    </xf>
    <xf numFmtId="0" fontId="7" fillId="2" borderId="1" xfId="60" applyFont="1" applyFill="1" applyBorder="1" applyAlignment="1">
      <alignment horizontal="center" vertical="center" wrapText="1"/>
    </xf>
    <xf numFmtId="0" fontId="11" fillId="2" borderId="24" xfId="60" applyFont="1" applyFill="1" applyBorder="1" applyAlignment="1">
      <alignment horizontal="center" vertical="center" wrapText="1"/>
    </xf>
    <xf numFmtId="0" fontId="7" fillId="2" borderId="19" xfId="60" applyFont="1" applyFill="1" applyBorder="1" applyAlignment="1">
      <alignment horizontal="center" vertical="center" wrapText="1"/>
    </xf>
    <xf numFmtId="0" fontId="11" fillId="2" borderId="27" xfId="0" applyFont="1" applyFill="1" applyBorder="1" applyAlignment="1"/>
    <xf numFmtId="0" fontId="20" fillId="0" borderId="28" xfId="60" applyFont="1" applyBorder="1" applyAlignment="1">
      <alignment horizontal="center" vertical="center" wrapText="1"/>
    </xf>
    <xf numFmtId="0" fontId="21" fillId="0" borderId="29" xfId="0" applyFont="1" applyFill="1" applyBorder="1" applyAlignment="1"/>
    <xf numFmtId="0" fontId="20" fillId="0" borderId="23" xfId="60" applyFont="1" applyBorder="1" applyAlignment="1">
      <alignment horizontal="center" vertical="center" wrapText="1"/>
    </xf>
    <xf numFmtId="0" fontId="21" fillId="0" borderId="30" xfId="0" applyFont="1" applyFill="1" applyBorder="1" applyAlignment="1"/>
    <xf numFmtId="0" fontId="20" fillId="0" borderId="24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wrapText="1"/>
    </xf>
    <xf numFmtId="0" fontId="21" fillId="0" borderId="31" xfId="0" applyFont="1" applyFill="1" applyBorder="1" applyAlignment="1"/>
    <xf numFmtId="0" fontId="20" fillId="0" borderId="27" xfId="0" applyFont="1" applyFill="1" applyBorder="1" applyAlignment="1">
      <alignment horizontal="center" wrapText="1"/>
    </xf>
    <xf numFmtId="0" fontId="21" fillId="0" borderId="32" xfId="0" applyFont="1" applyFill="1" applyBorder="1" applyAlignment="1"/>
    <xf numFmtId="0" fontId="22" fillId="0" borderId="26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wrapText="1"/>
    </xf>
    <xf numFmtId="0" fontId="21" fillId="0" borderId="34" xfId="0" applyFont="1" applyFill="1" applyBorder="1" applyAlignment="1"/>
    <xf numFmtId="0" fontId="18" fillId="0" borderId="25" xfId="0" applyFont="1" applyFill="1" applyBorder="1" applyAlignment="1">
      <alignment vertical="center"/>
    </xf>
    <xf numFmtId="176" fontId="16" fillId="0" borderId="0" xfId="58" applyNumberFormat="1" applyFont="1" applyFill="1" applyBorder="1" applyAlignment="1">
      <alignment horizontal="center" vertical="center" wrapText="1"/>
    </xf>
    <xf numFmtId="0" fontId="13" fillId="0" borderId="0" xfId="51" applyFont="1" applyAlignment="1">
      <alignment vertical="center"/>
    </xf>
    <xf numFmtId="0" fontId="0" fillId="0" borderId="0" xfId="51" applyAlignment="1">
      <alignment vertical="center"/>
    </xf>
    <xf numFmtId="0" fontId="0" fillId="0" borderId="0" xfId="51" applyAlignment="1">
      <alignment wrapText="1"/>
    </xf>
    <xf numFmtId="0" fontId="0" fillId="0" borderId="0" xfId="51" applyAlignment="1"/>
    <xf numFmtId="49" fontId="5" fillId="0" borderId="0" xfId="64" applyNumberFormat="1" applyFont="1" applyFill="1" applyAlignment="1">
      <alignment horizontal="left" vertical="center"/>
    </xf>
    <xf numFmtId="0" fontId="6" fillId="2" borderId="12" xfId="57" applyFont="1" applyFill="1" applyBorder="1" applyAlignment="1">
      <alignment horizontal="center" vertical="center" wrapText="1"/>
    </xf>
    <xf numFmtId="0" fontId="6" fillId="2" borderId="13" xfId="57" applyFont="1" applyFill="1" applyBorder="1" applyAlignment="1">
      <alignment horizontal="center" vertical="center" wrapText="1"/>
    </xf>
    <xf numFmtId="0" fontId="6" fillId="2" borderId="13" xfId="51" applyFont="1" applyFill="1" applyBorder="1" applyAlignment="1">
      <alignment horizontal="center" vertical="center" wrapText="1"/>
    </xf>
    <xf numFmtId="0" fontId="11" fillId="2" borderId="14" xfId="51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 wrapText="1"/>
    </xf>
    <xf numFmtId="0" fontId="11" fillId="2" borderId="1" xfId="55" applyFont="1" applyFill="1" applyBorder="1" applyAlignment="1">
      <alignment horizontal="center" vertical="center" wrapText="1"/>
    </xf>
    <xf numFmtId="176" fontId="11" fillId="2" borderId="1" xfId="59" applyNumberFormat="1" applyFont="1" applyFill="1" applyBorder="1" applyAlignment="1">
      <alignment horizontal="center" vertical="center" wrapText="1"/>
    </xf>
    <xf numFmtId="0" fontId="11" fillId="2" borderId="1" xfId="61" applyFont="1" applyFill="1" applyBorder="1" applyAlignment="1">
      <alignment horizontal="center" vertical="center"/>
    </xf>
    <xf numFmtId="176" fontId="11" fillId="2" borderId="4" xfId="59" applyNumberFormat="1" applyFont="1" applyFill="1" applyBorder="1" applyAlignment="1">
      <alignment horizontal="center" vertical="center" wrapText="1"/>
    </xf>
    <xf numFmtId="0" fontId="16" fillId="2" borderId="15" xfId="51" applyFont="1" applyFill="1" applyBorder="1" applyAlignment="1">
      <alignment horizontal="center" vertical="center" wrapText="1"/>
    </xf>
    <xf numFmtId="0" fontId="16" fillId="2" borderId="16" xfId="51" applyFont="1" applyFill="1" applyBorder="1" applyAlignment="1">
      <alignment horizontal="center" vertical="center" wrapText="1"/>
    </xf>
    <xf numFmtId="0" fontId="16" fillId="2" borderId="16" xfId="51" applyFont="1" applyFill="1" applyBorder="1" applyAlignment="1">
      <alignment horizontal="center" vertical="center"/>
    </xf>
    <xf numFmtId="176" fontId="16" fillId="2" borderId="16" xfId="61" applyNumberFormat="1" applyFont="1" applyFill="1" applyBorder="1" applyAlignment="1">
      <alignment horizontal="center" vertical="center"/>
    </xf>
    <xf numFmtId="0" fontId="11" fillId="2" borderId="17" xfId="51" applyFont="1" applyFill="1" applyBorder="1" applyAlignment="1">
      <alignment horizontal="center" vertical="center" wrapText="1"/>
    </xf>
    <xf numFmtId="0" fontId="11" fillId="2" borderId="10" xfId="51" applyFont="1" applyFill="1" applyBorder="1" applyAlignment="1">
      <alignment horizontal="center" vertical="center" wrapText="1"/>
    </xf>
    <xf numFmtId="0" fontId="11" fillId="2" borderId="10" xfId="53" applyFont="1" applyFill="1" applyBorder="1" applyAlignment="1">
      <alignment horizontal="center" vertical="center" wrapText="1"/>
    </xf>
    <xf numFmtId="0" fontId="11" fillId="2" borderId="10" xfId="61" applyFont="1" applyFill="1" applyBorder="1" applyAlignment="1">
      <alignment horizontal="center" vertical="center"/>
    </xf>
    <xf numFmtId="176" fontId="11" fillId="2" borderId="10" xfId="59" applyNumberFormat="1" applyFont="1" applyFill="1" applyBorder="1" applyAlignment="1">
      <alignment horizontal="center" vertical="center" wrapText="1"/>
    </xf>
    <xf numFmtId="176" fontId="16" fillId="2" borderId="1" xfId="59" applyNumberFormat="1" applyFont="1" applyFill="1" applyBorder="1" applyAlignment="1">
      <alignment horizontal="center" vertical="center" wrapText="1"/>
    </xf>
    <xf numFmtId="181" fontId="11" fillId="2" borderId="1" xfId="59" applyNumberFormat="1" applyFont="1" applyFill="1" applyBorder="1" applyAlignment="1">
      <alignment horizontal="center" vertical="center" wrapText="1"/>
    </xf>
    <xf numFmtId="0" fontId="11" fillId="2" borderId="1" xfId="51" applyNumberFormat="1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181" fontId="11" fillId="2" borderId="1" xfId="61" applyNumberFormat="1" applyFont="1" applyFill="1" applyBorder="1" applyAlignment="1">
      <alignment horizontal="center" vertical="center"/>
    </xf>
    <xf numFmtId="0" fontId="12" fillId="2" borderId="1" xfId="51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 wrapText="1"/>
    </xf>
    <xf numFmtId="0" fontId="23" fillId="2" borderId="1" xfId="51" applyFont="1" applyFill="1" applyBorder="1" applyAlignment="1">
      <alignment horizontal="center" vertical="center" wrapText="1"/>
    </xf>
    <xf numFmtId="0" fontId="11" fillId="2" borderId="1" xfId="65" applyFont="1" applyFill="1" applyBorder="1" applyAlignment="1">
      <alignment horizontal="center" vertical="center" wrapText="1"/>
    </xf>
    <xf numFmtId="181" fontId="16" fillId="2" borderId="1" xfId="61" applyNumberFormat="1" applyFont="1" applyFill="1" applyBorder="1" applyAlignment="1">
      <alignment horizontal="center" vertical="center"/>
    </xf>
    <xf numFmtId="181" fontId="11" fillId="2" borderId="1" xfId="62" applyNumberFormat="1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/>
    </xf>
    <xf numFmtId="0" fontId="11" fillId="2" borderId="1" xfId="51" applyNumberFormat="1" applyFont="1" applyFill="1" applyBorder="1" applyAlignment="1">
      <alignment horizontal="center" vertical="center" wrapText="1"/>
    </xf>
    <xf numFmtId="0" fontId="11" fillId="2" borderId="18" xfId="51" applyFont="1" applyFill="1" applyBorder="1" applyAlignment="1">
      <alignment horizontal="center" vertical="center" wrapText="1"/>
    </xf>
    <xf numFmtId="0" fontId="11" fillId="2" borderId="19" xfId="50" applyFont="1" applyFill="1" applyBorder="1" applyAlignment="1">
      <alignment horizontal="center" vertical="center" wrapText="1"/>
    </xf>
    <xf numFmtId="176" fontId="11" fillId="2" borderId="19" xfId="59" applyNumberFormat="1" applyFont="1" applyFill="1" applyBorder="1" applyAlignment="1">
      <alignment horizontal="center" vertical="center" wrapText="1"/>
    </xf>
    <xf numFmtId="0" fontId="17" fillId="0" borderId="20" xfId="51" applyFont="1" applyBorder="1" applyAlignment="1">
      <alignment horizontal="center" vertical="center" wrapText="1"/>
    </xf>
    <xf numFmtId="0" fontId="17" fillId="0" borderId="21" xfId="51" applyFont="1" applyBorder="1" applyAlignment="1">
      <alignment horizontal="center" vertical="center" wrapText="1"/>
    </xf>
    <xf numFmtId="0" fontId="17" fillId="0" borderId="21" xfId="51" applyFont="1" applyBorder="1" applyAlignment="1">
      <alignment horizontal="center" vertical="center"/>
    </xf>
    <xf numFmtId="176" fontId="11" fillId="0" borderId="21" xfId="50" applyNumberFormat="1" applyFont="1" applyBorder="1" applyAlignment="1">
      <alignment horizontal="center" vertical="center" wrapText="1"/>
    </xf>
    <xf numFmtId="0" fontId="17" fillId="0" borderId="12" xfId="51" applyFont="1" applyBorder="1" applyAlignment="1">
      <alignment horizontal="left" vertical="center" wrapText="1"/>
    </xf>
    <xf numFmtId="0" fontId="17" fillId="0" borderId="13" xfId="51" applyFont="1" applyBorder="1" applyAlignment="1">
      <alignment horizontal="left" vertical="center" wrapText="1"/>
    </xf>
    <xf numFmtId="0" fontId="17" fillId="0" borderId="13" xfId="51" applyFont="1" applyBorder="1" applyAlignment="1">
      <alignment horizontal="left" vertical="center"/>
    </xf>
    <xf numFmtId="176" fontId="18" fillId="0" borderId="13" xfId="61" applyNumberFormat="1" applyFont="1" applyBorder="1" applyAlignment="1">
      <alignment horizontal="center" vertical="center"/>
    </xf>
    <xf numFmtId="0" fontId="17" fillId="0" borderId="14" xfId="51" applyFont="1" applyBorder="1" applyAlignment="1">
      <alignment horizontal="left" vertical="center" wrapText="1"/>
    </xf>
    <xf numFmtId="0" fontId="19" fillId="0" borderId="1" xfId="51" applyFont="1" applyBorder="1" applyAlignment="1">
      <alignment horizontal="left" vertical="center" wrapText="1"/>
    </xf>
    <xf numFmtId="0" fontId="19" fillId="0" borderId="1" xfId="51" applyFont="1" applyBorder="1" applyAlignment="1">
      <alignment horizontal="left" vertical="center"/>
    </xf>
    <xf numFmtId="0" fontId="0" fillId="0" borderId="1" xfId="51" applyBorder="1" applyAlignment="1">
      <alignment vertical="center"/>
    </xf>
    <xf numFmtId="176" fontId="16" fillId="0" borderId="1" xfId="59" applyNumberFormat="1" applyFont="1" applyFill="1" applyBorder="1" applyAlignment="1">
      <alignment horizontal="center" vertical="center" wrapText="1"/>
    </xf>
    <xf numFmtId="0" fontId="17" fillId="0" borderId="1" xfId="51" applyFont="1" applyBorder="1" applyAlignment="1">
      <alignment horizontal="left" vertical="center" wrapText="1"/>
    </xf>
    <xf numFmtId="0" fontId="17" fillId="0" borderId="1" xfId="51" applyFont="1" applyBorder="1" applyAlignment="1">
      <alignment horizontal="left" vertical="center"/>
    </xf>
    <xf numFmtId="0" fontId="0" fillId="0" borderId="1" xfId="51" applyBorder="1" applyAlignment="1"/>
    <xf numFmtId="0" fontId="19" fillId="0" borderId="18" xfId="51" applyFont="1" applyBorder="1" applyAlignment="1">
      <alignment horizontal="left" vertical="center" wrapText="1"/>
    </xf>
    <xf numFmtId="0" fontId="19" fillId="0" borderId="19" xfId="51" applyFont="1" applyBorder="1" applyAlignment="1">
      <alignment horizontal="left" vertical="center" wrapText="1"/>
    </xf>
    <xf numFmtId="0" fontId="19" fillId="0" borderId="19" xfId="51" applyFont="1" applyBorder="1" applyAlignment="1">
      <alignment horizontal="left" vertical="center"/>
    </xf>
    <xf numFmtId="176" fontId="16" fillId="0" borderId="19" xfId="59" applyNumberFormat="1" applyFont="1" applyFill="1" applyBorder="1" applyAlignment="1">
      <alignment horizontal="center" vertical="center" wrapText="1"/>
    </xf>
    <xf numFmtId="0" fontId="0" fillId="0" borderId="13" xfId="51" applyBorder="1" applyAlignment="1"/>
    <xf numFmtId="176" fontId="16" fillId="0" borderId="13" xfId="59" applyNumberFormat="1" applyFont="1" applyFill="1" applyBorder="1" applyAlignment="1">
      <alignment horizontal="center" vertical="center" wrapText="1"/>
    </xf>
    <xf numFmtId="0" fontId="19" fillId="0" borderId="22" xfId="51" applyFont="1" applyBorder="1" applyAlignment="1">
      <alignment horizontal="left" vertical="center" wrapText="1"/>
    </xf>
    <xf numFmtId="0" fontId="19" fillId="0" borderId="4" xfId="51" applyFont="1" applyBorder="1" applyAlignment="1">
      <alignment horizontal="left" vertical="center" wrapText="1"/>
    </xf>
    <xf numFmtId="0" fontId="19" fillId="0" borderId="4" xfId="51" applyFont="1" applyBorder="1" applyAlignment="1">
      <alignment horizontal="left" vertical="center"/>
    </xf>
    <xf numFmtId="176" fontId="1" fillId="0" borderId="4" xfId="51" applyNumberFormat="1" applyFont="1" applyBorder="1" applyAlignment="1">
      <alignment vertical="center"/>
    </xf>
    <xf numFmtId="0" fontId="1" fillId="0" borderId="15" xfId="51" applyFont="1" applyBorder="1" applyAlignment="1">
      <alignment horizontal="center" vertical="center" wrapText="1"/>
    </xf>
    <xf numFmtId="0" fontId="1" fillId="0" borderId="16" xfId="51" applyFont="1" applyBorder="1" applyAlignment="1">
      <alignment horizontal="center" vertical="center" wrapText="1"/>
    </xf>
    <xf numFmtId="176" fontId="1" fillId="0" borderId="16" xfId="51" applyNumberFormat="1" applyFont="1" applyBorder="1" applyAlignment="1">
      <alignment vertical="center"/>
    </xf>
    <xf numFmtId="0" fontId="4" fillId="0" borderId="0" xfId="51" applyFont="1" applyBorder="1" applyAlignment="1">
      <alignment horizontal="center"/>
    </xf>
    <xf numFmtId="176" fontId="16" fillId="0" borderId="0" xfId="59" applyNumberFormat="1" applyFont="1" applyFill="1" applyBorder="1" applyAlignment="1">
      <alignment horizontal="center" vertical="center" wrapText="1"/>
    </xf>
    <xf numFmtId="0" fontId="0" fillId="0" borderId="0" xfId="51" applyBorder="1" applyAlignment="1"/>
    <xf numFmtId="0" fontId="4" fillId="0" borderId="0" xfId="51" applyFont="1" applyBorder="1" applyAlignment="1">
      <alignment horizontal="right" vertical="center"/>
    </xf>
    <xf numFmtId="0" fontId="6" fillId="2" borderId="13" xfId="51" applyFont="1" applyFill="1" applyBorder="1" applyAlignment="1">
      <alignment horizontal="center" vertical="center"/>
    </xf>
    <xf numFmtId="0" fontId="6" fillId="2" borderId="23" xfId="51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 wrapText="1"/>
    </xf>
    <xf numFmtId="0" fontId="11" fillId="2" borderId="24" xfId="51" applyFont="1" applyFill="1" applyBorder="1" applyAlignment="1">
      <alignment horizontal="center" vertical="center"/>
    </xf>
    <xf numFmtId="0" fontId="7" fillId="2" borderId="4" xfId="53" applyFont="1" applyFill="1" applyBorder="1" applyAlignment="1">
      <alignment horizontal="center" vertical="center" wrapText="1"/>
    </xf>
    <xf numFmtId="0" fontId="11" fillId="2" borderId="33" xfId="51" applyFont="1" applyFill="1" applyBorder="1" applyAlignment="1">
      <alignment horizontal="center" vertical="center"/>
    </xf>
    <xf numFmtId="176" fontId="11" fillId="2" borderId="16" xfId="59" applyNumberFormat="1" applyFont="1" applyFill="1" applyBorder="1" applyAlignment="1">
      <alignment horizontal="center" vertical="center" wrapText="1"/>
    </xf>
    <xf numFmtId="0" fontId="7" fillId="2" borderId="16" xfId="53" applyFont="1" applyFill="1" applyBorder="1" applyAlignment="1">
      <alignment horizontal="center" vertical="center" wrapText="1"/>
    </xf>
    <xf numFmtId="0" fontId="11" fillId="2" borderId="25" xfId="51" applyFont="1" applyFill="1" applyBorder="1" applyAlignment="1">
      <alignment horizontal="center" vertical="center"/>
    </xf>
    <xf numFmtId="0" fontId="7" fillId="2" borderId="10" xfId="61" applyFont="1" applyFill="1" applyBorder="1" applyAlignment="1">
      <alignment horizontal="center" vertical="center" wrapText="1"/>
    </xf>
    <xf numFmtId="0" fontId="11" fillId="2" borderId="26" xfId="61" applyFont="1" applyFill="1" applyBorder="1" applyAlignment="1">
      <alignment horizontal="center" vertical="center" wrapText="1"/>
    </xf>
    <xf numFmtId="0" fontId="7" fillId="2" borderId="1" xfId="61" applyFont="1" applyFill="1" applyBorder="1" applyAlignment="1">
      <alignment horizontal="center" vertical="center" wrapText="1"/>
    </xf>
    <xf numFmtId="0" fontId="11" fillId="2" borderId="24" xfId="6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11" fillId="2" borderId="24" xfId="51" applyFont="1" applyFill="1" applyBorder="1" applyAlignment="1">
      <alignment horizontal="center" vertical="center" wrapText="1"/>
    </xf>
    <xf numFmtId="0" fontId="24" fillId="2" borderId="1" xfId="51" applyFont="1" applyFill="1" applyBorder="1" applyAlignment="1">
      <alignment horizontal="center" vertical="center" wrapText="1"/>
    </xf>
    <xf numFmtId="0" fontId="7" fillId="2" borderId="19" xfId="61" applyFont="1" applyFill="1" applyBorder="1" applyAlignment="1">
      <alignment horizontal="center" vertical="center" wrapText="1"/>
    </xf>
    <xf numFmtId="0" fontId="11" fillId="2" borderId="27" xfId="51" applyFont="1" applyFill="1" applyBorder="1" applyAlignment="1">
      <alignment horizontal="center" vertical="center"/>
    </xf>
    <xf numFmtId="0" fontId="20" fillId="0" borderId="28" xfId="61" applyFont="1" applyBorder="1" applyAlignment="1">
      <alignment horizontal="center" vertical="center" wrapText="1"/>
    </xf>
    <xf numFmtId="0" fontId="21" fillId="0" borderId="29" xfId="51" applyFont="1" applyBorder="1" applyAlignment="1"/>
    <xf numFmtId="176" fontId="16" fillId="2" borderId="10" xfId="59" applyNumberFormat="1" applyFont="1" applyFill="1" applyBorder="1" applyAlignment="1">
      <alignment horizontal="center" vertical="center" wrapText="1"/>
    </xf>
    <xf numFmtId="0" fontId="20" fillId="0" borderId="23" xfId="61" applyFont="1" applyBorder="1" applyAlignment="1">
      <alignment horizontal="center" vertical="center" wrapText="1"/>
    </xf>
    <xf numFmtId="0" fontId="21" fillId="0" borderId="30" xfId="51" applyFont="1" applyBorder="1" applyAlignment="1"/>
    <xf numFmtId="0" fontId="20" fillId="0" borderId="24" xfId="51" applyFont="1" applyBorder="1" applyAlignment="1">
      <alignment vertical="center" wrapText="1"/>
    </xf>
    <xf numFmtId="0" fontId="21" fillId="0" borderId="31" xfId="51" applyFont="1" applyBorder="1" applyAlignment="1">
      <alignment vertical="center"/>
    </xf>
    <xf numFmtId="0" fontId="20" fillId="0" borderId="24" xfId="51" applyFont="1" applyBorder="1" applyAlignment="1">
      <alignment wrapText="1"/>
    </xf>
    <xf numFmtId="0" fontId="21" fillId="0" borderId="31" xfId="51" applyFont="1" applyBorder="1" applyAlignment="1"/>
    <xf numFmtId="176" fontId="16" fillId="2" borderId="4" xfId="59" applyNumberFormat="1" applyFont="1" applyFill="1" applyBorder="1" applyAlignment="1">
      <alignment horizontal="center" vertical="center" wrapText="1"/>
    </xf>
    <xf numFmtId="0" fontId="20" fillId="0" borderId="27" xfId="51" applyFont="1" applyBorder="1" applyAlignment="1">
      <alignment wrapText="1"/>
    </xf>
    <xf numFmtId="0" fontId="21" fillId="0" borderId="32" xfId="51" applyFont="1" applyBorder="1" applyAlignment="1"/>
    <xf numFmtId="176" fontId="16" fillId="2" borderId="13" xfId="59" applyNumberFormat="1" applyFont="1" applyFill="1" applyBorder="1" applyAlignment="1">
      <alignment horizontal="center" vertical="center" wrapText="1"/>
    </xf>
    <xf numFmtId="0" fontId="22" fillId="0" borderId="26" xfId="51" applyFont="1" applyBorder="1" applyAlignment="1">
      <alignment vertical="center" wrapText="1"/>
    </xf>
    <xf numFmtId="176" fontId="16" fillId="2" borderId="19" xfId="59" applyNumberFormat="1" applyFont="1" applyFill="1" applyBorder="1" applyAlignment="1">
      <alignment horizontal="center" vertical="center" wrapText="1"/>
    </xf>
    <xf numFmtId="0" fontId="22" fillId="0" borderId="33" xfId="51" applyFont="1" applyBorder="1" applyAlignment="1">
      <alignment wrapText="1"/>
    </xf>
    <xf numFmtId="0" fontId="21" fillId="0" borderId="34" xfId="51" applyFont="1" applyBorder="1" applyAlignment="1"/>
    <xf numFmtId="176" fontId="16" fillId="2" borderId="16" xfId="59" applyNumberFormat="1" applyFont="1" applyFill="1" applyBorder="1" applyAlignment="1">
      <alignment horizontal="center" vertical="center" wrapText="1"/>
    </xf>
    <xf numFmtId="0" fontId="1" fillId="0" borderId="16" xfId="51" applyFont="1" applyBorder="1" applyAlignment="1">
      <alignment vertical="center" wrapText="1"/>
    </xf>
    <xf numFmtId="0" fontId="18" fillId="0" borderId="25" xfId="51" applyFont="1" applyBorder="1" applyAlignment="1">
      <alignment vertical="center"/>
    </xf>
    <xf numFmtId="0" fontId="0" fillId="0" borderId="0" xfId="5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182" fontId="7" fillId="0" borderId="1" xfId="1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182" fontId="20" fillId="0" borderId="1" xfId="1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82" fontId="7" fillId="0" borderId="4" xfId="1" applyNumberFormat="1" applyFont="1" applyFill="1" applyBorder="1" applyAlignment="1">
      <alignment vertical="center"/>
    </xf>
    <xf numFmtId="183" fontId="7" fillId="0" borderId="4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182" fontId="7" fillId="0" borderId="16" xfId="1" applyNumberFormat="1" applyFont="1" applyFill="1" applyBorder="1" applyAlignment="1">
      <alignment vertical="center"/>
    </xf>
    <xf numFmtId="183" fontId="7" fillId="0" borderId="16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182" fontId="7" fillId="0" borderId="35" xfId="1" applyNumberFormat="1" applyFont="1" applyFill="1" applyBorder="1" applyAlignment="1">
      <alignment vertical="center"/>
    </xf>
    <xf numFmtId="183" fontId="7" fillId="0" borderId="3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/>
    </xf>
    <xf numFmtId="183" fontId="7" fillId="0" borderId="10" xfId="0" applyNumberFormat="1" applyFont="1" applyFill="1" applyBorder="1" applyAlignment="1">
      <alignment vertical="center"/>
    </xf>
    <xf numFmtId="0" fontId="5" fillId="0" borderId="0" xfId="63" applyFont="1" applyFill="1">
      <alignment vertical="center"/>
    </xf>
    <xf numFmtId="0" fontId="5" fillId="0" borderId="0" xfId="63">
      <alignment vertical="center"/>
    </xf>
    <xf numFmtId="181" fontId="5" fillId="0" borderId="0" xfId="63" applyNumberFormat="1" applyFill="1" applyAlignment="1">
      <alignment horizontal="left" vertical="center"/>
    </xf>
    <xf numFmtId="0" fontId="5" fillId="0" borderId="0" xfId="63" applyFill="1">
      <alignment vertical="center"/>
    </xf>
    <xf numFmtId="176" fontId="5" fillId="0" borderId="0" xfId="63" applyNumberFormat="1" applyFill="1" applyAlignment="1">
      <alignment horizontal="center" vertical="center"/>
    </xf>
    <xf numFmtId="0" fontId="5" fillId="0" borderId="0" xfId="63" applyFill="1" applyAlignment="1">
      <alignment vertical="center" wrapText="1"/>
    </xf>
    <xf numFmtId="0" fontId="25" fillId="0" borderId="0" xfId="63" applyFont="1" applyFill="1" applyAlignment="1">
      <alignment vertical="center"/>
    </xf>
    <xf numFmtId="0" fontId="5" fillId="0" borderId="0" xfId="63" applyFont="1" applyFill="1" applyAlignment="1">
      <alignment horizontal="center" vertical="center"/>
    </xf>
    <xf numFmtId="0" fontId="26" fillId="0" borderId="0" xfId="63" applyNumberFormat="1" applyFont="1" applyFill="1" applyAlignment="1">
      <alignment horizontal="center" vertical="center"/>
    </xf>
    <xf numFmtId="0" fontId="25" fillId="0" borderId="36" xfId="63" applyNumberFormat="1" applyFont="1" applyFill="1" applyBorder="1" applyAlignment="1">
      <alignment horizontal="right"/>
    </xf>
    <xf numFmtId="0" fontId="25" fillId="0" borderId="36" xfId="63" applyNumberFormat="1" applyFont="1" applyFill="1" applyBorder="1" applyAlignment="1">
      <alignment horizontal="center"/>
    </xf>
    <xf numFmtId="0" fontId="6" fillId="0" borderId="2" xfId="63" applyNumberFormat="1" applyFont="1" applyFill="1" applyBorder="1" applyAlignment="1">
      <alignment horizontal="center" vertical="center" wrapText="1"/>
    </xf>
    <xf numFmtId="0" fontId="6" fillId="0" borderId="3" xfId="63" applyNumberFormat="1" applyFont="1" applyFill="1" applyBorder="1" applyAlignment="1">
      <alignment horizontal="center" vertical="center" wrapText="1"/>
    </xf>
    <xf numFmtId="176" fontId="6" fillId="0" borderId="1" xfId="63" applyNumberFormat="1" applyFont="1" applyFill="1" applyBorder="1" applyAlignment="1">
      <alignment horizontal="center" vertical="center"/>
    </xf>
    <xf numFmtId="0" fontId="6" fillId="0" borderId="8" xfId="63" applyNumberFormat="1" applyFont="1" applyFill="1" applyBorder="1" applyAlignment="1">
      <alignment horizontal="center" vertical="center" wrapText="1"/>
    </xf>
    <xf numFmtId="0" fontId="6" fillId="0" borderId="9" xfId="63" applyNumberFormat="1" applyFont="1" applyFill="1" applyBorder="1" applyAlignment="1">
      <alignment horizontal="center" vertical="center" wrapText="1"/>
    </xf>
    <xf numFmtId="176" fontId="6" fillId="0" borderId="4" xfId="63" applyNumberFormat="1" applyFont="1" applyFill="1" applyBorder="1" applyAlignment="1">
      <alignment horizontal="center" vertical="center" wrapText="1"/>
    </xf>
    <xf numFmtId="176" fontId="6" fillId="0" borderId="1" xfId="63" applyNumberFormat="1" applyFont="1" applyFill="1" applyBorder="1" applyAlignment="1">
      <alignment horizontal="center" vertical="center" wrapText="1"/>
    </xf>
    <xf numFmtId="177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176" fontId="6" fillId="0" borderId="10" xfId="63" applyNumberFormat="1" applyFont="1" applyFill="1" applyBorder="1" applyAlignment="1">
      <alignment horizontal="center" vertical="center" wrapText="1"/>
    </xf>
    <xf numFmtId="181" fontId="5" fillId="0" borderId="1" xfId="63" applyNumberFormat="1" applyFill="1" applyBorder="1" applyAlignment="1">
      <alignment horizontal="left" vertical="center" wrapText="1"/>
    </xf>
    <xf numFmtId="49" fontId="5" fillId="0" borderId="1" xfId="63" applyNumberFormat="1" applyFill="1" applyBorder="1" applyAlignment="1">
      <alignment vertical="center" wrapText="1"/>
    </xf>
    <xf numFmtId="176" fontId="5" fillId="0" borderId="1" xfId="63" applyNumberFormat="1" applyFill="1" applyBorder="1" applyAlignment="1">
      <alignment horizontal="center" vertical="center" wrapText="1"/>
    </xf>
    <xf numFmtId="181" fontId="5" fillId="0" borderId="1" xfId="63" applyNumberFormat="1" applyFont="1" applyFill="1" applyBorder="1" applyAlignment="1">
      <alignment horizontal="left" vertical="center" wrapText="1"/>
    </xf>
    <xf numFmtId="0" fontId="5" fillId="0" borderId="0" xfId="63" applyFont="1" applyFill="1" applyAlignment="1">
      <alignment vertical="center" wrapText="1"/>
    </xf>
    <xf numFmtId="176" fontId="6" fillId="0" borderId="5" xfId="63" applyNumberFormat="1" applyFont="1" applyFill="1" applyBorder="1" applyAlignment="1">
      <alignment horizontal="center" vertical="center"/>
    </xf>
    <xf numFmtId="176" fontId="6" fillId="0" borderId="6" xfId="63" applyNumberFormat="1" applyFont="1" applyFill="1" applyBorder="1" applyAlignment="1">
      <alignment horizontal="center" vertical="center"/>
    </xf>
    <xf numFmtId="176" fontId="6" fillId="0" borderId="7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176" fontId="1" fillId="0" borderId="1" xfId="63" applyNumberFormat="1" applyFont="1" applyFill="1" applyBorder="1" applyAlignment="1" applyProtection="1">
      <alignment horizontal="center" vertical="center" wrapText="1"/>
    </xf>
    <xf numFmtId="176" fontId="6" fillId="0" borderId="35" xfId="63" applyNumberFormat="1" applyFont="1" applyFill="1" applyBorder="1" applyAlignment="1">
      <alignment horizontal="center" vertical="center"/>
    </xf>
    <xf numFmtId="176" fontId="6" fillId="0" borderId="10" xfId="63" applyNumberFormat="1" applyFont="1" applyFill="1" applyBorder="1" applyAlignment="1">
      <alignment horizontal="center" vertical="center"/>
    </xf>
    <xf numFmtId="177" fontId="5" fillId="0" borderId="1" xfId="63" applyNumberFormat="1" applyFill="1" applyBorder="1" applyAlignment="1">
      <alignment vertical="center" wrapText="1"/>
    </xf>
    <xf numFmtId="181" fontId="14" fillId="0" borderId="1" xfId="63" applyNumberFormat="1" applyFont="1" applyFill="1" applyBorder="1" applyAlignment="1">
      <alignment horizontal="left" vertical="center" wrapText="1"/>
    </xf>
    <xf numFmtId="176" fontId="5" fillId="0" borderId="1" xfId="63" applyNumberForma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184" fontId="27" fillId="0" borderId="0" xfId="0" applyNumberFormat="1" applyFont="1" applyFill="1" applyBorder="1" applyAlignment="1">
      <alignment horizontal="left"/>
    </xf>
    <xf numFmtId="57" fontId="27" fillId="0" borderId="0" xfId="0" applyNumberFormat="1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2" xfId="51"/>
    <cellStyle name="常规 2 5" xfId="52"/>
    <cellStyle name="常规 2 5 2" xfId="53"/>
    <cellStyle name="常规 2 5 7" xfId="54"/>
    <cellStyle name="常规 2 5 7 2" xfId="55"/>
    <cellStyle name="常规 30" xfId="56"/>
    <cellStyle name="常规 30 2" xfId="57"/>
    <cellStyle name="常规 32 2" xfId="58"/>
    <cellStyle name="常规 32 2 2" xfId="59"/>
    <cellStyle name="常规 33" xfId="60"/>
    <cellStyle name="常规 33 2" xfId="61"/>
    <cellStyle name="常规 33 4" xfId="62"/>
    <cellStyle name="常规_1018（终版）2018年8月一般公共预算第一次预算调整" xfId="63"/>
    <cellStyle name="常规_2006区级预算追加情况表" xfId="64"/>
    <cellStyle name="常规_土地基金收入调整" xfId="65"/>
    <cellStyle name="千位分隔 3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users\1056901318\filerecv\2018&#24180;&#28640;&#27743;&#21306;&#25351;&#26631;&#34920;&#87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 （提前下达）"/>
      <sheetName val="指标"/>
      <sheetName val="指标 (8.12预算调整 上级专项)"/>
      <sheetName val="Sheet1"/>
      <sheetName val="指标 (8.12预算调整 上级专项) (2)"/>
      <sheetName val="指标 （8.12预算调整 财力)"/>
      <sheetName val="基金 (8.12预算调整 基金 )"/>
      <sheetName val="基金"/>
      <sheetName val="债券"/>
    </sheetNames>
    <sheetDataSet>
      <sheetData sheetId="0" refreshError="1"/>
      <sheetData sheetId="1" refreshError="1"/>
      <sheetData sheetId="2" refreshError="1"/>
      <sheetData sheetId="3" refreshError="1">
        <row r="3">
          <cell r="D3" t="str">
            <v>求和项:金额</v>
          </cell>
        </row>
        <row r="4">
          <cell r="D4" t="str">
            <v>支出科目</v>
          </cell>
          <cell r="E4" t="str">
            <v>汇总</v>
          </cell>
        </row>
        <row r="5">
          <cell r="D5">
            <v>2010499</v>
          </cell>
          <cell r="E5">
            <v>5</v>
          </cell>
        </row>
        <row r="6">
          <cell r="D6">
            <v>2010799</v>
          </cell>
          <cell r="E6">
            <v>36</v>
          </cell>
        </row>
        <row r="7">
          <cell r="D7">
            <v>2011006</v>
          </cell>
          <cell r="E7">
            <v>1.6</v>
          </cell>
        </row>
        <row r="8">
          <cell r="D8">
            <v>2011199</v>
          </cell>
          <cell r="E8">
            <v>20</v>
          </cell>
        </row>
        <row r="9">
          <cell r="D9">
            <v>2011406</v>
          </cell>
          <cell r="E9">
            <v>31.2</v>
          </cell>
        </row>
        <row r="10">
          <cell r="D10">
            <v>2011409</v>
          </cell>
          <cell r="E10">
            <v>135</v>
          </cell>
        </row>
        <row r="11">
          <cell r="D11">
            <v>2011499</v>
          </cell>
          <cell r="E11">
            <v>26.247</v>
          </cell>
        </row>
        <row r="12">
          <cell r="D12">
            <v>2013299</v>
          </cell>
          <cell r="E12">
            <v>65.94</v>
          </cell>
        </row>
        <row r="13">
          <cell r="D13">
            <v>2019999</v>
          </cell>
          <cell r="E13">
            <v>200</v>
          </cell>
        </row>
        <row r="14">
          <cell r="D14">
            <v>2040102</v>
          </cell>
          <cell r="E14">
            <v>53</v>
          </cell>
        </row>
        <row r="15">
          <cell r="D15">
            <v>2040699</v>
          </cell>
          <cell r="E15">
            <v>64.6</v>
          </cell>
        </row>
        <row r="16">
          <cell r="D16">
            <v>2050201</v>
          </cell>
          <cell r="E16">
            <v>459.4283</v>
          </cell>
        </row>
        <row r="17">
          <cell r="D17">
            <v>2050202</v>
          </cell>
          <cell r="E17">
            <v>2505.3223</v>
          </cell>
        </row>
        <row r="18">
          <cell r="D18">
            <v>2050203</v>
          </cell>
          <cell r="E18">
            <v>1093.1794</v>
          </cell>
        </row>
        <row r="19">
          <cell r="D19">
            <v>2050204</v>
          </cell>
          <cell r="E19">
            <v>142.9575</v>
          </cell>
        </row>
        <row r="20">
          <cell r="D20">
            <v>2050299</v>
          </cell>
          <cell r="E20">
            <v>657.1825</v>
          </cell>
        </row>
        <row r="21">
          <cell r="D21">
            <v>2050302</v>
          </cell>
          <cell r="E21">
            <v>9.233</v>
          </cell>
        </row>
        <row r="22">
          <cell r="D22">
            <v>2050701</v>
          </cell>
          <cell r="E22">
            <v>43.32</v>
          </cell>
        </row>
        <row r="23">
          <cell r="D23">
            <v>2059999</v>
          </cell>
          <cell r="E23">
            <v>4.91</v>
          </cell>
        </row>
        <row r="24">
          <cell r="D24">
            <v>2060403</v>
          </cell>
          <cell r="E24">
            <v>423.2736</v>
          </cell>
        </row>
        <row r="25">
          <cell r="D25">
            <v>2060499</v>
          </cell>
          <cell r="E25">
            <v>-132.35</v>
          </cell>
        </row>
        <row r="26">
          <cell r="D26">
            <v>2060602</v>
          </cell>
          <cell r="E26">
            <v>3</v>
          </cell>
        </row>
        <row r="27">
          <cell r="D27">
            <v>2060702</v>
          </cell>
          <cell r="E27">
            <v>10</v>
          </cell>
        </row>
        <row r="28">
          <cell r="D28">
            <v>2069901</v>
          </cell>
          <cell r="E28">
            <v>26</v>
          </cell>
        </row>
        <row r="29">
          <cell r="D29">
            <v>2070199</v>
          </cell>
          <cell r="E29">
            <v>266</v>
          </cell>
        </row>
        <row r="30">
          <cell r="D30">
            <v>2079999</v>
          </cell>
          <cell r="E30">
            <v>14</v>
          </cell>
        </row>
        <row r="31">
          <cell r="D31">
            <v>2080199</v>
          </cell>
          <cell r="E31">
            <v>40</v>
          </cell>
        </row>
        <row r="32">
          <cell r="D32">
            <v>2080202</v>
          </cell>
          <cell r="E32">
            <v>28</v>
          </cell>
        </row>
        <row r="33">
          <cell r="D33">
            <v>2080204</v>
          </cell>
          <cell r="E33">
            <v>110</v>
          </cell>
        </row>
        <row r="34">
          <cell r="D34">
            <v>2080702</v>
          </cell>
          <cell r="E34">
            <v>50</v>
          </cell>
        </row>
        <row r="35">
          <cell r="D35">
            <v>2080799</v>
          </cell>
          <cell r="E35">
            <v>636</v>
          </cell>
        </row>
        <row r="36">
          <cell r="D36">
            <v>2080801</v>
          </cell>
          <cell r="E36">
            <v>11</v>
          </cell>
        </row>
        <row r="37">
          <cell r="D37">
            <v>2080803</v>
          </cell>
          <cell r="E37">
            <v>412.803</v>
          </cell>
        </row>
        <row r="38">
          <cell r="D38">
            <v>2080806</v>
          </cell>
          <cell r="E38">
            <v>100</v>
          </cell>
        </row>
        <row r="39">
          <cell r="D39">
            <v>2080901</v>
          </cell>
          <cell r="E39">
            <v>77</v>
          </cell>
        </row>
        <row r="40">
          <cell r="D40">
            <v>2080902</v>
          </cell>
          <cell r="E40">
            <v>24</v>
          </cell>
        </row>
        <row r="41">
          <cell r="D41">
            <v>2081004</v>
          </cell>
          <cell r="E41">
            <v>52</v>
          </cell>
        </row>
        <row r="42">
          <cell r="D42">
            <v>2081199</v>
          </cell>
          <cell r="E42">
            <v>1391.9482</v>
          </cell>
        </row>
        <row r="43">
          <cell r="D43">
            <v>2081901</v>
          </cell>
          <cell r="E43">
            <v>1379.5</v>
          </cell>
        </row>
        <row r="44">
          <cell r="D44">
            <v>2081902</v>
          </cell>
          <cell r="E44">
            <v>1646</v>
          </cell>
        </row>
        <row r="45">
          <cell r="D45">
            <v>2082001</v>
          </cell>
          <cell r="E45">
            <v>77.12</v>
          </cell>
        </row>
        <row r="46">
          <cell r="D46">
            <v>2082101</v>
          </cell>
          <cell r="E46">
            <v>12</v>
          </cell>
        </row>
        <row r="47">
          <cell r="D47">
            <v>2082102</v>
          </cell>
          <cell r="E47">
            <v>129</v>
          </cell>
        </row>
        <row r="48">
          <cell r="D48">
            <v>2082501</v>
          </cell>
          <cell r="E48">
            <v>7</v>
          </cell>
        </row>
        <row r="49">
          <cell r="D49">
            <v>2082502</v>
          </cell>
          <cell r="E49">
            <v>14</v>
          </cell>
        </row>
        <row r="50">
          <cell r="D50">
            <v>2082602</v>
          </cell>
          <cell r="E50">
            <v>4661.6</v>
          </cell>
        </row>
        <row r="51">
          <cell r="D51">
            <v>2089901</v>
          </cell>
          <cell r="E51">
            <v>96.82</v>
          </cell>
        </row>
        <row r="52">
          <cell r="D52">
            <v>2100199</v>
          </cell>
          <cell r="E52">
            <v>140</v>
          </cell>
        </row>
        <row r="53">
          <cell r="D53">
            <v>2100299</v>
          </cell>
          <cell r="E53">
            <v>23.36</v>
          </cell>
        </row>
        <row r="54">
          <cell r="D54">
            <v>2100302</v>
          </cell>
          <cell r="E54">
            <v>68.76</v>
          </cell>
        </row>
        <row r="55">
          <cell r="D55">
            <v>2100399</v>
          </cell>
          <cell r="E55">
            <v>273</v>
          </cell>
        </row>
        <row r="56">
          <cell r="D56">
            <v>2100408</v>
          </cell>
          <cell r="E56">
            <v>1179.69</v>
          </cell>
        </row>
        <row r="57">
          <cell r="D57">
            <v>2100409</v>
          </cell>
          <cell r="E57">
            <v>31</v>
          </cell>
        </row>
        <row r="58">
          <cell r="D58">
            <v>2100499</v>
          </cell>
          <cell r="E58">
            <v>66</v>
          </cell>
        </row>
        <row r="59">
          <cell r="D59">
            <v>2100601</v>
          </cell>
          <cell r="E59">
            <v>40</v>
          </cell>
        </row>
        <row r="60">
          <cell r="D60">
            <v>2100717</v>
          </cell>
          <cell r="E60">
            <v>21.41</v>
          </cell>
        </row>
        <row r="61">
          <cell r="D61">
            <v>2100799</v>
          </cell>
          <cell r="E61">
            <v>101.64</v>
          </cell>
        </row>
        <row r="62">
          <cell r="D62">
            <v>2101099</v>
          </cell>
          <cell r="E62">
            <v>64</v>
          </cell>
        </row>
        <row r="63">
          <cell r="D63">
            <v>2101202</v>
          </cell>
          <cell r="E63">
            <v>10020.448117</v>
          </cell>
        </row>
        <row r="64">
          <cell r="D64">
            <v>2101301</v>
          </cell>
          <cell r="E64">
            <v>716</v>
          </cell>
        </row>
        <row r="65">
          <cell r="D65">
            <v>2101401</v>
          </cell>
          <cell r="E65">
            <v>16.5036</v>
          </cell>
        </row>
        <row r="66">
          <cell r="D66">
            <v>2109901</v>
          </cell>
          <cell r="E66">
            <v>7.4</v>
          </cell>
        </row>
        <row r="67">
          <cell r="D67">
            <v>2110302</v>
          </cell>
          <cell r="E67">
            <v>230</v>
          </cell>
        </row>
        <row r="68">
          <cell r="D68">
            <v>2110399</v>
          </cell>
          <cell r="E68">
            <v>50</v>
          </cell>
        </row>
        <row r="69">
          <cell r="D69">
            <v>2119901</v>
          </cell>
          <cell r="E69">
            <v>508</v>
          </cell>
        </row>
        <row r="70">
          <cell r="D70">
            <v>2120199</v>
          </cell>
          <cell r="E70">
            <v>104</v>
          </cell>
        </row>
        <row r="71">
          <cell r="D71">
            <v>2120399</v>
          </cell>
          <cell r="E71">
            <v>19375.47</v>
          </cell>
        </row>
        <row r="72">
          <cell r="D72">
            <v>2120899</v>
          </cell>
          <cell r="E72">
            <v>1614.39</v>
          </cell>
        </row>
        <row r="73">
          <cell r="D73">
            <v>2129999</v>
          </cell>
          <cell r="E73">
            <v>713</v>
          </cell>
        </row>
        <row r="74">
          <cell r="D74">
            <v>2130106</v>
          </cell>
          <cell r="E74">
            <v>9</v>
          </cell>
        </row>
        <row r="75">
          <cell r="D75">
            <v>2130108</v>
          </cell>
          <cell r="E75">
            <v>1.66</v>
          </cell>
        </row>
        <row r="76">
          <cell r="D76">
            <v>2130109</v>
          </cell>
          <cell r="E76">
            <v>4</v>
          </cell>
        </row>
        <row r="77">
          <cell r="D77">
            <v>2130112</v>
          </cell>
          <cell r="E77">
            <v>2.1013</v>
          </cell>
        </row>
        <row r="78">
          <cell r="D78">
            <v>2130122</v>
          </cell>
          <cell r="E78">
            <v>22</v>
          </cell>
        </row>
        <row r="79">
          <cell r="D79">
            <v>2130124</v>
          </cell>
          <cell r="E79">
            <v>50</v>
          </cell>
        </row>
        <row r="80">
          <cell r="D80">
            <v>2130135</v>
          </cell>
          <cell r="E80">
            <v>12</v>
          </cell>
        </row>
        <row r="81">
          <cell r="D81">
            <v>2130148</v>
          </cell>
          <cell r="E81">
            <v>1922.1</v>
          </cell>
        </row>
        <row r="82">
          <cell r="D82">
            <v>2130152</v>
          </cell>
          <cell r="E82">
            <v>13.74775</v>
          </cell>
        </row>
        <row r="83">
          <cell r="D83">
            <v>2130199</v>
          </cell>
          <cell r="E83">
            <v>228.2383</v>
          </cell>
        </row>
        <row r="84">
          <cell r="D84">
            <v>2130205</v>
          </cell>
          <cell r="E84">
            <v>136.85</v>
          </cell>
        </row>
        <row r="85">
          <cell r="D85">
            <v>2130209</v>
          </cell>
          <cell r="E85">
            <v>191.85</v>
          </cell>
        </row>
        <row r="86">
          <cell r="D86">
            <v>2130234</v>
          </cell>
          <cell r="E86">
            <v>68</v>
          </cell>
        </row>
        <row r="87">
          <cell r="D87">
            <v>2130299</v>
          </cell>
          <cell r="E87">
            <v>85.2</v>
          </cell>
        </row>
        <row r="88">
          <cell r="D88">
            <v>2130305</v>
          </cell>
          <cell r="E88">
            <v>226</v>
          </cell>
        </row>
        <row r="89">
          <cell r="D89">
            <v>2130306</v>
          </cell>
          <cell r="E89">
            <v>57.04</v>
          </cell>
        </row>
        <row r="90">
          <cell r="D90">
            <v>2130314</v>
          </cell>
          <cell r="E90">
            <v>80</v>
          </cell>
        </row>
        <row r="91">
          <cell r="D91">
            <v>2130322</v>
          </cell>
          <cell r="E91">
            <v>6</v>
          </cell>
        </row>
        <row r="92">
          <cell r="D92">
            <v>2130599</v>
          </cell>
          <cell r="E92">
            <v>684.48</v>
          </cell>
        </row>
        <row r="93">
          <cell r="D93">
            <v>2130701</v>
          </cell>
          <cell r="E93">
            <v>389.5</v>
          </cell>
        </row>
        <row r="94">
          <cell r="D94">
            <v>2130706</v>
          </cell>
          <cell r="E94">
            <v>4300</v>
          </cell>
        </row>
        <row r="95">
          <cell r="D95">
            <v>2139999</v>
          </cell>
          <cell r="E95">
            <v>0.96</v>
          </cell>
        </row>
        <row r="96">
          <cell r="D96">
            <v>2140104</v>
          </cell>
          <cell r="E96">
            <v>150</v>
          </cell>
        </row>
        <row r="97">
          <cell r="D97">
            <v>2140403</v>
          </cell>
          <cell r="E97">
            <v>64.02</v>
          </cell>
        </row>
        <row r="98">
          <cell r="D98">
            <v>2150599</v>
          </cell>
          <cell r="E98">
            <v>7220</v>
          </cell>
        </row>
        <row r="99">
          <cell r="D99">
            <v>2150699</v>
          </cell>
          <cell r="E99">
            <v>70</v>
          </cell>
        </row>
        <row r="100">
          <cell r="D100">
            <v>2160699</v>
          </cell>
          <cell r="E100">
            <v>80.73</v>
          </cell>
        </row>
        <row r="101">
          <cell r="D101">
            <v>2169999</v>
          </cell>
          <cell r="E101">
            <v>727</v>
          </cell>
        </row>
        <row r="102">
          <cell r="D102">
            <v>2179901</v>
          </cell>
          <cell r="E102">
            <v>5</v>
          </cell>
        </row>
        <row r="103">
          <cell r="D103">
            <v>2200110</v>
          </cell>
          <cell r="E103">
            <v>35.04</v>
          </cell>
        </row>
        <row r="104">
          <cell r="D104">
            <v>2200111</v>
          </cell>
          <cell r="E104">
            <v>35.57</v>
          </cell>
        </row>
        <row r="105">
          <cell r="D105">
            <v>2200199</v>
          </cell>
          <cell r="E105">
            <v>3.04</v>
          </cell>
        </row>
        <row r="106">
          <cell r="D106">
            <v>2200299</v>
          </cell>
          <cell r="E106">
            <v>477</v>
          </cell>
        </row>
        <row r="107">
          <cell r="D107">
            <v>2210107</v>
          </cell>
          <cell r="E107">
            <v>110.45</v>
          </cell>
        </row>
        <row r="108">
          <cell r="D108">
            <v>2220199</v>
          </cell>
          <cell r="E108">
            <v>263.404247</v>
          </cell>
        </row>
        <row r="109">
          <cell r="D109">
            <v>2299901</v>
          </cell>
          <cell r="E109">
            <v>19.162</v>
          </cell>
        </row>
        <row r="110">
          <cell r="D110" t="str">
            <v>2012604</v>
          </cell>
          <cell r="E110">
            <v>100</v>
          </cell>
        </row>
        <row r="111">
          <cell r="D111" t="str">
            <v>2040103</v>
          </cell>
          <cell r="E111">
            <v>17</v>
          </cell>
        </row>
        <row r="112">
          <cell r="D112" t="str">
            <v>2040604</v>
          </cell>
          <cell r="E112">
            <v>34.542</v>
          </cell>
        </row>
        <row r="113">
          <cell r="D113" t="str">
            <v>2040605</v>
          </cell>
          <cell r="E113">
            <v>9.5021</v>
          </cell>
        </row>
        <row r="114">
          <cell r="D114" t="str">
            <v>2040607</v>
          </cell>
          <cell r="E114">
            <v>55.4694</v>
          </cell>
        </row>
        <row r="115">
          <cell r="D115" t="str">
            <v>2040610</v>
          </cell>
          <cell r="E115">
            <v>17.3751</v>
          </cell>
        </row>
        <row r="116">
          <cell r="D116" t="str">
            <v>2049901</v>
          </cell>
          <cell r="E116">
            <v>70</v>
          </cell>
        </row>
        <row r="117">
          <cell r="D117" t="str">
            <v>2050204</v>
          </cell>
          <cell r="E117">
            <v>0</v>
          </cell>
        </row>
        <row r="118">
          <cell r="D118" t="str">
            <v>2050302</v>
          </cell>
          <cell r="E118">
            <v>0</v>
          </cell>
        </row>
        <row r="119">
          <cell r="D119" t="str">
            <v>2059999</v>
          </cell>
          <cell r="E119">
            <v>96</v>
          </cell>
        </row>
        <row r="120">
          <cell r="D120" t="str">
            <v>2060403</v>
          </cell>
          <cell r="E120">
            <v>-597.27</v>
          </cell>
        </row>
        <row r="121">
          <cell r="D121" t="str">
            <v>2069999</v>
          </cell>
          <cell r="E121">
            <v>300</v>
          </cell>
        </row>
        <row r="122">
          <cell r="D122" t="str">
            <v>2080803</v>
          </cell>
          <cell r="E122">
            <v>77.75</v>
          </cell>
        </row>
        <row r="123">
          <cell r="D123" t="str">
            <v>2080805</v>
          </cell>
          <cell r="E123">
            <v>61.62</v>
          </cell>
        </row>
        <row r="124">
          <cell r="D124" t="str">
            <v>2080901</v>
          </cell>
          <cell r="E124">
            <v>63</v>
          </cell>
        </row>
        <row r="125">
          <cell r="D125" t="str">
            <v>2080903</v>
          </cell>
          <cell r="E125">
            <v>0.8</v>
          </cell>
        </row>
        <row r="126">
          <cell r="D126" t="str">
            <v>2081002</v>
          </cell>
          <cell r="E126">
            <v>92</v>
          </cell>
        </row>
        <row r="127">
          <cell r="D127" t="str">
            <v>2081199</v>
          </cell>
          <cell r="E127">
            <v>40.83</v>
          </cell>
        </row>
        <row r="128">
          <cell r="D128" t="str">
            <v>2089901</v>
          </cell>
          <cell r="E128">
            <v>1.1</v>
          </cell>
        </row>
        <row r="129">
          <cell r="D129" t="str">
            <v>2100299</v>
          </cell>
          <cell r="E129">
            <v>80</v>
          </cell>
        </row>
        <row r="130">
          <cell r="D130" t="str">
            <v>2100399</v>
          </cell>
          <cell r="E130">
            <v>139</v>
          </cell>
        </row>
        <row r="131">
          <cell r="D131" t="str">
            <v>2100408</v>
          </cell>
          <cell r="E131">
            <v>12.32</v>
          </cell>
        </row>
        <row r="132">
          <cell r="D132" t="str">
            <v>2100409</v>
          </cell>
          <cell r="E132">
            <v>20.672</v>
          </cell>
        </row>
        <row r="133">
          <cell r="D133" t="str">
            <v>2100499</v>
          </cell>
          <cell r="E133">
            <v>83</v>
          </cell>
        </row>
        <row r="134">
          <cell r="D134" t="str">
            <v>2100717</v>
          </cell>
          <cell r="E134">
            <v>0.79</v>
          </cell>
        </row>
        <row r="135">
          <cell r="D135" t="str">
            <v>2100799</v>
          </cell>
          <cell r="E135">
            <v>1.66</v>
          </cell>
        </row>
        <row r="136">
          <cell r="D136" t="str">
            <v>2120201</v>
          </cell>
          <cell r="E136">
            <v>500</v>
          </cell>
        </row>
        <row r="137">
          <cell r="D137" t="str">
            <v>2130199</v>
          </cell>
        </row>
        <row r="138">
          <cell r="D138" t="str">
            <v>2130305</v>
          </cell>
          <cell r="E138">
            <v>5913.87</v>
          </cell>
        </row>
        <row r="139">
          <cell r="D139" t="str">
            <v>2130311</v>
          </cell>
          <cell r="E139">
            <v>1.5</v>
          </cell>
        </row>
        <row r="140">
          <cell r="D140" t="str">
            <v>2130399</v>
          </cell>
          <cell r="E140">
            <v>305</v>
          </cell>
        </row>
        <row r="141">
          <cell r="D141" t="str">
            <v>2130599</v>
          </cell>
          <cell r="E141">
            <v>351</v>
          </cell>
        </row>
        <row r="142">
          <cell r="D142" t="str">
            <v>2130701</v>
          </cell>
          <cell r="E142">
            <v>-0.25</v>
          </cell>
        </row>
        <row r="143">
          <cell r="D143" t="str">
            <v>2139999</v>
          </cell>
          <cell r="E143">
            <v>0.86</v>
          </cell>
        </row>
        <row r="144">
          <cell r="D144" t="str">
            <v>2150299</v>
          </cell>
          <cell r="E144">
            <v>1000</v>
          </cell>
        </row>
        <row r="145">
          <cell r="D145" t="str">
            <v>2160299</v>
          </cell>
        </row>
        <row r="146">
          <cell r="D146" t="str">
            <v>2160699</v>
          </cell>
          <cell r="E146">
            <v>39.29</v>
          </cell>
        </row>
        <row r="147">
          <cell r="D147" t="str">
            <v>2200110</v>
          </cell>
          <cell r="E147">
            <v>-1.35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F19" sqref="F19"/>
    </sheetView>
  </sheetViews>
  <sheetFormatPr defaultColWidth="9" defaultRowHeight="13.5"/>
  <cols>
    <col min="1" max="1" width="34.25" customWidth="1"/>
    <col min="2" max="2" width="24.25" customWidth="1"/>
    <col min="3" max="3" width="17.375" customWidth="1"/>
    <col min="4" max="5" width="12.625" customWidth="1"/>
    <col min="6" max="6" width="32.625" customWidth="1"/>
    <col min="7" max="7" width="11.75" customWidth="1"/>
    <col min="9" max="9" width="20.125" customWidth="1"/>
    <col min="11" max="11" width="9.5" customWidth="1"/>
    <col min="12" max="12" width="8.25" customWidth="1"/>
    <col min="13" max="14" width="10.625" customWidth="1"/>
  </cols>
  <sheetData>
    <row r="1" ht="26.1" customHeight="1" spans="1:1">
      <c r="A1" t="s">
        <v>0</v>
      </c>
    </row>
    <row r="2" ht="36" customHeight="1" spans="1:9">
      <c r="A2" s="381" t="s">
        <v>1</v>
      </c>
      <c r="B2" s="381"/>
      <c r="C2" s="381"/>
      <c r="D2" s="381"/>
      <c r="E2" s="381"/>
      <c r="F2" s="381"/>
      <c r="G2" s="381"/>
      <c r="H2" s="381"/>
      <c r="I2" s="381"/>
    </row>
    <row r="3" ht="21.95" customHeight="1" spans="8:8">
      <c r="H3" t="s">
        <v>2</v>
      </c>
    </row>
    <row r="4" s="380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380" customFormat="1" ht="18.95" customHeight="1" spans="1:9">
      <c r="A5" s="382" t="s">
        <v>12</v>
      </c>
      <c r="B5" s="382"/>
      <c r="C5" s="382">
        <v>1</v>
      </c>
      <c r="D5" s="382">
        <v>2</v>
      </c>
      <c r="E5" s="382" t="s">
        <v>13</v>
      </c>
      <c r="F5" s="382">
        <v>4</v>
      </c>
      <c r="G5" s="382">
        <v>5</v>
      </c>
      <c r="H5" s="382">
        <v>6</v>
      </c>
      <c r="I5" s="382">
        <v>7</v>
      </c>
    </row>
    <row r="6" ht="24.95" customHeight="1" spans="1:9">
      <c r="A6" s="383"/>
      <c r="B6" s="383"/>
      <c r="C6" s="383"/>
      <c r="D6" s="383"/>
      <c r="E6" s="383"/>
      <c r="F6" s="383"/>
      <c r="G6" s="383"/>
      <c r="H6" s="383"/>
      <c r="I6" s="383"/>
    </row>
    <row r="7" ht="24.95" customHeight="1" spans="1:9">
      <c r="A7" s="383"/>
      <c r="B7" s="383"/>
      <c r="C7" s="383"/>
      <c r="D7" s="383"/>
      <c r="E7" s="383"/>
      <c r="F7" s="383"/>
      <c r="G7" s="383"/>
      <c r="H7" s="383"/>
      <c r="I7" s="383"/>
    </row>
    <row r="8" ht="24.95" customHeight="1" spans="1:9">
      <c r="A8" s="383"/>
      <c r="B8" s="383"/>
      <c r="C8" s="383"/>
      <c r="D8" s="383"/>
      <c r="E8" s="383"/>
      <c r="F8" s="383"/>
      <c r="G8" s="383"/>
      <c r="H8" s="383"/>
      <c r="I8" s="383"/>
    </row>
    <row r="9" ht="24.95" customHeight="1" spans="1:9">
      <c r="A9" s="383"/>
      <c r="B9" s="383"/>
      <c r="C9" s="383"/>
      <c r="D9" s="383"/>
      <c r="E9" s="383"/>
      <c r="F9" s="383"/>
      <c r="G9" s="383"/>
      <c r="H9" s="383"/>
      <c r="I9" s="383"/>
    </row>
    <row r="10" ht="24.95" customHeight="1" spans="1:9">
      <c r="A10" s="383"/>
      <c r="B10" s="383"/>
      <c r="C10" s="383"/>
      <c r="D10" s="383"/>
      <c r="E10" s="383"/>
      <c r="F10" s="383"/>
      <c r="G10" s="383"/>
      <c r="H10" s="383"/>
      <c r="I10" s="383"/>
    </row>
    <row r="11" ht="24.95" customHeight="1" spans="1:9">
      <c r="A11" s="383"/>
      <c r="B11" s="383"/>
      <c r="C11" s="383"/>
      <c r="D11" s="383"/>
      <c r="E11" s="383"/>
      <c r="F11" s="383"/>
      <c r="G11" s="383"/>
      <c r="H11" s="383"/>
      <c r="I11" s="383"/>
    </row>
    <row r="12" ht="24.95" customHeight="1" spans="1:9">
      <c r="A12" s="383"/>
      <c r="B12" s="383"/>
      <c r="C12" s="383"/>
      <c r="D12" s="383"/>
      <c r="E12" s="383"/>
      <c r="F12" s="383"/>
      <c r="G12" s="383"/>
      <c r="H12" s="383"/>
      <c r="I12" s="383"/>
    </row>
    <row r="13" ht="24.95" customHeight="1" spans="1:9">
      <c r="A13" s="383"/>
      <c r="B13" s="383"/>
      <c r="C13" s="383"/>
      <c r="D13" s="383"/>
      <c r="E13" s="383"/>
      <c r="F13" s="383"/>
      <c r="G13" s="383"/>
      <c r="H13" s="383"/>
      <c r="I13" s="383"/>
    </row>
    <row r="14" ht="24.95" customHeight="1" spans="1:9">
      <c r="A14" s="383"/>
      <c r="B14" s="383"/>
      <c r="C14" s="383"/>
      <c r="D14" s="383"/>
      <c r="E14" s="383"/>
      <c r="F14" s="383"/>
      <c r="G14" s="383"/>
      <c r="H14" s="383"/>
      <c r="I14" s="383"/>
    </row>
    <row r="15" ht="24.95" customHeight="1" spans="1:9">
      <c r="A15" s="383"/>
      <c r="B15" s="383"/>
      <c r="C15" s="383"/>
      <c r="D15" s="383"/>
      <c r="E15" s="383"/>
      <c r="F15" s="383"/>
      <c r="G15" s="383"/>
      <c r="H15" s="383"/>
      <c r="I15" s="383"/>
    </row>
    <row r="16" ht="24.95" customHeight="1" spans="1:9">
      <c r="A16" s="383"/>
      <c r="B16" s="383"/>
      <c r="C16" s="383"/>
      <c r="D16" s="383"/>
      <c r="E16" s="383"/>
      <c r="F16" s="383"/>
      <c r="G16" s="383"/>
      <c r="H16" s="383"/>
      <c r="I16" s="383"/>
    </row>
    <row r="17" ht="24.95" customHeight="1" spans="1:9">
      <c r="A17" s="384" t="s">
        <v>14</v>
      </c>
      <c r="B17" s="384"/>
      <c r="C17" s="383">
        <f>SUM(C6:C16)</f>
        <v>0</v>
      </c>
      <c r="D17" s="383">
        <f>SUM(D6:D16)</f>
        <v>0</v>
      </c>
      <c r="E17" s="383">
        <f>SUM(E6:E16)</f>
        <v>0</v>
      </c>
      <c r="F17" s="383"/>
      <c r="G17" s="383"/>
      <c r="H17" s="383"/>
      <c r="I17" s="383"/>
    </row>
    <row r="19" ht="24.95" customHeight="1" spans="1:1">
      <c r="A19" t="s">
        <v>15</v>
      </c>
    </row>
    <row r="20" ht="24.95" customHeight="1" spans="1:1">
      <c r="A20" t="s">
        <v>16</v>
      </c>
    </row>
    <row r="21" ht="24" customHeight="1" spans="1:1">
      <c r="A21" t="s">
        <v>17</v>
      </c>
    </row>
    <row r="22" ht="24" customHeight="1" spans="1:1">
      <c r="A22" t="s">
        <v>18</v>
      </c>
    </row>
  </sheetData>
  <mergeCells count="1">
    <mergeCell ref="A2:I2"/>
  </mergeCells>
  <printOptions horizontalCentered="1"/>
  <pageMargins left="0.707638888888889" right="0.707638888888889" top="0.747916666666667" bottom="0.747916666666667" header="0.313888888888889" footer="0.313888888888889"/>
  <pageSetup paperSize="9" scale="76" firstPageNumber="2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10" workbookViewId="0">
      <selection activeCell="C26" sqref="C26"/>
    </sheetView>
  </sheetViews>
  <sheetFormatPr defaultColWidth="9" defaultRowHeight="13.5"/>
  <cols>
    <col min="1" max="1" width="34.25" customWidth="1"/>
    <col min="2" max="2" width="23.125" customWidth="1"/>
    <col min="3" max="3" width="16.625" customWidth="1"/>
    <col min="4" max="5" width="12.625" customWidth="1"/>
    <col min="6" max="6" width="32.625" customWidth="1"/>
    <col min="7" max="7" width="11.75" customWidth="1"/>
    <col min="9" max="9" width="20.125" customWidth="1"/>
  </cols>
  <sheetData>
    <row r="1" ht="20.1" customHeight="1" spans="1:1">
      <c r="A1" t="s">
        <v>19</v>
      </c>
    </row>
    <row r="2" ht="38.1" customHeight="1" spans="1:9">
      <c r="A2" s="381" t="s">
        <v>20</v>
      </c>
      <c r="B2" s="381"/>
      <c r="C2" s="381"/>
      <c r="D2" s="381"/>
      <c r="E2" s="381"/>
      <c r="F2" s="381"/>
      <c r="G2" s="381"/>
      <c r="H2" s="381"/>
      <c r="I2" s="381"/>
    </row>
    <row r="3" ht="21.95" customHeight="1" spans="8:8">
      <c r="H3" t="s">
        <v>2</v>
      </c>
    </row>
    <row r="4" s="380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380" customFormat="1" ht="18.95" customHeight="1" spans="1:9">
      <c r="A5" s="382" t="s">
        <v>12</v>
      </c>
      <c r="B5" s="382"/>
      <c r="C5" s="382">
        <v>1</v>
      </c>
      <c r="D5" s="382">
        <v>2</v>
      </c>
      <c r="E5" s="382" t="s">
        <v>13</v>
      </c>
      <c r="F5" s="382">
        <v>4</v>
      </c>
      <c r="G5" s="382">
        <v>5</v>
      </c>
      <c r="H5" s="382">
        <v>6</v>
      </c>
      <c r="I5" s="382">
        <v>7</v>
      </c>
    </row>
    <row r="6" ht="24.95" customHeight="1" spans="1:9">
      <c r="A6" s="383"/>
      <c r="B6" s="383"/>
      <c r="C6" s="383"/>
      <c r="D6" s="383"/>
      <c r="E6" s="383"/>
      <c r="F6" s="383"/>
      <c r="G6" s="383"/>
      <c r="H6" s="383"/>
      <c r="I6" s="383"/>
    </row>
    <row r="7" ht="24.95" customHeight="1" spans="1:9">
      <c r="A7" s="383"/>
      <c r="B7" s="383"/>
      <c r="C7" s="383"/>
      <c r="D7" s="383"/>
      <c r="E7" s="383"/>
      <c r="F7" s="383"/>
      <c r="G7" s="383"/>
      <c r="H7" s="383"/>
      <c r="I7" s="383"/>
    </row>
    <row r="8" ht="24.95" customHeight="1" spans="1:9">
      <c r="A8" s="383"/>
      <c r="B8" s="383"/>
      <c r="C8" s="383"/>
      <c r="D8" s="383"/>
      <c r="E8" s="383"/>
      <c r="F8" s="383"/>
      <c r="G8" s="383"/>
      <c r="H8" s="383"/>
      <c r="I8" s="383"/>
    </row>
    <row r="9" ht="24.95" customHeight="1" spans="1:9">
      <c r="A9" s="383"/>
      <c r="B9" s="383"/>
      <c r="C9" s="383"/>
      <c r="D9" s="383"/>
      <c r="E9" s="383"/>
      <c r="F9" s="383"/>
      <c r="G9" s="383"/>
      <c r="H9" s="383"/>
      <c r="I9" s="383"/>
    </row>
    <row r="10" ht="24.95" customHeight="1" spans="1:9">
      <c r="A10" s="383"/>
      <c r="B10" s="383"/>
      <c r="C10" s="383"/>
      <c r="D10" s="383"/>
      <c r="E10" s="383"/>
      <c r="F10" s="383"/>
      <c r="G10" s="383"/>
      <c r="H10" s="383"/>
      <c r="I10" s="383"/>
    </row>
    <row r="11" ht="24.95" customHeight="1" spans="1:9">
      <c r="A11" s="383"/>
      <c r="B11" s="383"/>
      <c r="C11" s="383"/>
      <c r="D11" s="383"/>
      <c r="E11" s="383"/>
      <c r="F11" s="383"/>
      <c r="G11" s="383"/>
      <c r="H11" s="383"/>
      <c r="I11" s="383"/>
    </row>
    <row r="12" ht="24.95" customHeight="1" spans="1:9">
      <c r="A12" s="383"/>
      <c r="B12" s="383"/>
      <c r="C12" s="383"/>
      <c r="D12" s="383"/>
      <c r="E12" s="383"/>
      <c r="F12" s="383"/>
      <c r="G12" s="383"/>
      <c r="H12" s="383"/>
      <c r="I12" s="383"/>
    </row>
    <row r="13" ht="24.95" customHeight="1" spans="1:9">
      <c r="A13" s="383"/>
      <c r="B13" s="383"/>
      <c r="C13" s="383"/>
      <c r="D13" s="383"/>
      <c r="E13" s="383"/>
      <c r="F13" s="383"/>
      <c r="G13" s="383"/>
      <c r="H13" s="383"/>
      <c r="I13" s="383"/>
    </row>
    <row r="14" ht="24.95" customHeight="1" spans="1:9">
      <c r="A14" s="383"/>
      <c r="B14" s="383"/>
      <c r="C14" s="383"/>
      <c r="D14" s="383"/>
      <c r="E14" s="383"/>
      <c r="F14" s="383"/>
      <c r="G14" s="383"/>
      <c r="H14" s="383"/>
      <c r="I14" s="383"/>
    </row>
    <row r="15" ht="24.95" customHeight="1" spans="1:9">
      <c r="A15" s="383"/>
      <c r="B15" s="383"/>
      <c r="C15" s="383"/>
      <c r="D15" s="383"/>
      <c r="E15" s="383"/>
      <c r="F15" s="383"/>
      <c r="G15" s="383"/>
      <c r="H15" s="383"/>
      <c r="I15" s="383"/>
    </row>
    <row r="16" ht="24.95" customHeight="1" spans="1:9">
      <c r="A16" s="383"/>
      <c r="B16" s="383"/>
      <c r="C16" s="383"/>
      <c r="D16" s="383"/>
      <c r="E16" s="383"/>
      <c r="F16" s="383"/>
      <c r="G16" s="383"/>
      <c r="H16" s="383"/>
      <c r="I16" s="383"/>
    </row>
    <row r="17" ht="24.95" customHeight="1" spans="1:9">
      <c r="A17" s="384" t="s">
        <v>14</v>
      </c>
      <c r="B17" s="384"/>
      <c r="C17" s="383">
        <f>SUM(C6:C16)</f>
        <v>0</v>
      </c>
      <c r="D17" s="383">
        <f>SUM(D6:D16)</f>
        <v>0</v>
      </c>
      <c r="E17" s="383">
        <f>SUM(E6:E16)</f>
        <v>0</v>
      </c>
      <c r="F17" s="383"/>
      <c r="G17" s="383"/>
      <c r="H17" s="383"/>
      <c r="I17" s="383"/>
    </row>
    <row r="19" ht="24.95" customHeight="1" spans="1:1">
      <c r="A19" t="s">
        <v>15</v>
      </c>
    </row>
    <row r="20" ht="24.95" customHeight="1" spans="1:1">
      <c r="A20" t="s">
        <v>16</v>
      </c>
    </row>
    <row r="21" ht="21" customHeight="1" spans="1:1">
      <c r="A21" t="s">
        <v>21</v>
      </c>
    </row>
    <row r="22" ht="24" customHeight="1" spans="1:1">
      <c r="A22" t="s">
        <v>22</v>
      </c>
    </row>
    <row r="23" ht="24" customHeight="1" spans="1:1">
      <c r="A23" t="s">
        <v>23</v>
      </c>
    </row>
  </sheetData>
  <mergeCells count="1">
    <mergeCell ref="A2:I2"/>
  </mergeCells>
  <printOptions horizontalCentered="1"/>
  <pageMargins left="0.707638888888889" right="0.707638888888889" top="0.747916666666667" bottom="0.747916666666667" header="0.313888888888889" footer="0.313888888888889"/>
  <pageSetup paperSize="9" scale="75" firstPageNumber="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L18"/>
  <sheetViews>
    <sheetView view="pageBreakPreview" zoomScaleNormal="100" workbookViewId="0">
      <selection activeCell="C2" sqref="C2"/>
    </sheetView>
  </sheetViews>
  <sheetFormatPr defaultColWidth="9" defaultRowHeight="14.25"/>
  <cols>
    <col min="1" max="5" width="9" style="49"/>
    <col min="6" max="6" width="12.625" style="49" customWidth="1"/>
    <col min="7" max="7" width="15.75" style="49" customWidth="1"/>
    <col min="8" max="8" width="9" style="49"/>
    <col min="9" max="9" width="9.75" style="49" customWidth="1"/>
    <col min="10" max="16384" width="9" style="49"/>
  </cols>
  <sheetData>
    <row r="2" ht="20.25" spans="3:10">
      <c r="C2" s="375"/>
      <c r="D2" s="375"/>
      <c r="E2" s="375"/>
      <c r="F2" s="375"/>
      <c r="G2" s="375"/>
      <c r="H2" s="375"/>
      <c r="I2" s="375"/>
      <c r="J2" s="375"/>
    </row>
    <row r="3" ht="20.25" spans="3:10">
      <c r="C3" s="375"/>
      <c r="D3" s="375"/>
      <c r="E3" s="375"/>
      <c r="F3" s="375"/>
      <c r="G3" s="375"/>
      <c r="H3" s="375"/>
      <c r="I3" s="375"/>
      <c r="J3" s="375"/>
    </row>
    <row r="4" ht="20.25" spans="3:10">
      <c r="C4" s="375"/>
      <c r="D4" s="375"/>
      <c r="E4" s="375"/>
      <c r="F4" s="375"/>
      <c r="G4" s="375"/>
      <c r="H4" s="375"/>
      <c r="I4" s="375"/>
      <c r="J4" s="375"/>
    </row>
    <row r="5" ht="20.25" spans="3:12">
      <c r="C5" s="375"/>
      <c r="D5" s="375"/>
      <c r="E5" s="375"/>
      <c r="F5" s="375"/>
      <c r="G5" s="375"/>
      <c r="H5" s="375"/>
      <c r="I5" s="375"/>
      <c r="L5" s="375"/>
    </row>
    <row r="8" ht="35.25" spans="3:10">
      <c r="C8" s="376"/>
      <c r="D8" s="376" t="s">
        <v>24</v>
      </c>
      <c r="E8" s="376"/>
      <c r="F8" s="376"/>
      <c r="G8" s="376"/>
      <c r="H8" s="376"/>
      <c r="I8" s="376"/>
      <c r="J8" s="376"/>
    </row>
    <row r="15" ht="20.25" spans="3:8">
      <c r="C15" s="375"/>
      <c r="D15" s="375"/>
      <c r="E15" s="375"/>
      <c r="F15" s="377" t="s">
        <v>25</v>
      </c>
      <c r="G15" s="375" t="s">
        <v>26</v>
      </c>
      <c r="H15" s="375"/>
    </row>
    <row r="16" ht="20.25" spans="3:8">
      <c r="C16" s="375"/>
      <c r="D16" s="375"/>
      <c r="E16" s="375"/>
      <c r="F16" s="377"/>
      <c r="G16" s="375"/>
      <c r="H16" s="375"/>
    </row>
    <row r="17" ht="20.25" spans="3:8">
      <c r="C17" s="375"/>
      <c r="D17" s="375"/>
      <c r="E17" s="375"/>
      <c r="F17" s="377"/>
      <c r="G17" s="375"/>
      <c r="H17" s="375"/>
    </row>
    <row r="18" ht="20.25" spans="3:8">
      <c r="C18" s="375"/>
      <c r="D18" s="375"/>
      <c r="E18" s="375"/>
      <c r="F18" s="377" t="s">
        <v>27</v>
      </c>
      <c r="G18" s="378">
        <v>43392</v>
      </c>
      <c r="H18" s="379"/>
    </row>
  </sheetData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6"/>
  <sheetViews>
    <sheetView showGridLines="0" showZeros="0" zoomScale="85" zoomScaleNormal="85" workbookViewId="0">
      <pane ySplit="6" topLeftCell="A7" activePane="bottomLeft" state="frozen"/>
      <selection/>
      <selection pane="bottomLeft" activeCell="I394" sqref="I394"/>
    </sheetView>
  </sheetViews>
  <sheetFormatPr defaultColWidth="9" defaultRowHeight="14.45" customHeight="1"/>
  <cols>
    <col min="1" max="1" width="9.75" style="341" customWidth="1"/>
    <col min="2" max="2" width="24.5" style="342" customWidth="1"/>
    <col min="3" max="14" width="8.875" style="343" customWidth="1"/>
    <col min="15" max="15" width="19.5" style="344" customWidth="1"/>
    <col min="16" max="16384" width="9" style="342"/>
  </cols>
  <sheetData>
    <row r="1" s="339" customFormat="1" ht="31.5" customHeight="1" spans="1:15">
      <c r="A1" s="345" t="s">
        <v>28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64"/>
    </row>
    <row r="2" s="339" customFormat="1" ht="54" customHeight="1" spans="1:15">
      <c r="A2" s="347" t="s">
        <v>29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="339" customFormat="1" ht="35.1" customHeight="1" spans="1:15">
      <c r="A3" s="348" t="s">
        <v>30</v>
      </c>
      <c r="B3" s="348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8"/>
    </row>
    <row r="4" ht="25.5" customHeight="1" spans="1:15">
      <c r="A4" s="350" t="s">
        <v>4</v>
      </c>
      <c r="B4" s="351"/>
      <c r="C4" s="352" t="s">
        <v>31</v>
      </c>
      <c r="D4" s="352"/>
      <c r="E4" s="352"/>
      <c r="F4" s="352" t="s">
        <v>32</v>
      </c>
      <c r="G4" s="352"/>
      <c r="H4" s="352"/>
      <c r="I4" s="352"/>
      <c r="J4" s="352"/>
      <c r="K4" s="365" t="s">
        <v>33</v>
      </c>
      <c r="L4" s="366"/>
      <c r="M4" s="367"/>
      <c r="N4" s="355" t="s">
        <v>34</v>
      </c>
      <c r="O4" s="368" t="s">
        <v>11</v>
      </c>
    </row>
    <row r="5" ht="25.5" customHeight="1" spans="1:15">
      <c r="A5" s="353"/>
      <c r="B5" s="354"/>
      <c r="C5" s="355" t="s">
        <v>35</v>
      </c>
      <c r="D5" s="355" t="s">
        <v>36</v>
      </c>
      <c r="E5" s="355" t="s">
        <v>14</v>
      </c>
      <c r="F5" s="356" t="s">
        <v>35</v>
      </c>
      <c r="G5" s="356"/>
      <c r="H5" s="356"/>
      <c r="I5" s="356"/>
      <c r="J5" s="356" t="s">
        <v>36</v>
      </c>
      <c r="K5" s="369" t="s">
        <v>35</v>
      </c>
      <c r="L5" s="356" t="s">
        <v>36</v>
      </c>
      <c r="M5" s="356" t="s">
        <v>14</v>
      </c>
      <c r="N5" s="370"/>
      <c r="O5" s="368"/>
    </row>
    <row r="6" ht="40.5" customHeight="1" spans="1:15">
      <c r="A6" s="357" t="s">
        <v>37</v>
      </c>
      <c r="B6" s="358" t="s">
        <v>38</v>
      </c>
      <c r="C6" s="359"/>
      <c r="D6" s="359"/>
      <c r="E6" s="359"/>
      <c r="F6" s="356" t="s">
        <v>39</v>
      </c>
      <c r="G6" s="356" t="s">
        <v>40</v>
      </c>
      <c r="H6" s="356" t="s">
        <v>41</v>
      </c>
      <c r="I6" s="356" t="s">
        <v>42</v>
      </c>
      <c r="J6" s="356" t="s">
        <v>43</v>
      </c>
      <c r="K6" s="369"/>
      <c r="L6" s="356"/>
      <c r="M6" s="356"/>
      <c r="N6" s="371"/>
      <c r="O6" s="368"/>
    </row>
    <row r="7" ht="27.95" customHeight="1" spans="1:15">
      <c r="A7" s="360">
        <v>201</v>
      </c>
      <c r="B7" s="361" t="s">
        <v>44</v>
      </c>
      <c r="C7" s="362">
        <v>15550.62</v>
      </c>
      <c r="D7" s="362">
        <v>620.987</v>
      </c>
      <c r="E7" s="362">
        <f t="shared" ref="E7:E38" si="0">C7+D7</f>
        <v>16171.607</v>
      </c>
      <c r="F7" s="362">
        <f>F8+F16+F22+F26+F31+F36+F42+F44+F50+F53+F58+F62+F66+F73+F77+F80+F88+F92+F96+F100+F103+F106+F109</f>
        <v>358</v>
      </c>
      <c r="G7" s="362"/>
      <c r="H7" s="362"/>
      <c r="I7" s="362"/>
      <c r="J7" s="362">
        <f>J8+J16+J22+J26+J31+J36+J42+J44+J50+J53+J58+J62+J66+J73+J77+J80+J88+J92+J96+J100+J103+J106+J109+J86</f>
        <v>0</v>
      </c>
      <c r="K7" s="362">
        <f>K8+K16+K22+K26+K31+K36+K42+K44+K50+K53+K58+K62+K66+K73+K77+K80+K88+K92+K96+K100+K103+K106+K109</f>
        <v>15908.62</v>
      </c>
      <c r="L7" s="362">
        <f>L8+L16+L22+L26+L31+L36+L42+L44+L50+L53+L58+L62+L66+L73+L77+L80+L88+L92+L96+L100+L103+L106+L109+L86</f>
        <v>620.987</v>
      </c>
      <c r="M7" s="362">
        <f>M8+M16+M22+M26+M31+M36+M42+M44+M50+M53+M58+M62+M66+M73+M77+M80+M88+M92+M96+M100+M103+M106+M109</f>
        <v>16429.607</v>
      </c>
      <c r="N7" s="362">
        <f t="shared" ref="N7:N38" si="1">(M7/E7-1)*100</f>
        <v>1.59538875759224</v>
      </c>
      <c r="O7" s="372"/>
    </row>
    <row r="8" ht="27.95" customHeight="1" spans="1:15">
      <c r="A8" s="360">
        <v>20101</v>
      </c>
      <c r="B8" s="361" t="s">
        <v>45</v>
      </c>
      <c r="C8" s="362">
        <v>489.09</v>
      </c>
      <c r="D8" s="362">
        <v>0</v>
      </c>
      <c r="E8" s="362">
        <f t="shared" si="0"/>
        <v>489.09</v>
      </c>
      <c r="F8" s="362">
        <f>F9</f>
        <v>82</v>
      </c>
      <c r="G8" s="362"/>
      <c r="H8" s="362"/>
      <c r="I8" s="362"/>
      <c r="J8" s="362">
        <f t="shared" ref="J8:J39" si="2">L8-D8</f>
        <v>0</v>
      </c>
      <c r="K8" s="362">
        <f t="shared" ref="K8:K39" si="3">F8+C8</f>
        <v>571.09</v>
      </c>
      <c r="L8" s="362"/>
      <c r="M8" s="362">
        <f t="shared" ref="M8:M39" si="4">K8+L8</f>
        <v>571.09</v>
      </c>
      <c r="N8" s="362">
        <f t="shared" si="1"/>
        <v>16.7658304197591</v>
      </c>
      <c r="O8" s="372"/>
    </row>
    <row r="9" ht="27.95" customHeight="1" spans="1:15">
      <c r="A9" s="360">
        <v>2010101</v>
      </c>
      <c r="B9" s="361" t="s">
        <v>46</v>
      </c>
      <c r="C9" s="362">
        <v>348.69</v>
      </c>
      <c r="D9" s="362">
        <v>0</v>
      </c>
      <c r="E9" s="362">
        <f t="shared" si="0"/>
        <v>348.69</v>
      </c>
      <c r="F9" s="362">
        <v>82</v>
      </c>
      <c r="G9" s="362"/>
      <c r="H9" s="362"/>
      <c r="I9" s="362"/>
      <c r="J9" s="362">
        <f t="shared" si="2"/>
        <v>0</v>
      </c>
      <c r="K9" s="362">
        <f t="shared" si="3"/>
        <v>430.69</v>
      </c>
      <c r="L9" s="362"/>
      <c r="M9" s="362">
        <f t="shared" si="4"/>
        <v>430.69</v>
      </c>
      <c r="N9" s="362">
        <f t="shared" si="1"/>
        <v>23.5165906679285</v>
      </c>
      <c r="O9" s="372" t="s">
        <v>47</v>
      </c>
    </row>
    <row r="10" ht="27.95" customHeight="1" spans="1:15">
      <c r="A10" s="360">
        <v>2010102</v>
      </c>
      <c r="B10" s="361" t="s">
        <v>48</v>
      </c>
      <c r="C10" s="362">
        <v>16</v>
      </c>
      <c r="D10" s="362">
        <v>0</v>
      </c>
      <c r="E10" s="362">
        <f t="shared" si="0"/>
        <v>16</v>
      </c>
      <c r="F10" s="362"/>
      <c r="G10" s="362"/>
      <c r="H10" s="362"/>
      <c r="I10" s="362"/>
      <c r="J10" s="362">
        <f t="shared" si="2"/>
        <v>0</v>
      </c>
      <c r="K10" s="362">
        <f t="shared" si="3"/>
        <v>16</v>
      </c>
      <c r="L10" s="362"/>
      <c r="M10" s="362">
        <f t="shared" si="4"/>
        <v>16</v>
      </c>
      <c r="N10" s="362">
        <f t="shared" si="1"/>
        <v>0</v>
      </c>
      <c r="O10" s="372"/>
    </row>
    <row r="11" ht="27.95" customHeight="1" spans="1:15">
      <c r="A11" s="360">
        <v>2010104</v>
      </c>
      <c r="B11" s="361" t="s">
        <v>49</v>
      </c>
      <c r="C11" s="362">
        <v>29</v>
      </c>
      <c r="D11" s="362">
        <v>0</v>
      </c>
      <c r="E11" s="362">
        <f t="shared" si="0"/>
        <v>29</v>
      </c>
      <c r="F11" s="362"/>
      <c r="G11" s="362"/>
      <c r="H11" s="362"/>
      <c r="I11" s="362"/>
      <c r="J11" s="362">
        <f t="shared" si="2"/>
        <v>0</v>
      </c>
      <c r="K11" s="362">
        <f t="shared" si="3"/>
        <v>29</v>
      </c>
      <c r="L11" s="362"/>
      <c r="M11" s="362">
        <f t="shared" si="4"/>
        <v>29</v>
      </c>
      <c r="N11" s="362">
        <f t="shared" si="1"/>
        <v>0</v>
      </c>
      <c r="O11" s="372"/>
    </row>
    <row r="12" ht="27.95" customHeight="1" spans="1:15">
      <c r="A12" s="360">
        <v>2010106</v>
      </c>
      <c r="B12" s="361" t="s">
        <v>50</v>
      </c>
      <c r="C12" s="362">
        <v>9</v>
      </c>
      <c r="D12" s="362">
        <v>0</v>
      </c>
      <c r="E12" s="362">
        <f t="shared" si="0"/>
        <v>9</v>
      </c>
      <c r="F12" s="362"/>
      <c r="G12" s="362"/>
      <c r="H12" s="362"/>
      <c r="I12" s="362"/>
      <c r="J12" s="362">
        <f t="shared" si="2"/>
        <v>0</v>
      </c>
      <c r="K12" s="362">
        <f t="shared" si="3"/>
        <v>9</v>
      </c>
      <c r="L12" s="362"/>
      <c r="M12" s="362">
        <f t="shared" si="4"/>
        <v>9</v>
      </c>
      <c r="N12" s="362">
        <f t="shared" si="1"/>
        <v>0</v>
      </c>
      <c r="O12" s="372"/>
    </row>
    <row r="13" ht="27.95" customHeight="1" spans="1:15">
      <c r="A13" s="360">
        <v>2010107</v>
      </c>
      <c r="B13" s="361" t="s">
        <v>51</v>
      </c>
      <c r="C13" s="362">
        <v>4</v>
      </c>
      <c r="D13" s="362">
        <v>0</v>
      </c>
      <c r="E13" s="362">
        <f t="shared" si="0"/>
        <v>4</v>
      </c>
      <c r="F13" s="362"/>
      <c r="G13" s="362"/>
      <c r="H13" s="362"/>
      <c r="I13" s="362"/>
      <c r="J13" s="362">
        <f t="shared" si="2"/>
        <v>0</v>
      </c>
      <c r="K13" s="362">
        <f t="shared" si="3"/>
        <v>4</v>
      </c>
      <c r="L13" s="362"/>
      <c r="M13" s="362">
        <f t="shared" si="4"/>
        <v>4</v>
      </c>
      <c r="N13" s="362">
        <f t="shared" si="1"/>
        <v>0</v>
      </c>
      <c r="O13" s="372"/>
    </row>
    <row r="14" ht="27.95" customHeight="1" spans="1:15">
      <c r="A14" s="360">
        <v>2010108</v>
      </c>
      <c r="B14" s="361" t="s">
        <v>52</v>
      </c>
      <c r="C14" s="362">
        <v>72.4</v>
      </c>
      <c r="D14" s="362">
        <v>0</v>
      </c>
      <c r="E14" s="362">
        <f t="shared" si="0"/>
        <v>72.4</v>
      </c>
      <c r="F14" s="362"/>
      <c r="G14" s="362"/>
      <c r="H14" s="362"/>
      <c r="I14" s="362"/>
      <c r="J14" s="362">
        <f t="shared" si="2"/>
        <v>0</v>
      </c>
      <c r="K14" s="362">
        <f t="shared" si="3"/>
        <v>72.4</v>
      </c>
      <c r="L14" s="362"/>
      <c r="M14" s="362">
        <f t="shared" si="4"/>
        <v>72.4</v>
      </c>
      <c r="N14" s="362">
        <f t="shared" si="1"/>
        <v>0</v>
      </c>
      <c r="O14" s="372"/>
    </row>
    <row r="15" ht="27.95" customHeight="1" spans="1:15">
      <c r="A15" s="360">
        <v>2010199</v>
      </c>
      <c r="B15" s="361" t="s">
        <v>53</v>
      </c>
      <c r="C15" s="362">
        <v>10</v>
      </c>
      <c r="D15" s="362">
        <v>0</v>
      </c>
      <c r="E15" s="362">
        <f t="shared" si="0"/>
        <v>10</v>
      </c>
      <c r="F15" s="362"/>
      <c r="G15" s="362"/>
      <c r="H15" s="362"/>
      <c r="I15" s="362"/>
      <c r="J15" s="362">
        <f t="shared" si="2"/>
        <v>0</v>
      </c>
      <c r="K15" s="362">
        <f t="shared" si="3"/>
        <v>10</v>
      </c>
      <c r="L15" s="362"/>
      <c r="M15" s="362">
        <f t="shared" si="4"/>
        <v>10</v>
      </c>
      <c r="N15" s="362">
        <f t="shared" si="1"/>
        <v>0</v>
      </c>
      <c r="O15" s="372"/>
    </row>
    <row r="16" ht="27.95" customHeight="1" spans="1:15">
      <c r="A16" s="360">
        <v>20102</v>
      </c>
      <c r="B16" s="361" t="s">
        <v>54</v>
      </c>
      <c r="C16" s="362">
        <v>243.95</v>
      </c>
      <c r="D16" s="362">
        <v>0</v>
      </c>
      <c r="E16" s="362">
        <f t="shared" si="0"/>
        <v>243.95</v>
      </c>
      <c r="F16" s="362">
        <f>F17</f>
        <v>38</v>
      </c>
      <c r="G16" s="362"/>
      <c r="H16" s="362"/>
      <c r="I16" s="362"/>
      <c r="J16" s="362">
        <f t="shared" si="2"/>
        <v>0</v>
      </c>
      <c r="K16" s="362">
        <f t="shared" si="3"/>
        <v>281.95</v>
      </c>
      <c r="L16" s="362"/>
      <c r="M16" s="362">
        <f t="shared" si="4"/>
        <v>281.95</v>
      </c>
      <c r="N16" s="362">
        <f t="shared" si="1"/>
        <v>15.576962492314</v>
      </c>
      <c r="O16" s="372"/>
    </row>
    <row r="17" ht="27.95" customHeight="1" spans="1:15">
      <c r="A17" s="360">
        <v>2010201</v>
      </c>
      <c r="B17" s="361" t="s">
        <v>46</v>
      </c>
      <c r="C17" s="362">
        <v>199.95</v>
      </c>
      <c r="D17" s="362">
        <v>0</v>
      </c>
      <c r="E17" s="362">
        <f t="shared" si="0"/>
        <v>199.95</v>
      </c>
      <c r="F17" s="362">
        <v>38</v>
      </c>
      <c r="G17" s="362"/>
      <c r="H17" s="362"/>
      <c r="I17" s="362"/>
      <c r="J17" s="362">
        <f t="shared" si="2"/>
        <v>0</v>
      </c>
      <c r="K17" s="362">
        <f t="shared" si="3"/>
        <v>237.95</v>
      </c>
      <c r="L17" s="362"/>
      <c r="M17" s="362">
        <f t="shared" si="4"/>
        <v>237.95</v>
      </c>
      <c r="N17" s="362">
        <f t="shared" si="1"/>
        <v>19.0047511877969</v>
      </c>
      <c r="O17" s="372" t="s">
        <v>47</v>
      </c>
    </row>
    <row r="18" ht="27.95" customHeight="1" spans="1:15">
      <c r="A18" s="360">
        <v>2010204</v>
      </c>
      <c r="B18" s="361" t="s">
        <v>55</v>
      </c>
      <c r="C18" s="362">
        <v>22</v>
      </c>
      <c r="D18" s="362">
        <v>0</v>
      </c>
      <c r="E18" s="362">
        <f t="shared" si="0"/>
        <v>22</v>
      </c>
      <c r="F18" s="362"/>
      <c r="G18" s="362"/>
      <c r="H18" s="362"/>
      <c r="I18" s="362"/>
      <c r="J18" s="362">
        <f t="shared" si="2"/>
        <v>0</v>
      </c>
      <c r="K18" s="362">
        <f t="shared" si="3"/>
        <v>22</v>
      </c>
      <c r="L18" s="362"/>
      <c r="M18" s="362">
        <f t="shared" si="4"/>
        <v>22</v>
      </c>
      <c r="N18" s="362">
        <f t="shared" si="1"/>
        <v>0</v>
      </c>
      <c r="O18" s="372"/>
    </row>
    <row r="19" ht="27.95" customHeight="1" spans="1:15">
      <c r="A19" s="360">
        <v>2010205</v>
      </c>
      <c r="B19" s="361" t="s">
        <v>56</v>
      </c>
      <c r="C19" s="362">
        <v>10</v>
      </c>
      <c r="D19" s="362">
        <v>0</v>
      </c>
      <c r="E19" s="362">
        <f t="shared" si="0"/>
        <v>10</v>
      </c>
      <c r="F19" s="362"/>
      <c r="G19" s="362"/>
      <c r="H19" s="362"/>
      <c r="I19" s="362"/>
      <c r="J19" s="362">
        <f t="shared" si="2"/>
        <v>0</v>
      </c>
      <c r="K19" s="362">
        <f t="shared" si="3"/>
        <v>10</v>
      </c>
      <c r="L19" s="362"/>
      <c r="M19" s="362">
        <f t="shared" si="4"/>
        <v>10</v>
      </c>
      <c r="N19" s="362">
        <f t="shared" si="1"/>
        <v>0</v>
      </c>
      <c r="O19" s="372"/>
    </row>
    <row r="20" ht="27.95" customHeight="1" spans="1:15">
      <c r="A20" s="360">
        <v>2010206</v>
      </c>
      <c r="B20" s="361" t="s">
        <v>57</v>
      </c>
      <c r="C20" s="362">
        <v>9</v>
      </c>
      <c r="D20" s="362">
        <v>0</v>
      </c>
      <c r="E20" s="362">
        <f t="shared" si="0"/>
        <v>9</v>
      </c>
      <c r="F20" s="362"/>
      <c r="G20" s="362"/>
      <c r="H20" s="362"/>
      <c r="I20" s="362"/>
      <c r="J20" s="362">
        <f t="shared" si="2"/>
        <v>0</v>
      </c>
      <c r="K20" s="362">
        <f t="shared" si="3"/>
        <v>9</v>
      </c>
      <c r="L20" s="362"/>
      <c r="M20" s="362">
        <f t="shared" si="4"/>
        <v>9</v>
      </c>
      <c r="N20" s="362">
        <f t="shared" si="1"/>
        <v>0</v>
      </c>
      <c r="O20" s="372"/>
    </row>
    <row r="21" ht="27.95" customHeight="1" spans="1:15">
      <c r="A21" s="360">
        <v>2010299</v>
      </c>
      <c r="B21" s="361" t="s">
        <v>58</v>
      </c>
      <c r="C21" s="362">
        <v>3</v>
      </c>
      <c r="D21" s="362">
        <v>0</v>
      </c>
      <c r="E21" s="362">
        <f t="shared" si="0"/>
        <v>3</v>
      </c>
      <c r="F21" s="362"/>
      <c r="G21" s="362"/>
      <c r="H21" s="362"/>
      <c r="I21" s="362"/>
      <c r="J21" s="362">
        <f t="shared" si="2"/>
        <v>0</v>
      </c>
      <c r="K21" s="362">
        <f t="shared" si="3"/>
        <v>3</v>
      </c>
      <c r="L21" s="362"/>
      <c r="M21" s="362">
        <f t="shared" si="4"/>
        <v>3</v>
      </c>
      <c r="N21" s="362">
        <f t="shared" si="1"/>
        <v>0</v>
      </c>
      <c r="O21" s="372"/>
    </row>
    <row r="22" ht="27.95" customHeight="1" spans="1:15">
      <c r="A22" s="360">
        <v>20103</v>
      </c>
      <c r="B22" s="361" t="s">
        <v>59</v>
      </c>
      <c r="C22" s="362">
        <v>4092.54</v>
      </c>
      <c r="D22" s="362">
        <v>0</v>
      </c>
      <c r="E22" s="362">
        <f t="shared" si="0"/>
        <v>4092.54</v>
      </c>
      <c r="F22" s="362">
        <f>F23</f>
        <v>94</v>
      </c>
      <c r="G22" s="362"/>
      <c r="H22" s="362"/>
      <c r="I22" s="362"/>
      <c r="J22" s="362">
        <f t="shared" si="2"/>
        <v>0</v>
      </c>
      <c r="K22" s="362">
        <f t="shared" si="3"/>
        <v>4186.54</v>
      </c>
      <c r="L22" s="362"/>
      <c r="M22" s="362">
        <f t="shared" si="4"/>
        <v>4186.54</v>
      </c>
      <c r="N22" s="362">
        <f t="shared" si="1"/>
        <v>2.29686209542239</v>
      </c>
      <c r="O22" s="372"/>
    </row>
    <row r="23" ht="27.95" customHeight="1" spans="1:15">
      <c r="A23" s="360">
        <v>2010301</v>
      </c>
      <c r="B23" s="361" t="s">
        <v>46</v>
      </c>
      <c r="C23" s="362">
        <v>2007.58</v>
      </c>
      <c r="D23" s="362">
        <v>0</v>
      </c>
      <c r="E23" s="362">
        <f t="shared" si="0"/>
        <v>2007.58</v>
      </c>
      <c r="F23" s="362">
        <v>94</v>
      </c>
      <c r="G23" s="362"/>
      <c r="H23" s="362"/>
      <c r="I23" s="362"/>
      <c r="J23" s="362">
        <f t="shared" si="2"/>
        <v>0</v>
      </c>
      <c r="K23" s="362">
        <f t="shared" si="3"/>
        <v>2101.58</v>
      </c>
      <c r="L23" s="362"/>
      <c r="M23" s="362">
        <f t="shared" si="4"/>
        <v>2101.58</v>
      </c>
      <c r="N23" s="362">
        <f t="shared" si="1"/>
        <v>4.68225425636837</v>
      </c>
      <c r="O23" s="372" t="s">
        <v>47</v>
      </c>
    </row>
    <row r="24" ht="27.95" customHeight="1" spans="1:15">
      <c r="A24" s="360">
        <v>2010302</v>
      </c>
      <c r="B24" s="361" t="s">
        <v>48</v>
      </c>
      <c r="C24" s="362">
        <v>19.88</v>
      </c>
      <c r="D24" s="362">
        <v>0</v>
      </c>
      <c r="E24" s="362">
        <f t="shared" si="0"/>
        <v>19.88</v>
      </c>
      <c r="F24" s="362"/>
      <c r="G24" s="362"/>
      <c r="H24" s="362"/>
      <c r="I24" s="362"/>
      <c r="J24" s="362">
        <f t="shared" si="2"/>
        <v>0</v>
      </c>
      <c r="K24" s="362">
        <f t="shared" si="3"/>
        <v>19.88</v>
      </c>
      <c r="L24" s="362"/>
      <c r="M24" s="362">
        <f t="shared" si="4"/>
        <v>19.88</v>
      </c>
      <c r="N24" s="362">
        <f t="shared" si="1"/>
        <v>0</v>
      </c>
      <c r="O24" s="372"/>
    </row>
    <row r="25" ht="27.95" customHeight="1" spans="1:15">
      <c r="A25" s="360">
        <v>2010399</v>
      </c>
      <c r="B25" s="361" t="s">
        <v>60</v>
      </c>
      <c r="C25" s="362">
        <v>2065.08</v>
      </c>
      <c r="D25" s="362">
        <v>0</v>
      </c>
      <c r="E25" s="362">
        <f t="shared" si="0"/>
        <v>2065.08</v>
      </c>
      <c r="F25" s="362"/>
      <c r="G25" s="362"/>
      <c r="H25" s="362"/>
      <c r="I25" s="362"/>
      <c r="J25" s="362">
        <f t="shared" si="2"/>
        <v>0</v>
      </c>
      <c r="K25" s="362">
        <f t="shared" si="3"/>
        <v>2065.08</v>
      </c>
      <c r="L25" s="362"/>
      <c r="M25" s="362">
        <f t="shared" si="4"/>
        <v>2065.08</v>
      </c>
      <c r="N25" s="362">
        <f t="shared" si="1"/>
        <v>0</v>
      </c>
      <c r="O25" s="372"/>
    </row>
    <row r="26" ht="27.95" customHeight="1" spans="1:15">
      <c r="A26" s="360">
        <v>20104</v>
      </c>
      <c r="B26" s="361" t="s">
        <v>61</v>
      </c>
      <c r="C26" s="362">
        <v>447.27</v>
      </c>
      <c r="D26" s="362">
        <v>5</v>
      </c>
      <c r="E26" s="362">
        <f t="shared" si="0"/>
        <v>452.27</v>
      </c>
      <c r="F26" s="362">
        <f>F27+F30</f>
        <v>16</v>
      </c>
      <c r="G26" s="362"/>
      <c r="H26" s="362"/>
      <c r="I26" s="362"/>
      <c r="J26" s="362">
        <f t="shared" si="2"/>
        <v>0</v>
      </c>
      <c r="K26" s="362">
        <f t="shared" si="3"/>
        <v>463.27</v>
      </c>
      <c r="L26" s="362">
        <v>5</v>
      </c>
      <c r="M26" s="362">
        <f t="shared" si="4"/>
        <v>468.27</v>
      </c>
      <c r="N26" s="362">
        <f t="shared" si="1"/>
        <v>3.53770977513432</v>
      </c>
      <c r="O26" s="372"/>
    </row>
    <row r="27" ht="27.95" customHeight="1" spans="1:15">
      <c r="A27" s="360">
        <v>2010401</v>
      </c>
      <c r="B27" s="361" t="s">
        <v>46</v>
      </c>
      <c r="C27" s="362">
        <v>157.41</v>
      </c>
      <c r="D27" s="362">
        <v>0</v>
      </c>
      <c r="E27" s="362">
        <f t="shared" si="0"/>
        <v>157.41</v>
      </c>
      <c r="F27" s="362">
        <v>15</v>
      </c>
      <c r="G27" s="362"/>
      <c r="H27" s="362"/>
      <c r="I27" s="362"/>
      <c r="J27" s="362">
        <f t="shared" si="2"/>
        <v>0</v>
      </c>
      <c r="K27" s="362">
        <f t="shared" si="3"/>
        <v>172.41</v>
      </c>
      <c r="L27" s="362"/>
      <c r="M27" s="362">
        <f t="shared" si="4"/>
        <v>172.41</v>
      </c>
      <c r="N27" s="362">
        <f t="shared" si="1"/>
        <v>9.52925481227369</v>
      </c>
      <c r="O27" s="372" t="s">
        <v>47</v>
      </c>
    </row>
    <row r="28" ht="27.95" customHeight="1" spans="1:15">
      <c r="A28" s="360">
        <v>2010402</v>
      </c>
      <c r="B28" s="361" t="s">
        <v>48</v>
      </c>
      <c r="C28" s="362">
        <v>18</v>
      </c>
      <c r="D28" s="362">
        <v>0</v>
      </c>
      <c r="E28" s="362">
        <f t="shared" si="0"/>
        <v>18</v>
      </c>
      <c r="F28" s="362"/>
      <c r="G28" s="362"/>
      <c r="H28" s="362"/>
      <c r="I28" s="362"/>
      <c r="J28" s="362">
        <f t="shared" si="2"/>
        <v>0</v>
      </c>
      <c r="K28" s="362">
        <f t="shared" si="3"/>
        <v>18</v>
      </c>
      <c r="L28" s="362"/>
      <c r="M28" s="362">
        <f t="shared" si="4"/>
        <v>18</v>
      </c>
      <c r="N28" s="362">
        <f t="shared" si="1"/>
        <v>0</v>
      </c>
      <c r="O28" s="372"/>
    </row>
    <row r="29" ht="27.95" customHeight="1" spans="1:15">
      <c r="A29" s="360">
        <v>2010404</v>
      </c>
      <c r="B29" s="361" t="s">
        <v>62</v>
      </c>
      <c r="C29" s="362">
        <v>3</v>
      </c>
      <c r="D29" s="362">
        <v>0</v>
      </c>
      <c r="E29" s="362">
        <f t="shared" si="0"/>
        <v>3</v>
      </c>
      <c r="F29" s="362"/>
      <c r="G29" s="362"/>
      <c r="H29" s="362"/>
      <c r="I29" s="362"/>
      <c r="J29" s="362">
        <f t="shared" si="2"/>
        <v>0</v>
      </c>
      <c r="K29" s="362">
        <f t="shared" si="3"/>
        <v>3</v>
      </c>
      <c r="L29" s="362"/>
      <c r="M29" s="362">
        <f t="shared" si="4"/>
        <v>3</v>
      </c>
      <c r="N29" s="362">
        <f t="shared" si="1"/>
        <v>0</v>
      </c>
      <c r="O29" s="372"/>
    </row>
    <row r="30" ht="27.95" customHeight="1" spans="1:15">
      <c r="A30" s="360">
        <v>2010499</v>
      </c>
      <c r="B30" s="361" t="s">
        <v>63</v>
      </c>
      <c r="C30" s="362">
        <v>268.86</v>
      </c>
      <c r="D30" s="362">
        <v>5</v>
      </c>
      <c r="E30" s="362">
        <f t="shared" si="0"/>
        <v>273.86</v>
      </c>
      <c r="F30" s="362">
        <v>1</v>
      </c>
      <c r="G30" s="362"/>
      <c r="H30" s="362"/>
      <c r="I30" s="362"/>
      <c r="J30" s="362">
        <f t="shared" si="2"/>
        <v>0</v>
      </c>
      <c r="K30" s="362">
        <f t="shared" si="3"/>
        <v>269.86</v>
      </c>
      <c r="L30" s="362">
        <f>VLOOKUP(A30,[1]Sheet1!$D$1:$E$65536,2,0)</f>
        <v>5</v>
      </c>
      <c r="M30" s="362">
        <f t="shared" si="4"/>
        <v>274.86</v>
      </c>
      <c r="N30" s="362">
        <f t="shared" si="1"/>
        <v>0.36515007668152</v>
      </c>
      <c r="O30" s="372" t="s">
        <v>47</v>
      </c>
    </row>
    <row r="31" ht="27.95" customHeight="1" spans="1:15">
      <c r="A31" s="360">
        <v>20105</v>
      </c>
      <c r="B31" s="361" t="s">
        <v>64</v>
      </c>
      <c r="C31" s="362">
        <v>245.86</v>
      </c>
      <c r="D31" s="362">
        <v>0</v>
      </c>
      <c r="E31" s="362">
        <f t="shared" si="0"/>
        <v>245.86</v>
      </c>
      <c r="F31" s="362">
        <f>F32</f>
        <v>20</v>
      </c>
      <c r="G31" s="362"/>
      <c r="H31" s="362"/>
      <c r="I31" s="362"/>
      <c r="J31" s="362">
        <f t="shared" si="2"/>
        <v>0</v>
      </c>
      <c r="K31" s="362">
        <f t="shared" si="3"/>
        <v>265.86</v>
      </c>
      <c r="L31" s="362"/>
      <c r="M31" s="362">
        <f t="shared" si="4"/>
        <v>265.86</v>
      </c>
      <c r="N31" s="362">
        <f t="shared" si="1"/>
        <v>8.13471081103068</v>
      </c>
      <c r="O31" s="372"/>
    </row>
    <row r="32" ht="27.95" customHeight="1" spans="1:15">
      <c r="A32" s="360">
        <v>2010501</v>
      </c>
      <c r="B32" s="361" t="s">
        <v>46</v>
      </c>
      <c r="C32" s="362">
        <v>170.86</v>
      </c>
      <c r="D32" s="362">
        <v>0</v>
      </c>
      <c r="E32" s="362">
        <f t="shared" si="0"/>
        <v>170.86</v>
      </c>
      <c r="F32" s="362">
        <v>20</v>
      </c>
      <c r="G32" s="362"/>
      <c r="H32" s="362"/>
      <c r="I32" s="362"/>
      <c r="J32" s="362">
        <f t="shared" si="2"/>
        <v>0</v>
      </c>
      <c r="K32" s="362">
        <f t="shared" si="3"/>
        <v>190.86</v>
      </c>
      <c r="L32" s="362"/>
      <c r="M32" s="362">
        <f t="shared" si="4"/>
        <v>190.86</v>
      </c>
      <c r="N32" s="362">
        <f t="shared" si="1"/>
        <v>11.7054898747513</v>
      </c>
      <c r="O32" s="372" t="s">
        <v>47</v>
      </c>
    </row>
    <row r="33" ht="27.95" customHeight="1" spans="1:15">
      <c r="A33" s="360">
        <v>2010502</v>
      </c>
      <c r="B33" s="361" t="s">
        <v>48</v>
      </c>
      <c r="C33" s="362">
        <v>10</v>
      </c>
      <c r="D33" s="362">
        <v>0</v>
      </c>
      <c r="E33" s="362">
        <f t="shared" si="0"/>
        <v>10</v>
      </c>
      <c r="F33" s="362"/>
      <c r="G33" s="362"/>
      <c r="H33" s="362"/>
      <c r="I33" s="362"/>
      <c r="J33" s="362">
        <f t="shared" si="2"/>
        <v>0</v>
      </c>
      <c r="K33" s="362">
        <f t="shared" si="3"/>
        <v>10</v>
      </c>
      <c r="L33" s="362"/>
      <c r="M33" s="362">
        <f t="shared" si="4"/>
        <v>10</v>
      </c>
      <c r="N33" s="362">
        <f t="shared" si="1"/>
        <v>0</v>
      </c>
      <c r="O33" s="372"/>
    </row>
    <row r="34" ht="27.95" customHeight="1" spans="1:15">
      <c r="A34" s="360">
        <v>2010507</v>
      </c>
      <c r="B34" s="361" t="s">
        <v>65</v>
      </c>
      <c r="C34" s="362">
        <v>50</v>
      </c>
      <c r="D34" s="362">
        <v>0</v>
      </c>
      <c r="E34" s="362">
        <f t="shared" si="0"/>
        <v>50</v>
      </c>
      <c r="F34" s="362"/>
      <c r="G34" s="362"/>
      <c r="H34" s="362"/>
      <c r="I34" s="362"/>
      <c r="J34" s="362">
        <f t="shared" si="2"/>
        <v>0</v>
      </c>
      <c r="K34" s="362">
        <f t="shared" si="3"/>
        <v>50</v>
      </c>
      <c r="L34" s="362"/>
      <c r="M34" s="362">
        <f t="shared" si="4"/>
        <v>50</v>
      </c>
      <c r="N34" s="362">
        <f t="shared" si="1"/>
        <v>0</v>
      </c>
      <c r="O34" s="372"/>
    </row>
    <row r="35" ht="27.95" customHeight="1" spans="1:15">
      <c r="A35" s="360">
        <v>2010508</v>
      </c>
      <c r="B35" s="361" t="s">
        <v>66</v>
      </c>
      <c r="C35" s="362">
        <v>15</v>
      </c>
      <c r="D35" s="362">
        <v>0</v>
      </c>
      <c r="E35" s="362">
        <f t="shared" si="0"/>
        <v>15</v>
      </c>
      <c r="F35" s="362"/>
      <c r="G35" s="362"/>
      <c r="H35" s="362"/>
      <c r="I35" s="362"/>
      <c r="J35" s="362">
        <f t="shared" si="2"/>
        <v>0</v>
      </c>
      <c r="K35" s="362">
        <f t="shared" si="3"/>
        <v>15</v>
      </c>
      <c r="L35" s="362"/>
      <c r="M35" s="362">
        <f t="shared" si="4"/>
        <v>15</v>
      </c>
      <c r="N35" s="362">
        <f t="shared" si="1"/>
        <v>0</v>
      </c>
      <c r="O35" s="372"/>
    </row>
    <row r="36" ht="27.95" customHeight="1" spans="1:15">
      <c r="A36" s="360">
        <v>20106</v>
      </c>
      <c r="B36" s="361" t="s">
        <v>67</v>
      </c>
      <c r="C36" s="362">
        <v>833.98</v>
      </c>
      <c r="D36" s="362">
        <v>0</v>
      </c>
      <c r="E36" s="362">
        <f t="shared" si="0"/>
        <v>833.98</v>
      </c>
      <c r="F36" s="362">
        <f>F37</f>
        <v>40</v>
      </c>
      <c r="G36" s="362"/>
      <c r="H36" s="362"/>
      <c r="I36" s="362"/>
      <c r="J36" s="362">
        <f t="shared" si="2"/>
        <v>0</v>
      </c>
      <c r="K36" s="362">
        <f t="shared" si="3"/>
        <v>873.98</v>
      </c>
      <c r="L36" s="362"/>
      <c r="M36" s="362">
        <f t="shared" si="4"/>
        <v>873.98</v>
      </c>
      <c r="N36" s="362">
        <f t="shared" si="1"/>
        <v>4.79627808820355</v>
      </c>
      <c r="O36" s="372"/>
    </row>
    <row r="37" ht="27.95" customHeight="1" spans="1:15">
      <c r="A37" s="360">
        <v>2010601</v>
      </c>
      <c r="B37" s="361" t="s">
        <v>46</v>
      </c>
      <c r="C37" s="362">
        <v>474.06</v>
      </c>
      <c r="D37" s="362">
        <v>0</v>
      </c>
      <c r="E37" s="362">
        <f t="shared" si="0"/>
        <v>474.06</v>
      </c>
      <c r="F37" s="362">
        <v>40</v>
      </c>
      <c r="G37" s="362"/>
      <c r="H37" s="362"/>
      <c r="I37" s="362"/>
      <c r="J37" s="362">
        <f t="shared" si="2"/>
        <v>0</v>
      </c>
      <c r="K37" s="362">
        <f t="shared" si="3"/>
        <v>514.06</v>
      </c>
      <c r="L37" s="362"/>
      <c r="M37" s="362">
        <f t="shared" si="4"/>
        <v>514.06</v>
      </c>
      <c r="N37" s="362">
        <f t="shared" si="1"/>
        <v>8.43775049571782</v>
      </c>
      <c r="O37" s="372" t="s">
        <v>47</v>
      </c>
    </row>
    <row r="38" ht="27.95" customHeight="1" spans="1:15">
      <c r="A38" s="360">
        <v>2010604</v>
      </c>
      <c r="B38" s="361" t="s">
        <v>68</v>
      </c>
      <c r="C38" s="362">
        <v>10</v>
      </c>
      <c r="D38" s="362">
        <v>0</v>
      </c>
      <c r="E38" s="362">
        <f t="shared" si="0"/>
        <v>10</v>
      </c>
      <c r="F38" s="362"/>
      <c r="G38" s="362"/>
      <c r="H38" s="362"/>
      <c r="I38" s="362"/>
      <c r="J38" s="362">
        <f t="shared" si="2"/>
        <v>0</v>
      </c>
      <c r="K38" s="362">
        <f t="shared" si="3"/>
        <v>10</v>
      </c>
      <c r="L38" s="362"/>
      <c r="M38" s="362">
        <f t="shared" si="4"/>
        <v>10</v>
      </c>
      <c r="N38" s="362">
        <f t="shared" si="1"/>
        <v>0</v>
      </c>
      <c r="O38" s="372"/>
    </row>
    <row r="39" ht="27.95" customHeight="1" spans="1:15">
      <c r="A39" s="360">
        <v>2010605</v>
      </c>
      <c r="B39" s="361" t="s">
        <v>69</v>
      </c>
      <c r="C39" s="362">
        <v>11</v>
      </c>
      <c r="D39" s="362">
        <v>0</v>
      </c>
      <c r="E39" s="362">
        <f t="shared" ref="E39:E70" si="5">C39+D39</f>
        <v>11</v>
      </c>
      <c r="F39" s="362"/>
      <c r="G39" s="362"/>
      <c r="H39" s="362"/>
      <c r="I39" s="362"/>
      <c r="J39" s="362">
        <f t="shared" si="2"/>
        <v>0</v>
      </c>
      <c r="K39" s="362">
        <f t="shared" si="3"/>
        <v>11</v>
      </c>
      <c r="L39" s="362"/>
      <c r="M39" s="362">
        <f t="shared" si="4"/>
        <v>11</v>
      </c>
      <c r="N39" s="362">
        <f t="shared" ref="N39:N70" si="6">(M39/E39-1)*100</f>
        <v>0</v>
      </c>
      <c r="O39" s="372"/>
    </row>
    <row r="40" ht="27.95" customHeight="1" spans="1:15">
      <c r="A40" s="360">
        <v>2010607</v>
      </c>
      <c r="B40" s="361" t="s">
        <v>70</v>
      </c>
      <c r="C40" s="362">
        <v>50</v>
      </c>
      <c r="D40" s="362">
        <v>0</v>
      </c>
      <c r="E40" s="362">
        <f t="shared" si="5"/>
        <v>50</v>
      </c>
      <c r="F40" s="362"/>
      <c r="G40" s="362"/>
      <c r="H40" s="362"/>
      <c r="I40" s="362"/>
      <c r="J40" s="362">
        <f t="shared" ref="J40:J71" si="7">L40-D40</f>
        <v>0</v>
      </c>
      <c r="K40" s="362">
        <f t="shared" ref="K40:K71" si="8">F40+C40</f>
        <v>50</v>
      </c>
      <c r="L40" s="362"/>
      <c r="M40" s="362">
        <f t="shared" ref="M40:M63" si="9">K40+L40</f>
        <v>50</v>
      </c>
      <c r="N40" s="362">
        <f t="shared" si="6"/>
        <v>0</v>
      </c>
      <c r="O40" s="372"/>
    </row>
    <row r="41" ht="27.95" customHeight="1" spans="1:15">
      <c r="A41" s="360">
        <v>2010699</v>
      </c>
      <c r="B41" s="361" t="s">
        <v>71</v>
      </c>
      <c r="C41" s="362">
        <v>288.92</v>
      </c>
      <c r="D41" s="362">
        <v>0</v>
      </c>
      <c r="E41" s="362">
        <f t="shared" si="5"/>
        <v>288.92</v>
      </c>
      <c r="F41" s="362"/>
      <c r="G41" s="362"/>
      <c r="H41" s="362"/>
      <c r="I41" s="362"/>
      <c r="J41" s="362">
        <f t="shared" si="7"/>
        <v>0</v>
      </c>
      <c r="K41" s="362">
        <f t="shared" si="8"/>
        <v>288.92</v>
      </c>
      <c r="L41" s="362"/>
      <c r="M41" s="362">
        <f t="shared" si="9"/>
        <v>288.92</v>
      </c>
      <c r="N41" s="362">
        <f t="shared" si="6"/>
        <v>0</v>
      </c>
      <c r="O41" s="372"/>
    </row>
    <row r="42" ht="27.95" customHeight="1" spans="1:15">
      <c r="A42" s="360">
        <v>20107</v>
      </c>
      <c r="B42" s="361" t="s">
        <v>72</v>
      </c>
      <c r="C42" s="362">
        <v>2595.99</v>
      </c>
      <c r="D42" s="362">
        <v>36</v>
      </c>
      <c r="E42" s="362">
        <f t="shared" si="5"/>
        <v>2631.99</v>
      </c>
      <c r="F42" s="362"/>
      <c r="G42" s="362"/>
      <c r="H42" s="362"/>
      <c r="I42" s="362"/>
      <c r="J42" s="362">
        <f t="shared" si="7"/>
        <v>0</v>
      </c>
      <c r="K42" s="362">
        <f t="shared" si="8"/>
        <v>2595.99</v>
      </c>
      <c r="L42" s="362">
        <v>36</v>
      </c>
      <c r="M42" s="362">
        <f t="shared" si="9"/>
        <v>2631.99</v>
      </c>
      <c r="N42" s="362">
        <f t="shared" si="6"/>
        <v>0</v>
      </c>
      <c r="O42" s="372"/>
    </row>
    <row r="43" ht="27.95" customHeight="1" spans="1:15">
      <c r="A43" s="360">
        <v>2010799</v>
      </c>
      <c r="B43" s="361" t="s">
        <v>73</v>
      </c>
      <c r="C43" s="362">
        <v>2595.99</v>
      </c>
      <c r="D43" s="362">
        <v>36</v>
      </c>
      <c r="E43" s="362">
        <f t="shared" si="5"/>
        <v>2631.99</v>
      </c>
      <c r="F43" s="362"/>
      <c r="G43" s="362"/>
      <c r="H43" s="362"/>
      <c r="I43" s="362"/>
      <c r="J43" s="362">
        <f t="shared" si="7"/>
        <v>0</v>
      </c>
      <c r="K43" s="362">
        <f t="shared" si="8"/>
        <v>2595.99</v>
      </c>
      <c r="L43" s="362">
        <f>VLOOKUP(A43,[1]Sheet1!$D$1:$E$65536,2,0)</f>
        <v>36</v>
      </c>
      <c r="M43" s="362">
        <f t="shared" si="9"/>
        <v>2631.99</v>
      </c>
      <c r="N43" s="362">
        <f t="shared" si="6"/>
        <v>0</v>
      </c>
      <c r="O43" s="372"/>
    </row>
    <row r="44" ht="27.95" customHeight="1" spans="1:15">
      <c r="A44" s="360">
        <v>20108</v>
      </c>
      <c r="B44" s="361" t="s">
        <v>74</v>
      </c>
      <c r="C44" s="362">
        <v>219.25</v>
      </c>
      <c r="D44" s="362">
        <v>0</v>
      </c>
      <c r="E44" s="362">
        <f t="shared" si="5"/>
        <v>219.25</v>
      </c>
      <c r="F44" s="362">
        <f>F45+F48</f>
        <v>15</v>
      </c>
      <c r="G44" s="362"/>
      <c r="H44" s="362"/>
      <c r="I44" s="362"/>
      <c r="J44" s="362">
        <f t="shared" si="7"/>
        <v>0</v>
      </c>
      <c r="K44" s="362">
        <f t="shared" si="8"/>
        <v>234.25</v>
      </c>
      <c r="L44" s="362"/>
      <c r="M44" s="362">
        <f t="shared" si="9"/>
        <v>234.25</v>
      </c>
      <c r="N44" s="362">
        <f t="shared" si="6"/>
        <v>6.84150513112884</v>
      </c>
      <c r="O44" s="372"/>
    </row>
    <row r="45" ht="27.95" customHeight="1" spans="1:15">
      <c r="A45" s="360">
        <v>2010801</v>
      </c>
      <c r="B45" s="361" t="s">
        <v>46</v>
      </c>
      <c r="C45" s="362">
        <v>148.92</v>
      </c>
      <c r="D45" s="362">
        <v>0</v>
      </c>
      <c r="E45" s="362">
        <f t="shared" si="5"/>
        <v>148.92</v>
      </c>
      <c r="F45" s="362">
        <v>14</v>
      </c>
      <c r="G45" s="362"/>
      <c r="H45" s="362"/>
      <c r="I45" s="362"/>
      <c r="J45" s="362">
        <f t="shared" si="7"/>
        <v>0</v>
      </c>
      <c r="K45" s="362">
        <f t="shared" si="8"/>
        <v>162.92</v>
      </c>
      <c r="L45" s="362"/>
      <c r="M45" s="362">
        <f t="shared" si="9"/>
        <v>162.92</v>
      </c>
      <c r="N45" s="362">
        <f t="shared" si="6"/>
        <v>9.40102068224551</v>
      </c>
      <c r="O45" s="372" t="s">
        <v>47</v>
      </c>
    </row>
    <row r="46" ht="27.95" customHeight="1" spans="1:15">
      <c r="A46" s="360">
        <v>2010804</v>
      </c>
      <c r="B46" s="361" t="s">
        <v>75</v>
      </c>
      <c r="C46" s="362">
        <v>36</v>
      </c>
      <c r="D46" s="362">
        <v>0</v>
      </c>
      <c r="E46" s="362">
        <f t="shared" si="5"/>
        <v>36</v>
      </c>
      <c r="F46" s="362"/>
      <c r="G46" s="362"/>
      <c r="H46" s="362"/>
      <c r="I46" s="362"/>
      <c r="J46" s="362">
        <f t="shared" si="7"/>
        <v>0</v>
      </c>
      <c r="K46" s="362">
        <f t="shared" si="8"/>
        <v>36</v>
      </c>
      <c r="L46" s="362"/>
      <c r="M46" s="362">
        <f t="shared" si="9"/>
        <v>36</v>
      </c>
      <c r="N46" s="362">
        <f t="shared" si="6"/>
        <v>0</v>
      </c>
      <c r="O46" s="372"/>
    </row>
    <row r="47" ht="27.95" customHeight="1" spans="1:15">
      <c r="A47" s="360">
        <v>2010806</v>
      </c>
      <c r="B47" s="361" t="s">
        <v>70</v>
      </c>
      <c r="C47" s="362">
        <v>1</v>
      </c>
      <c r="D47" s="362">
        <v>0</v>
      </c>
      <c r="E47" s="362">
        <f t="shared" si="5"/>
        <v>1</v>
      </c>
      <c r="F47" s="362"/>
      <c r="G47" s="362"/>
      <c r="H47" s="362"/>
      <c r="I47" s="362"/>
      <c r="J47" s="362">
        <f t="shared" si="7"/>
        <v>0</v>
      </c>
      <c r="K47" s="362">
        <f t="shared" si="8"/>
        <v>1</v>
      </c>
      <c r="L47" s="362"/>
      <c r="M47" s="362">
        <f t="shared" si="9"/>
        <v>1</v>
      </c>
      <c r="N47" s="362">
        <f t="shared" si="6"/>
        <v>0</v>
      </c>
      <c r="O47" s="372"/>
    </row>
    <row r="48" ht="27.95" customHeight="1" spans="1:15">
      <c r="A48" s="360">
        <v>2010850</v>
      </c>
      <c r="B48" s="361" t="s">
        <v>76</v>
      </c>
      <c r="C48" s="362">
        <v>19.33</v>
      </c>
      <c r="D48" s="362">
        <v>0</v>
      </c>
      <c r="E48" s="362">
        <f t="shared" si="5"/>
        <v>19.33</v>
      </c>
      <c r="F48" s="362">
        <v>1</v>
      </c>
      <c r="G48" s="362"/>
      <c r="H48" s="362"/>
      <c r="I48" s="362"/>
      <c r="J48" s="362">
        <f t="shared" si="7"/>
        <v>0</v>
      </c>
      <c r="K48" s="362">
        <f t="shared" si="8"/>
        <v>20.33</v>
      </c>
      <c r="L48" s="362"/>
      <c r="M48" s="362">
        <f t="shared" si="9"/>
        <v>20.33</v>
      </c>
      <c r="N48" s="362">
        <f t="shared" si="6"/>
        <v>5.17330574236938</v>
      </c>
      <c r="O48" s="372" t="s">
        <v>47</v>
      </c>
    </row>
    <row r="49" ht="27.95" customHeight="1" spans="1:15">
      <c r="A49" s="360">
        <v>2010899</v>
      </c>
      <c r="B49" s="361" t="s">
        <v>77</v>
      </c>
      <c r="C49" s="362">
        <v>14</v>
      </c>
      <c r="D49" s="362">
        <v>0</v>
      </c>
      <c r="E49" s="362">
        <f t="shared" si="5"/>
        <v>14</v>
      </c>
      <c r="F49" s="362"/>
      <c r="G49" s="362"/>
      <c r="H49" s="362"/>
      <c r="I49" s="362"/>
      <c r="J49" s="362">
        <f t="shared" si="7"/>
        <v>0</v>
      </c>
      <c r="K49" s="362">
        <f t="shared" si="8"/>
        <v>14</v>
      </c>
      <c r="L49" s="362"/>
      <c r="M49" s="362">
        <f t="shared" si="9"/>
        <v>14</v>
      </c>
      <c r="N49" s="362">
        <f t="shared" si="6"/>
        <v>0</v>
      </c>
      <c r="O49" s="372"/>
    </row>
    <row r="50" ht="27.95" customHeight="1" spans="1:15">
      <c r="A50" s="360">
        <v>20110</v>
      </c>
      <c r="B50" s="361" t="s">
        <v>78</v>
      </c>
      <c r="C50" s="362">
        <v>61.19</v>
      </c>
      <c r="D50" s="362">
        <v>1.6</v>
      </c>
      <c r="E50" s="362">
        <f t="shared" si="5"/>
        <v>62.79</v>
      </c>
      <c r="F50" s="362">
        <v>1</v>
      </c>
      <c r="G50" s="362"/>
      <c r="H50" s="362"/>
      <c r="I50" s="362"/>
      <c r="J50" s="362">
        <f t="shared" si="7"/>
        <v>0</v>
      </c>
      <c r="K50" s="362">
        <f t="shared" si="8"/>
        <v>62.19</v>
      </c>
      <c r="L50" s="362">
        <v>1.6</v>
      </c>
      <c r="M50" s="362">
        <f t="shared" si="9"/>
        <v>63.79</v>
      </c>
      <c r="N50" s="362">
        <f t="shared" si="6"/>
        <v>1.59261028826245</v>
      </c>
      <c r="O50" s="372"/>
    </row>
    <row r="51" ht="27.95" customHeight="1" spans="1:15">
      <c r="A51" s="360">
        <v>2011006</v>
      </c>
      <c r="B51" s="361" t="s">
        <v>79</v>
      </c>
      <c r="C51" s="362">
        <v>53.32</v>
      </c>
      <c r="D51" s="362">
        <v>1.6</v>
      </c>
      <c r="E51" s="362">
        <f t="shared" si="5"/>
        <v>54.92</v>
      </c>
      <c r="F51" s="362"/>
      <c r="G51" s="362"/>
      <c r="H51" s="362"/>
      <c r="I51" s="362"/>
      <c r="J51" s="362">
        <f t="shared" si="7"/>
        <v>0</v>
      </c>
      <c r="K51" s="362">
        <f t="shared" si="8"/>
        <v>53.32</v>
      </c>
      <c r="L51" s="362">
        <f>VLOOKUP(A51,[1]Sheet1!$D$1:$E$65536,2,0)</f>
        <v>1.6</v>
      </c>
      <c r="M51" s="362">
        <f t="shared" si="9"/>
        <v>54.92</v>
      </c>
      <c r="N51" s="362">
        <f t="shared" si="6"/>
        <v>0</v>
      </c>
      <c r="O51" s="372"/>
    </row>
    <row r="52" ht="27.95" customHeight="1" spans="1:15">
      <c r="A52" s="360">
        <v>2011050</v>
      </c>
      <c r="B52" s="361" t="s">
        <v>76</v>
      </c>
      <c r="C52" s="362">
        <v>7.87</v>
      </c>
      <c r="D52" s="362">
        <v>0</v>
      </c>
      <c r="E52" s="362">
        <f t="shared" si="5"/>
        <v>7.87</v>
      </c>
      <c r="F52" s="362">
        <v>1</v>
      </c>
      <c r="G52" s="362"/>
      <c r="H52" s="362"/>
      <c r="I52" s="362"/>
      <c r="J52" s="362">
        <f t="shared" si="7"/>
        <v>0</v>
      </c>
      <c r="K52" s="362">
        <f t="shared" si="8"/>
        <v>8.87</v>
      </c>
      <c r="L52" s="362"/>
      <c r="M52" s="362">
        <f t="shared" si="9"/>
        <v>8.87</v>
      </c>
      <c r="N52" s="362">
        <f t="shared" si="6"/>
        <v>12.7064803049555</v>
      </c>
      <c r="O52" s="372" t="s">
        <v>47</v>
      </c>
    </row>
    <row r="53" ht="27.95" customHeight="1" spans="1:15">
      <c r="A53" s="360">
        <v>20111</v>
      </c>
      <c r="B53" s="361" t="s">
        <v>80</v>
      </c>
      <c r="C53" s="362">
        <v>619.71</v>
      </c>
      <c r="D53" s="362">
        <v>20</v>
      </c>
      <c r="E53" s="362">
        <f t="shared" si="5"/>
        <v>639.71</v>
      </c>
      <c r="F53" s="362">
        <v>60</v>
      </c>
      <c r="G53" s="362"/>
      <c r="H53" s="362"/>
      <c r="I53" s="362"/>
      <c r="J53" s="362">
        <f t="shared" si="7"/>
        <v>0</v>
      </c>
      <c r="K53" s="362">
        <f t="shared" si="8"/>
        <v>679.71</v>
      </c>
      <c r="L53" s="362">
        <v>20</v>
      </c>
      <c r="M53" s="362">
        <f t="shared" si="9"/>
        <v>699.71</v>
      </c>
      <c r="N53" s="362">
        <f t="shared" si="6"/>
        <v>9.37924997264385</v>
      </c>
      <c r="O53" s="372"/>
    </row>
    <row r="54" ht="27.95" customHeight="1" spans="1:15">
      <c r="A54" s="360">
        <v>2011101</v>
      </c>
      <c r="B54" s="361" t="s">
        <v>46</v>
      </c>
      <c r="C54" s="362">
        <v>497.76</v>
      </c>
      <c r="D54" s="362">
        <v>0</v>
      </c>
      <c r="E54" s="362">
        <f t="shared" si="5"/>
        <v>497.76</v>
      </c>
      <c r="F54" s="362">
        <v>60</v>
      </c>
      <c r="G54" s="362"/>
      <c r="H54" s="362"/>
      <c r="I54" s="362"/>
      <c r="J54" s="362">
        <f t="shared" si="7"/>
        <v>0</v>
      </c>
      <c r="K54" s="362">
        <f t="shared" si="8"/>
        <v>557.76</v>
      </c>
      <c r="L54" s="362"/>
      <c r="M54" s="362">
        <f t="shared" si="9"/>
        <v>557.76</v>
      </c>
      <c r="N54" s="362">
        <f t="shared" si="6"/>
        <v>12.0540019286403</v>
      </c>
      <c r="O54" s="372" t="s">
        <v>47</v>
      </c>
    </row>
    <row r="55" ht="27.95" customHeight="1" spans="1:15">
      <c r="A55" s="360">
        <v>2011104</v>
      </c>
      <c r="B55" s="361" t="s">
        <v>81</v>
      </c>
      <c r="C55" s="362">
        <v>26.35</v>
      </c>
      <c r="D55" s="362">
        <v>0</v>
      </c>
      <c r="E55" s="362">
        <f t="shared" si="5"/>
        <v>26.35</v>
      </c>
      <c r="F55" s="362"/>
      <c r="G55" s="362"/>
      <c r="H55" s="362"/>
      <c r="I55" s="362"/>
      <c r="J55" s="362">
        <f t="shared" si="7"/>
        <v>0</v>
      </c>
      <c r="K55" s="362">
        <f t="shared" si="8"/>
        <v>26.35</v>
      </c>
      <c r="L55" s="362"/>
      <c r="M55" s="362">
        <f t="shared" si="9"/>
        <v>26.35</v>
      </c>
      <c r="N55" s="362">
        <f t="shared" si="6"/>
        <v>0</v>
      </c>
      <c r="O55" s="372"/>
    </row>
    <row r="56" ht="27.95" customHeight="1" spans="1:15">
      <c r="A56" s="360">
        <v>2011105</v>
      </c>
      <c r="B56" s="361" t="s">
        <v>82</v>
      </c>
      <c r="C56" s="362">
        <v>30</v>
      </c>
      <c r="D56" s="362">
        <v>0</v>
      </c>
      <c r="E56" s="362">
        <f t="shared" si="5"/>
        <v>30</v>
      </c>
      <c r="F56" s="362"/>
      <c r="G56" s="362"/>
      <c r="H56" s="362"/>
      <c r="I56" s="362"/>
      <c r="J56" s="362">
        <f t="shared" si="7"/>
        <v>0</v>
      </c>
      <c r="K56" s="362">
        <f t="shared" si="8"/>
        <v>30</v>
      </c>
      <c r="L56" s="362"/>
      <c r="M56" s="362">
        <f t="shared" si="9"/>
        <v>30</v>
      </c>
      <c r="N56" s="362">
        <f t="shared" si="6"/>
        <v>0</v>
      </c>
      <c r="O56" s="372"/>
    </row>
    <row r="57" ht="27.95" customHeight="1" spans="1:15">
      <c r="A57" s="360">
        <v>2011199</v>
      </c>
      <c r="B57" s="361" t="s">
        <v>83</v>
      </c>
      <c r="C57" s="362">
        <v>65.6</v>
      </c>
      <c r="D57" s="362">
        <v>20</v>
      </c>
      <c r="E57" s="362">
        <f t="shared" si="5"/>
        <v>85.6</v>
      </c>
      <c r="F57" s="362"/>
      <c r="G57" s="362"/>
      <c r="H57" s="362"/>
      <c r="I57" s="362"/>
      <c r="J57" s="362">
        <f t="shared" si="7"/>
        <v>0</v>
      </c>
      <c r="K57" s="362">
        <f t="shared" si="8"/>
        <v>65.6</v>
      </c>
      <c r="L57" s="362">
        <f>VLOOKUP(A57,[1]Sheet1!$D$1:$E$65536,2,0)</f>
        <v>20</v>
      </c>
      <c r="M57" s="362">
        <f t="shared" si="9"/>
        <v>85.6</v>
      </c>
      <c r="N57" s="362">
        <f t="shared" si="6"/>
        <v>0</v>
      </c>
      <c r="O57" s="372"/>
    </row>
    <row r="58" ht="27.95" customHeight="1" spans="1:15">
      <c r="A58" s="360">
        <v>20113</v>
      </c>
      <c r="B58" s="361" t="s">
        <v>84</v>
      </c>
      <c r="C58" s="362">
        <v>666.48</v>
      </c>
      <c r="D58" s="362">
        <v>0</v>
      </c>
      <c r="E58" s="362">
        <f t="shared" si="5"/>
        <v>666.48</v>
      </c>
      <c r="F58" s="362">
        <f>F59+F61</f>
        <v>96</v>
      </c>
      <c r="G58" s="362"/>
      <c r="H58" s="362"/>
      <c r="I58" s="362"/>
      <c r="J58" s="362">
        <f t="shared" si="7"/>
        <v>0</v>
      </c>
      <c r="K58" s="362">
        <f t="shared" si="8"/>
        <v>762.48</v>
      </c>
      <c r="L58" s="362"/>
      <c r="M58" s="362">
        <f t="shared" si="9"/>
        <v>762.48</v>
      </c>
      <c r="N58" s="362">
        <f t="shared" si="6"/>
        <v>14.4040331292762</v>
      </c>
      <c r="O58" s="372"/>
    </row>
    <row r="59" ht="27.95" customHeight="1" spans="1:15">
      <c r="A59" s="360">
        <v>2011301</v>
      </c>
      <c r="B59" s="361" t="s">
        <v>46</v>
      </c>
      <c r="C59" s="362">
        <v>358.52</v>
      </c>
      <c r="D59" s="362">
        <v>0</v>
      </c>
      <c r="E59" s="362">
        <f t="shared" si="5"/>
        <v>358.52</v>
      </c>
      <c r="F59" s="362">
        <v>46</v>
      </c>
      <c r="G59" s="362"/>
      <c r="H59" s="362"/>
      <c r="I59" s="362"/>
      <c r="J59" s="362">
        <f t="shared" si="7"/>
        <v>0</v>
      </c>
      <c r="K59" s="362">
        <f t="shared" si="8"/>
        <v>404.52</v>
      </c>
      <c r="L59" s="362"/>
      <c r="M59" s="362">
        <f t="shared" si="9"/>
        <v>404.52</v>
      </c>
      <c r="N59" s="362">
        <f t="shared" si="6"/>
        <v>12.8305254936963</v>
      </c>
      <c r="O59" s="372" t="s">
        <v>47</v>
      </c>
    </row>
    <row r="60" ht="27.95" customHeight="1" spans="1:15">
      <c r="A60" s="360">
        <v>2011302</v>
      </c>
      <c r="B60" s="361" t="s">
        <v>48</v>
      </c>
      <c r="C60" s="362">
        <v>15</v>
      </c>
      <c r="D60" s="362">
        <v>0</v>
      </c>
      <c r="E60" s="362">
        <f t="shared" si="5"/>
        <v>15</v>
      </c>
      <c r="F60" s="362"/>
      <c r="G60" s="362"/>
      <c r="H60" s="362"/>
      <c r="I60" s="362"/>
      <c r="J60" s="362">
        <f t="shared" si="7"/>
        <v>0</v>
      </c>
      <c r="K60" s="362">
        <f t="shared" si="8"/>
        <v>15</v>
      </c>
      <c r="L60" s="362"/>
      <c r="M60" s="362">
        <f t="shared" si="9"/>
        <v>15</v>
      </c>
      <c r="N60" s="362">
        <f t="shared" si="6"/>
        <v>0</v>
      </c>
      <c r="O60" s="372"/>
    </row>
    <row r="61" ht="27.95" customHeight="1" spans="1:15">
      <c r="A61" s="360">
        <v>2011399</v>
      </c>
      <c r="B61" s="361" t="s">
        <v>85</v>
      </c>
      <c r="C61" s="362">
        <v>292.96</v>
      </c>
      <c r="D61" s="362">
        <v>0</v>
      </c>
      <c r="E61" s="362">
        <f t="shared" si="5"/>
        <v>292.96</v>
      </c>
      <c r="F61" s="362">
        <v>50</v>
      </c>
      <c r="G61" s="362"/>
      <c r="H61" s="362"/>
      <c r="I61" s="362"/>
      <c r="J61" s="362">
        <f t="shared" si="7"/>
        <v>0</v>
      </c>
      <c r="K61" s="362">
        <f t="shared" si="8"/>
        <v>342.96</v>
      </c>
      <c r="L61" s="362"/>
      <c r="M61" s="362">
        <f t="shared" si="9"/>
        <v>342.96</v>
      </c>
      <c r="N61" s="362">
        <f t="shared" si="6"/>
        <v>17.0671764063353</v>
      </c>
      <c r="O61" s="372" t="s">
        <v>47</v>
      </c>
    </row>
    <row r="62" ht="27.95" customHeight="1" spans="1:15">
      <c r="A62" s="360">
        <v>20114</v>
      </c>
      <c r="B62" s="361" t="s">
        <v>86</v>
      </c>
      <c r="C62" s="362">
        <v>5</v>
      </c>
      <c r="D62" s="362">
        <v>192.447</v>
      </c>
      <c r="E62" s="362">
        <f t="shared" si="5"/>
        <v>197.447</v>
      </c>
      <c r="F62" s="362"/>
      <c r="G62" s="362"/>
      <c r="H62" s="362"/>
      <c r="I62" s="362"/>
      <c r="J62" s="362">
        <f t="shared" si="7"/>
        <v>0</v>
      </c>
      <c r="K62" s="362">
        <f t="shared" si="8"/>
        <v>5</v>
      </c>
      <c r="L62" s="362">
        <f>L63+L64+L65</f>
        <v>192.447</v>
      </c>
      <c r="M62" s="362">
        <f t="shared" si="9"/>
        <v>197.447</v>
      </c>
      <c r="N62" s="362">
        <f t="shared" si="6"/>
        <v>0</v>
      </c>
      <c r="O62" s="372"/>
    </row>
    <row r="63" ht="27.95" customHeight="1" spans="1:15">
      <c r="A63" s="360">
        <v>2011406</v>
      </c>
      <c r="B63" s="361" t="s">
        <v>87</v>
      </c>
      <c r="C63" s="362">
        <v>5</v>
      </c>
      <c r="D63" s="362">
        <v>31.2</v>
      </c>
      <c r="E63" s="362">
        <f t="shared" si="5"/>
        <v>36.2</v>
      </c>
      <c r="F63" s="362"/>
      <c r="G63" s="362"/>
      <c r="H63" s="362"/>
      <c r="I63" s="362"/>
      <c r="J63" s="362">
        <f t="shared" si="7"/>
        <v>0</v>
      </c>
      <c r="K63" s="362">
        <f t="shared" si="8"/>
        <v>5</v>
      </c>
      <c r="L63" s="362">
        <f>VLOOKUP(A63,[1]Sheet1!$D$1:$E$65536,2,0)</f>
        <v>31.2</v>
      </c>
      <c r="M63" s="362">
        <f t="shared" si="9"/>
        <v>36.2</v>
      </c>
      <c r="N63" s="362">
        <f t="shared" si="6"/>
        <v>0</v>
      </c>
      <c r="O63" s="372"/>
    </row>
    <row r="64" ht="27.95" customHeight="1" spans="1:15">
      <c r="A64" s="363">
        <v>2011409</v>
      </c>
      <c r="B64" s="361" t="s">
        <v>88</v>
      </c>
      <c r="C64" s="362"/>
      <c r="D64" s="362">
        <v>135</v>
      </c>
      <c r="E64" s="362">
        <f t="shared" si="5"/>
        <v>135</v>
      </c>
      <c r="F64" s="362"/>
      <c r="G64" s="362"/>
      <c r="H64" s="362"/>
      <c r="I64" s="362"/>
      <c r="J64" s="362">
        <f t="shared" si="7"/>
        <v>0</v>
      </c>
      <c r="K64" s="362">
        <f t="shared" si="8"/>
        <v>0</v>
      </c>
      <c r="L64" s="362">
        <v>135</v>
      </c>
      <c r="M64" s="362">
        <f>L64+K64</f>
        <v>135</v>
      </c>
      <c r="N64" s="362">
        <f t="shared" si="6"/>
        <v>0</v>
      </c>
      <c r="O64" s="372"/>
    </row>
    <row r="65" ht="27.95" customHeight="1" spans="1:15">
      <c r="A65" s="363">
        <v>2011499</v>
      </c>
      <c r="B65" s="361" t="s">
        <v>89</v>
      </c>
      <c r="C65" s="362"/>
      <c r="D65" s="362">
        <v>26.247</v>
      </c>
      <c r="E65" s="362">
        <f t="shared" si="5"/>
        <v>26.247</v>
      </c>
      <c r="F65" s="362"/>
      <c r="G65" s="362"/>
      <c r="H65" s="362"/>
      <c r="I65" s="362"/>
      <c r="J65" s="362">
        <f t="shared" si="7"/>
        <v>0</v>
      </c>
      <c r="K65" s="362">
        <f t="shared" si="8"/>
        <v>0</v>
      </c>
      <c r="L65" s="362">
        <v>26.247</v>
      </c>
      <c r="M65" s="362">
        <f>L65+K65</f>
        <v>26.247</v>
      </c>
      <c r="N65" s="362">
        <f t="shared" si="6"/>
        <v>0</v>
      </c>
      <c r="O65" s="372"/>
    </row>
    <row r="66" ht="27.95" customHeight="1" spans="1:15">
      <c r="A66" s="360">
        <v>20115</v>
      </c>
      <c r="B66" s="361" t="s">
        <v>90</v>
      </c>
      <c r="C66" s="362">
        <v>980.49</v>
      </c>
      <c r="D66" s="362">
        <v>0</v>
      </c>
      <c r="E66" s="362">
        <f t="shared" si="5"/>
        <v>980.49</v>
      </c>
      <c r="F66" s="362">
        <v>99</v>
      </c>
      <c r="G66" s="362"/>
      <c r="H66" s="362"/>
      <c r="I66" s="362"/>
      <c r="J66" s="362">
        <f t="shared" si="7"/>
        <v>0</v>
      </c>
      <c r="K66" s="362">
        <f t="shared" si="8"/>
        <v>1079.49</v>
      </c>
      <c r="L66" s="362"/>
      <c r="M66" s="362">
        <f t="shared" ref="M66:M84" si="10">K66+L66</f>
        <v>1079.49</v>
      </c>
      <c r="N66" s="362">
        <f t="shared" si="6"/>
        <v>10.0969923201665</v>
      </c>
      <c r="O66" s="372"/>
    </row>
    <row r="67" ht="30" customHeight="1" spans="1:15">
      <c r="A67" s="360">
        <v>2011501</v>
      </c>
      <c r="B67" s="361" t="s">
        <v>46</v>
      </c>
      <c r="C67" s="362">
        <v>847.09</v>
      </c>
      <c r="D67" s="362">
        <v>0</v>
      </c>
      <c r="E67" s="362">
        <f t="shared" si="5"/>
        <v>847.09</v>
      </c>
      <c r="F67" s="362">
        <v>99</v>
      </c>
      <c r="G67" s="362"/>
      <c r="H67" s="362"/>
      <c r="I67" s="362"/>
      <c r="J67" s="362">
        <f t="shared" si="7"/>
        <v>0</v>
      </c>
      <c r="K67" s="362">
        <f t="shared" si="8"/>
        <v>946.09</v>
      </c>
      <c r="L67" s="362"/>
      <c r="M67" s="362">
        <f t="shared" si="10"/>
        <v>946.09</v>
      </c>
      <c r="N67" s="362">
        <f t="shared" si="6"/>
        <v>11.6870698509013</v>
      </c>
      <c r="O67" s="372" t="s">
        <v>47</v>
      </c>
    </row>
    <row r="68" ht="27.95" customHeight="1" spans="1:15">
      <c r="A68" s="360">
        <v>2011502</v>
      </c>
      <c r="B68" s="361" t="s">
        <v>48</v>
      </c>
      <c r="C68" s="362">
        <v>20</v>
      </c>
      <c r="D68" s="362">
        <v>0</v>
      </c>
      <c r="E68" s="362">
        <f t="shared" si="5"/>
        <v>20</v>
      </c>
      <c r="F68" s="362"/>
      <c r="G68" s="362"/>
      <c r="H68" s="362"/>
      <c r="I68" s="362"/>
      <c r="J68" s="362">
        <f t="shared" si="7"/>
        <v>0</v>
      </c>
      <c r="K68" s="362">
        <f t="shared" si="8"/>
        <v>20</v>
      </c>
      <c r="L68" s="362"/>
      <c r="M68" s="362">
        <f t="shared" si="10"/>
        <v>20</v>
      </c>
      <c r="N68" s="362">
        <f t="shared" si="6"/>
        <v>0</v>
      </c>
      <c r="O68" s="372"/>
    </row>
    <row r="69" ht="27.95" customHeight="1" spans="1:15">
      <c r="A69" s="360">
        <v>2011504</v>
      </c>
      <c r="B69" s="361" t="s">
        <v>91</v>
      </c>
      <c r="C69" s="362">
        <v>40</v>
      </c>
      <c r="D69" s="362">
        <v>0</v>
      </c>
      <c r="E69" s="362">
        <f t="shared" si="5"/>
        <v>40</v>
      </c>
      <c r="F69" s="362"/>
      <c r="G69" s="362"/>
      <c r="H69" s="362"/>
      <c r="I69" s="362"/>
      <c r="J69" s="362">
        <f t="shared" si="7"/>
        <v>0</v>
      </c>
      <c r="K69" s="362">
        <f t="shared" si="8"/>
        <v>40</v>
      </c>
      <c r="L69" s="362"/>
      <c r="M69" s="362">
        <f t="shared" si="10"/>
        <v>40</v>
      </c>
      <c r="N69" s="362">
        <f t="shared" si="6"/>
        <v>0</v>
      </c>
      <c r="O69" s="372"/>
    </row>
    <row r="70" ht="27.95" customHeight="1" spans="1:15">
      <c r="A70" s="360">
        <v>2011505</v>
      </c>
      <c r="B70" s="361" t="s">
        <v>92</v>
      </c>
      <c r="C70" s="362">
        <v>7</v>
      </c>
      <c r="D70" s="362">
        <v>0</v>
      </c>
      <c r="E70" s="362">
        <f t="shared" si="5"/>
        <v>7</v>
      </c>
      <c r="F70" s="362"/>
      <c r="G70" s="362"/>
      <c r="H70" s="362"/>
      <c r="I70" s="362"/>
      <c r="J70" s="362">
        <f t="shared" si="7"/>
        <v>0</v>
      </c>
      <c r="K70" s="362">
        <f t="shared" si="8"/>
        <v>7</v>
      </c>
      <c r="L70" s="362"/>
      <c r="M70" s="362">
        <f t="shared" si="10"/>
        <v>7</v>
      </c>
      <c r="N70" s="362">
        <f t="shared" si="6"/>
        <v>0</v>
      </c>
      <c r="O70" s="372"/>
    </row>
    <row r="71" ht="27.95" customHeight="1" spans="1:15">
      <c r="A71" s="360">
        <v>2011507</v>
      </c>
      <c r="B71" s="361" t="s">
        <v>70</v>
      </c>
      <c r="C71" s="362">
        <v>10</v>
      </c>
      <c r="D71" s="362">
        <v>0</v>
      </c>
      <c r="E71" s="362">
        <f t="shared" ref="E71:E84" si="11">C71+D71</f>
        <v>10</v>
      </c>
      <c r="F71" s="362"/>
      <c r="G71" s="362"/>
      <c r="H71" s="362"/>
      <c r="I71" s="362"/>
      <c r="J71" s="362">
        <f t="shared" si="7"/>
        <v>0</v>
      </c>
      <c r="K71" s="362">
        <f t="shared" si="8"/>
        <v>10</v>
      </c>
      <c r="L71" s="362"/>
      <c r="M71" s="362">
        <f t="shared" si="10"/>
        <v>10</v>
      </c>
      <c r="N71" s="362">
        <f t="shared" ref="N71:N84" si="12">(M71/E71-1)*100</f>
        <v>0</v>
      </c>
      <c r="O71" s="372"/>
    </row>
    <row r="72" ht="27.95" customHeight="1" spans="1:15">
      <c r="A72" s="360">
        <v>2011599</v>
      </c>
      <c r="B72" s="361" t="s">
        <v>93</v>
      </c>
      <c r="C72" s="362">
        <v>56.4</v>
      </c>
      <c r="D72" s="362">
        <v>0</v>
      </c>
      <c r="E72" s="362">
        <f t="shared" si="11"/>
        <v>56.4</v>
      </c>
      <c r="F72" s="362"/>
      <c r="G72" s="362"/>
      <c r="H72" s="362"/>
      <c r="I72" s="362"/>
      <c r="J72" s="362">
        <f t="shared" ref="J72:J84" si="13">L72-D72</f>
        <v>0</v>
      </c>
      <c r="K72" s="362">
        <f t="shared" ref="K72:K84" si="14">F72+C72</f>
        <v>56.4</v>
      </c>
      <c r="L72" s="362"/>
      <c r="M72" s="362">
        <f t="shared" si="10"/>
        <v>56.4</v>
      </c>
      <c r="N72" s="362">
        <f t="shared" si="12"/>
        <v>0</v>
      </c>
      <c r="O72" s="372"/>
    </row>
    <row r="73" ht="27.95" customHeight="1" spans="1:15">
      <c r="A73" s="360">
        <v>20117</v>
      </c>
      <c r="B73" s="361" t="s">
        <v>94</v>
      </c>
      <c r="C73" s="362">
        <v>81</v>
      </c>
      <c r="D73" s="362">
        <v>0</v>
      </c>
      <c r="E73" s="362">
        <f t="shared" si="11"/>
        <v>81</v>
      </c>
      <c r="F73" s="362"/>
      <c r="G73" s="362"/>
      <c r="H73" s="362"/>
      <c r="I73" s="362"/>
      <c r="J73" s="362">
        <f t="shared" si="13"/>
        <v>0</v>
      </c>
      <c r="K73" s="362">
        <f t="shared" si="14"/>
        <v>81</v>
      </c>
      <c r="L73" s="362"/>
      <c r="M73" s="362">
        <f t="shared" si="10"/>
        <v>81</v>
      </c>
      <c r="N73" s="362">
        <f t="shared" si="12"/>
        <v>0</v>
      </c>
      <c r="O73" s="372"/>
    </row>
    <row r="74" ht="27.95" customHeight="1" spans="1:15">
      <c r="A74" s="360">
        <v>2011702</v>
      </c>
      <c r="B74" s="361" t="s">
        <v>48</v>
      </c>
      <c r="C74" s="362">
        <v>15</v>
      </c>
      <c r="D74" s="362">
        <v>0</v>
      </c>
      <c r="E74" s="362">
        <f t="shared" si="11"/>
        <v>15</v>
      </c>
      <c r="F74" s="362"/>
      <c r="G74" s="362"/>
      <c r="H74" s="362"/>
      <c r="I74" s="362"/>
      <c r="J74" s="362">
        <f t="shared" si="13"/>
        <v>0</v>
      </c>
      <c r="K74" s="362">
        <f t="shared" si="14"/>
        <v>15</v>
      </c>
      <c r="L74" s="362"/>
      <c r="M74" s="362">
        <f t="shared" si="10"/>
        <v>15</v>
      </c>
      <c r="N74" s="362">
        <f t="shared" si="12"/>
        <v>0</v>
      </c>
      <c r="O74" s="372"/>
    </row>
    <row r="75" ht="27.95" customHeight="1" spans="1:15">
      <c r="A75" s="360">
        <v>2011706</v>
      </c>
      <c r="B75" s="361" t="s">
        <v>95</v>
      </c>
      <c r="C75" s="362">
        <v>55</v>
      </c>
      <c r="D75" s="362">
        <v>0</v>
      </c>
      <c r="E75" s="362">
        <f t="shared" si="11"/>
        <v>55</v>
      </c>
      <c r="F75" s="362"/>
      <c r="G75" s="362"/>
      <c r="H75" s="362"/>
      <c r="I75" s="362"/>
      <c r="J75" s="362">
        <f t="shared" si="13"/>
        <v>0</v>
      </c>
      <c r="K75" s="362">
        <f t="shared" si="14"/>
        <v>55</v>
      </c>
      <c r="L75" s="362"/>
      <c r="M75" s="362">
        <f t="shared" si="10"/>
        <v>55</v>
      </c>
      <c r="N75" s="362">
        <f t="shared" si="12"/>
        <v>0</v>
      </c>
      <c r="O75" s="372"/>
    </row>
    <row r="76" ht="27.95" customHeight="1" spans="1:15">
      <c r="A76" s="360">
        <v>2011799</v>
      </c>
      <c r="B76" s="361" t="s">
        <v>96</v>
      </c>
      <c r="C76" s="362">
        <v>11</v>
      </c>
      <c r="D76" s="362">
        <v>0</v>
      </c>
      <c r="E76" s="362">
        <f t="shared" si="11"/>
        <v>11</v>
      </c>
      <c r="F76" s="362"/>
      <c r="G76" s="362"/>
      <c r="H76" s="362"/>
      <c r="I76" s="362"/>
      <c r="J76" s="362">
        <f t="shared" si="13"/>
        <v>0</v>
      </c>
      <c r="K76" s="362">
        <f t="shared" si="14"/>
        <v>11</v>
      </c>
      <c r="L76" s="362"/>
      <c r="M76" s="362">
        <f t="shared" si="10"/>
        <v>11</v>
      </c>
      <c r="N76" s="362">
        <f t="shared" si="12"/>
        <v>0</v>
      </c>
      <c r="O76" s="372"/>
    </row>
    <row r="77" ht="27.95" customHeight="1" spans="1:15">
      <c r="A77" s="360">
        <v>20124</v>
      </c>
      <c r="B77" s="361" t="s">
        <v>97</v>
      </c>
      <c r="C77" s="362">
        <v>91.86</v>
      </c>
      <c r="D77" s="362">
        <v>0</v>
      </c>
      <c r="E77" s="362">
        <f t="shared" si="11"/>
        <v>91.86</v>
      </c>
      <c r="F77" s="362">
        <v>1</v>
      </c>
      <c r="G77" s="362"/>
      <c r="H77" s="362"/>
      <c r="I77" s="362"/>
      <c r="J77" s="362">
        <f t="shared" si="13"/>
        <v>0</v>
      </c>
      <c r="K77" s="362">
        <f t="shared" si="14"/>
        <v>92.86</v>
      </c>
      <c r="L77" s="362"/>
      <c r="M77" s="362">
        <f t="shared" si="10"/>
        <v>92.86</v>
      </c>
      <c r="N77" s="362">
        <f t="shared" si="12"/>
        <v>1.0886131069018</v>
      </c>
      <c r="O77" s="372"/>
    </row>
    <row r="78" ht="30" customHeight="1" spans="1:15">
      <c r="A78" s="360">
        <v>2012401</v>
      </c>
      <c r="B78" s="361" t="s">
        <v>46</v>
      </c>
      <c r="C78" s="362">
        <v>76.86</v>
      </c>
      <c r="D78" s="362">
        <v>0</v>
      </c>
      <c r="E78" s="362">
        <f t="shared" si="11"/>
        <v>76.86</v>
      </c>
      <c r="F78" s="362">
        <v>1</v>
      </c>
      <c r="G78" s="362"/>
      <c r="H78" s="362"/>
      <c r="I78" s="362"/>
      <c r="J78" s="362">
        <f t="shared" si="13"/>
        <v>0</v>
      </c>
      <c r="K78" s="362">
        <f t="shared" si="14"/>
        <v>77.86</v>
      </c>
      <c r="L78" s="362"/>
      <c r="M78" s="362">
        <f t="shared" si="10"/>
        <v>77.86</v>
      </c>
      <c r="N78" s="362">
        <f t="shared" si="12"/>
        <v>1.30106687483738</v>
      </c>
      <c r="O78" s="372" t="s">
        <v>47</v>
      </c>
    </row>
    <row r="79" ht="27.95" customHeight="1" spans="1:15">
      <c r="A79" s="360">
        <v>2012404</v>
      </c>
      <c r="B79" s="361" t="s">
        <v>98</v>
      </c>
      <c r="C79" s="362">
        <v>15</v>
      </c>
      <c r="D79" s="362">
        <v>0</v>
      </c>
      <c r="E79" s="362">
        <f t="shared" si="11"/>
        <v>15</v>
      </c>
      <c r="F79" s="362"/>
      <c r="G79" s="362"/>
      <c r="H79" s="362"/>
      <c r="I79" s="362"/>
      <c r="J79" s="362">
        <f t="shared" si="13"/>
        <v>0</v>
      </c>
      <c r="K79" s="362">
        <f t="shared" si="14"/>
        <v>15</v>
      </c>
      <c r="L79" s="362"/>
      <c r="M79" s="362">
        <f t="shared" si="10"/>
        <v>15</v>
      </c>
      <c r="N79" s="362">
        <f t="shared" si="12"/>
        <v>0</v>
      </c>
      <c r="O79" s="372"/>
    </row>
    <row r="80" ht="27.95" customHeight="1" spans="1:15">
      <c r="A80" s="360">
        <v>20125</v>
      </c>
      <c r="B80" s="361" t="s">
        <v>99</v>
      </c>
      <c r="C80" s="362">
        <v>42.11</v>
      </c>
      <c r="D80" s="362">
        <v>0</v>
      </c>
      <c r="E80" s="362">
        <f t="shared" si="11"/>
        <v>42.11</v>
      </c>
      <c r="F80" s="362">
        <v>10</v>
      </c>
      <c r="G80" s="362"/>
      <c r="H80" s="362"/>
      <c r="I80" s="362"/>
      <c r="J80" s="362">
        <f t="shared" si="13"/>
        <v>0</v>
      </c>
      <c r="K80" s="362">
        <f t="shared" si="14"/>
        <v>52.11</v>
      </c>
      <c r="L80" s="362"/>
      <c r="M80" s="362">
        <f t="shared" si="10"/>
        <v>52.11</v>
      </c>
      <c r="N80" s="362">
        <f t="shared" si="12"/>
        <v>23.7473284255521</v>
      </c>
      <c r="O80" s="372"/>
    </row>
    <row r="81" ht="27.95" customHeight="1" spans="1:15">
      <c r="A81" s="360">
        <v>2012502</v>
      </c>
      <c r="B81" s="361" t="s">
        <v>48</v>
      </c>
      <c r="C81" s="362">
        <v>4</v>
      </c>
      <c r="D81" s="362">
        <v>0</v>
      </c>
      <c r="E81" s="362">
        <f t="shared" si="11"/>
        <v>4</v>
      </c>
      <c r="F81" s="362"/>
      <c r="G81" s="362"/>
      <c r="H81" s="362"/>
      <c r="I81" s="362"/>
      <c r="J81" s="362">
        <f t="shared" si="13"/>
        <v>0</v>
      </c>
      <c r="K81" s="362">
        <f t="shared" si="14"/>
        <v>4</v>
      </c>
      <c r="L81" s="362"/>
      <c r="M81" s="362">
        <f t="shared" si="10"/>
        <v>4</v>
      </c>
      <c r="N81" s="362">
        <f t="shared" si="12"/>
        <v>0</v>
      </c>
      <c r="O81" s="372"/>
    </row>
    <row r="82" ht="27.95" customHeight="1" spans="1:15">
      <c r="A82" s="360">
        <v>2012504</v>
      </c>
      <c r="B82" s="361" t="s">
        <v>100</v>
      </c>
      <c r="C82" s="362">
        <v>30.11</v>
      </c>
      <c r="D82" s="362">
        <v>0</v>
      </c>
      <c r="E82" s="362">
        <f t="shared" si="11"/>
        <v>30.11</v>
      </c>
      <c r="F82" s="362"/>
      <c r="G82" s="362"/>
      <c r="H82" s="362"/>
      <c r="I82" s="362"/>
      <c r="J82" s="362">
        <f t="shared" si="13"/>
        <v>0</v>
      </c>
      <c r="K82" s="362">
        <f t="shared" si="14"/>
        <v>30.11</v>
      </c>
      <c r="L82" s="362"/>
      <c r="M82" s="362">
        <f t="shared" si="10"/>
        <v>30.11</v>
      </c>
      <c r="N82" s="362">
        <f t="shared" si="12"/>
        <v>0</v>
      </c>
      <c r="O82" s="372"/>
    </row>
    <row r="83" ht="27.95" customHeight="1" spans="1:15">
      <c r="A83" s="360">
        <v>2012505</v>
      </c>
      <c r="B83" s="361" t="s">
        <v>101</v>
      </c>
      <c r="C83" s="362">
        <v>4</v>
      </c>
      <c r="D83" s="362">
        <v>0</v>
      </c>
      <c r="E83" s="362">
        <f t="shared" si="11"/>
        <v>4</v>
      </c>
      <c r="F83" s="362"/>
      <c r="G83" s="362"/>
      <c r="H83" s="362"/>
      <c r="I83" s="362"/>
      <c r="J83" s="362">
        <f t="shared" si="13"/>
        <v>0</v>
      </c>
      <c r="K83" s="362">
        <f t="shared" si="14"/>
        <v>4</v>
      </c>
      <c r="L83" s="362"/>
      <c r="M83" s="362">
        <f t="shared" si="10"/>
        <v>4</v>
      </c>
      <c r="N83" s="362">
        <f t="shared" si="12"/>
        <v>0</v>
      </c>
      <c r="O83" s="372"/>
    </row>
    <row r="84" ht="27.95" customHeight="1" spans="1:15">
      <c r="A84" s="360">
        <v>2012506</v>
      </c>
      <c r="B84" s="361" t="s">
        <v>102</v>
      </c>
      <c r="C84" s="362">
        <v>4</v>
      </c>
      <c r="D84" s="362">
        <v>0</v>
      </c>
      <c r="E84" s="362">
        <f t="shared" si="11"/>
        <v>4</v>
      </c>
      <c r="F84" s="362"/>
      <c r="G84" s="362"/>
      <c r="H84" s="362"/>
      <c r="I84" s="362"/>
      <c r="J84" s="362">
        <f t="shared" si="13"/>
        <v>0</v>
      </c>
      <c r="K84" s="362">
        <f t="shared" si="14"/>
        <v>4</v>
      </c>
      <c r="L84" s="362"/>
      <c r="M84" s="362">
        <f t="shared" si="10"/>
        <v>4</v>
      </c>
      <c r="N84" s="362">
        <f t="shared" si="12"/>
        <v>0</v>
      </c>
      <c r="O84" s="372"/>
    </row>
    <row r="85" ht="27.95" customHeight="1" spans="1:15">
      <c r="A85" s="360">
        <v>2012599</v>
      </c>
      <c r="B85" s="361" t="s">
        <v>103</v>
      </c>
      <c r="C85" s="362"/>
      <c r="D85" s="362"/>
      <c r="E85" s="362"/>
      <c r="F85" s="362">
        <v>10</v>
      </c>
      <c r="G85" s="362"/>
      <c r="H85" s="362"/>
      <c r="I85" s="362"/>
      <c r="J85" s="362"/>
      <c r="K85" s="362">
        <v>10</v>
      </c>
      <c r="L85" s="362"/>
      <c r="M85" s="362">
        <v>10</v>
      </c>
      <c r="N85" s="362">
        <v>100</v>
      </c>
      <c r="O85" s="372" t="s">
        <v>104</v>
      </c>
    </row>
    <row r="86" ht="27.95" customHeight="1" spans="1:15">
      <c r="A86" s="360">
        <v>20126</v>
      </c>
      <c r="B86" s="361" t="s">
        <v>105</v>
      </c>
      <c r="C86" s="362"/>
      <c r="D86" s="362">
        <v>100</v>
      </c>
      <c r="E86" s="362">
        <f t="shared" ref="E86:E149" si="15">C86+D86</f>
        <v>100</v>
      </c>
      <c r="F86" s="362"/>
      <c r="G86" s="362"/>
      <c r="H86" s="362"/>
      <c r="I86" s="362"/>
      <c r="J86" s="362">
        <f t="shared" ref="J86:J110" si="16">L86-D86</f>
        <v>0</v>
      </c>
      <c r="K86" s="362">
        <f t="shared" ref="K86:K149" si="17">F86+C86</f>
        <v>0</v>
      </c>
      <c r="L86" s="362">
        <v>100</v>
      </c>
      <c r="M86" s="362">
        <f t="shared" ref="M86:M117" si="18">K86+L86</f>
        <v>100</v>
      </c>
      <c r="N86" s="362">
        <f t="shared" ref="N86:N149" si="19">(M86/E86-1)*100</f>
        <v>0</v>
      </c>
      <c r="O86" s="372"/>
    </row>
    <row r="87" ht="27.95" customHeight="1" spans="1:15">
      <c r="A87" s="360">
        <v>2012604</v>
      </c>
      <c r="B87" s="361" t="s">
        <v>106</v>
      </c>
      <c r="C87" s="362"/>
      <c r="D87" s="362">
        <v>100</v>
      </c>
      <c r="E87" s="362">
        <f t="shared" si="15"/>
        <v>100</v>
      </c>
      <c r="F87" s="362"/>
      <c r="G87" s="362"/>
      <c r="H87" s="362"/>
      <c r="I87" s="362"/>
      <c r="J87" s="362">
        <f t="shared" si="16"/>
        <v>0</v>
      </c>
      <c r="K87" s="362">
        <f t="shared" si="17"/>
        <v>0</v>
      </c>
      <c r="L87" s="362">
        <v>100</v>
      </c>
      <c r="M87" s="362">
        <f t="shared" si="18"/>
        <v>100</v>
      </c>
      <c r="N87" s="362">
        <f t="shared" si="19"/>
        <v>0</v>
      </c>
      <c r="O87" s="372"/>
    </row>
    <row r="88" ht="27.95" customHeight="1" spans="1:15">
      <c r="A88" s="360">
        <v>20128</v>
      </c>
      <c r="B88" s="361" t="s">
        <v>107</v>
      </c>
      <c r="C88" s="362">
        <v>74.73</v>
      </c>
      <c r="D88" s="362">
        <v>0</v>
      </c>
      <c r="E88" s="362">
        <f t="shared" si="15"/>
        <v>74.73</v>
      </c>
      <c r="F88" s="362">
        <v>3</v>
      </c>
      <c r="G88" s="362"/>
      <c r="H88" s="362"/>
      <c r="I88" s="362"/>
      <c r="J88" s="362">
        <f t="shared" si="16"/>
        <v>0</v>
      </c>
      <c r="K88" s="362">
        <f t="shared" si="17"/>
        <v>77.73</v>
      </c>
      <c r="L88" s="362"/>
      <c r="M88" s="362">
        <f t="shared" si="18"/>
        <v>77.73</v>
      </c>
      <c r="N88" s="362">
        <f t="shared" si="19"/>
        <v>4.01445202729827</v>
      </c>
      <c r="O88" s="372"/>
    </row>
    <row r="89" ht="30" customHeight="1" spans="1:15">
      <c r="A89" s="360">
        <v>2012801</v>
      </c>
      <c r="B89" s="361" t="s">
        <v>46</v>
      </c>
      <c r="C89" s="362">
        <v>71.73</v>
      </c>
      <c r="D89" s="362">
        <v>0</v>
      </c>
      <c r="E89" s="362">
        <f t="shared" si="15"/>
        <v>71.73</v>
      </c>
      <c r="F89" s="362">
        <v>3</v>
      </c>
      <c r="G89" s="362"/>
      <c r="H89" s="362"/>
      <c r="I89" s="362"/>
      <c r="J89" s="362">
        <f t="shared" si="16"/>
        <v>0</v>
      </c>
      <c r="K89" s="362">
        <f t="shared" si="17"/>
        <v>74.73</v>
      </c>
      <c r="L89" s="362"/>
      <c r="M89" s="362">
        <f t="shared" si="18"/>
        <v>74.73</v>
      </c>
      <c r="N89" s="362">
        <f t="shared" si="19"/>
        <v>4.18235048097031</v>
      </c>
      <c r="O89" s="372" t="s">
        <v>47</v>
      </c>
    </row>
    <row r="90" ht="27.95" customHeight="1" spans="1:15">
      <c r="A90" s="360">
        <v>2012802</v>
      </c>
      <c r="B90" s="361" t="s">
        <v>48</v>
      </c>
      <c r="C90" s="362">
        <v>2</v>
      </c>
      <c r="D90" s="362">
        <v>0</v>
      </c>
      <c r="E90" s="362">
        <f t="shared" si="15"/>
        <v>2</v>
      </c>
      <c r="F90" s="362"/>
      <c r="G90" s="362"/>
      <c r="H90" s="362"/>
      <c r="I90" s="362"/>
      <c r="J90" s="362">
        <f t="shared" si="16"/>
        <v>0</v>
      </c>
      <c r="K90" s="362">
        <f t="shared" si="17"/>
        <v>2</v>
      </c>
      <c r="L90" s="362"/>
      <c r="M90" s="362">
        <f t="shared" si="18"/>
        <v>2</v>
      </c>
      <c r="N90" s="362">
        <f t="shared" si="19"/>
        <v>0</v>
      </c>
      <c r="O90" s="372"/>
    </row>
    <row r="91" ht="27.95" customHeight="1" spans="1:15">
      <c r="A91" s="360">
        <v>2012899</v>
      </c>
      <c r="B91" s="361" t="s">
        <v>108</v>
      </c>
      <c r="C91" s="362">
        <v>1</v>
      </c>
      <c r="D91" s="362">
        <v>0</v>
      </c>
      <c r="E91" s="362">
        <f t="shared" si="15"/>
        <v>1</v>
      </c>
      <c r="F91" s="362"/>
      <c r="G91" s="362"/>
      <c r="H91" s="362"/>
      <c r="I91" s="362"/>
      <c r="J91" s="362">
        <f t="shared" si="16"/>
        <v>0</v>
      </c>
      <c r="K91" s="362">
        <f t="shared" si="17"/>
        <v>1</v>
      </c>
      <c r="L91" s="362"/>
      <c r="M91" s="362">
        <f t="shared" si="18"/>
        <v>1</v>
      </c>
      <c r="N91" s="362">
        <f t="shared" si="19"/>
        <v>0</v>
      </c>
      <c r="O91" s="372"/>
    </row>
    <row r="92" ht="27.95" customHeight="1" spans="1:15">
      <c r="A92" s="360">
        <v>20129</v>
      </c>
      <c r="B92" s="361" t="s">
        <v>109</v>
      </c>
      <c r="C92" s="362">
        <v>286.83</v>
      </c>
      <c r="D92" s="362">
        <v>0</v>
      </c>
      <c r="E92" s="362">
        <f t="shared" si="15"/>
        <v>286.83</v>
      </c>
      <c r="F92" s="362">
        <v>9</v>
      </c>
      <c r="G92" s="362"/>
      <c r="H92" s="362"/>
      <c r="I92" s="362"/>
      <c r="J92" s="362">
        <f t="shared" si="16"/>
        <v>0</v>
      </c>
      <c r="K92" s="362">
        <f t="shared" si="17"/>
        <v>295.83</v>
      </c>
      <c r="L92" s="362"/>
      <c r="M92" s="362">
        <f t="shared" si="18"/>
        <v>295.83</v>
      </c>
      <c r="N92" s="362">
        <f t="shared" si="19"/>
        <v>3.13774709758394</v>
      </c>
      <c r="O92" s="372"/>
    </row>
    <row r="93" ht="30" customHeight="1" spans="1:15">
      <c r="A93" s="360">
        <v>2012901</v>
      </c>
      <c r="B93" s="361" t="s">
        <v>46</v>
      </c>
      <c r="C93" s="362">
        <v>208.83</v>
      </c>
      <c r="D93" s="362">
        <v>0</v>
      </c>
      <c r="E93" s="362">
        <f t="shared" si="15"/>
        <v>208.83</v>
      </c>
      <c r="F93" s="362">
        <v>9</v>
      </c>
      <c r="G93" s="362"/>
      <c r="H93" s="362"/>
      <c r="I93" s="362"/>
      <c r="J93" s="362">
        <f t="shared" si="16"/>
        <v>0</v>
      </c>
      <c r="K93" s="362">
        <f t="shared" si="17"/>
        <v>217.83</v>
      </c>
      <c r="L93" s="362"/>
      <c r="M93" s="362">
        <f t="shared" si="18"/>
        <v>217.83</v>
      </c>
      <c r="N93" s="362">
        <f t="shared" si="19"/>
        <v>4.3097256141359</v>
      </c>
      <c r="O93" s="372" t="s">
        <v>47</v>
      </c>
    </row>
    <row r="94" ht="27.95" customHeight="1" spans="1:15">
      <c r="A94" s="360">
        <v>2012902</v>
      </c>
      <c r="B94" s="361" t="s">
        <v>48</v>
      </c>
      <c r="C94" s="362">
        <v>75</v>
      </c>
      <c r="D94" s="362">
        <v>0</v>
      </c>
      <c r="E94" s="362">
        <f t="shared" si="15"/>
        <v>75</v>
      </c>
      <c r="F94" s="362"/>
      <c r="G94" s="362"/>
      <c r="H94" s="362"/>
      <c r="I94" s="362"/>
      <c r="J94" s="362">
        <f t="shared" si="16"/>
        <v>0</v>
      </c>
      <c r="K94" s="362">
        <f t="shared" si="17"/>
        <v>75</v>
      </c>
      <c r="L94" s="362"/>
      <c r="M94" s="362">
        <f t="shared" si="18"/>
        <v>75</v>
      </c>
      <c r="N94" s="362">
        <f t="shared" si="19"/>
        <v>0</v>
      </c>
      <c r="O94" s="372"/>
    </row>
    <row r="95" ht="27.95" customHeight="1" spans="1:15">
      <c r="A95" s="360">
        <v>2012999</v>
      </c>
      <c r="B95" s="361" t="s">
        <v>110</v>
      </c>
      <c r="C95" s="362">
        <v>3</v>
      </c>
      <c r="D95" s="362">
        <v>0</v>
      </c>
      <c r="E95" s="362">
        <f t="shared" si="15"/>
        <v>3</v>
      </c>
      <c r="F95" s="362"/>
      <c r="G95" s="362"/>
      <c r="H95" s="362"/>
      <c r="I95" s="362"/>
      <c r="J95" s="362">
        <f t="shared" si="16"/>
        <v>0</v>
      </c>
      <c r="K95" s="362">
        <f t="shared" si="17"/>
        <v>3</v>
      </c>
      <c r="L95" s="362"/>
      <c r="M95" s="362">
        <f t="shared" si="18"/>
        <v>3</v>
      </c>
      <c r="N95" s="362">
        <f t="shared" si="19"/>
        <v>0</v>
      </c>
      <c r="O95" s="372"/>
    </row>
    <row r="96" ht="27.95" customHeight="1" spans="1:15">
      <c r="A96" s="360">
        <v>20132</v>
      </c>
      <c r="B96" s="361" t="s">
        <v>111</v>
      </c>
      <c r="C96" s="362">
        <v>477.85</v>
      </c>
      <c r="D96" s="362">
        <v>65.94</v>
      </c>
      <c r="E96" s="362">
        <f t="shared" si="15"/>
        <v>543.79</v>
      </c>
      <c r="F96" s="362">
        <v>6</v>
      </c>
      <c r="G96" s="362"/>
      <c r="H96" s="362"/>
      <c r="I96" s="362"/>
      <c r="J96" s="362">
        <f t="shared" si="16"/>
        <v>0</v>
      </c>
      <c r="K96" s="362">
        <f t="shared" si="17"/>
        <v>483.85</v>
      </c>
      <c r="L96" s="362">
        <v>65.94</v>
      </c>
      <c r="M96" s="362">
        <f t="shared" si="18"/>
        <v>549.79</v>
      </c>
      <c r="N96" s="362">
        <f t="shared" si="19"/>
        <v>1.10336710862649</v>
      </c>
      <c r="O96" s="372"/>
    </row>
    <row r="97" ht="30" customHeight="1" spans="1:15">
      <c r="A97" s="360">
        <v>2013201</v>
      </c>
      <c r="B97" s="361" t="s">
        <v>46</v>
      </c>
      <c r="C97" s="362">
        <v>231.31</v>
      </c>
      <c r="D97" s="362">
        <v>0</v>
      </c>
      <c r="E97" s="362">
        <f t="shared" si="15"/>
        <v>231.31</v>
      </c>
      <c r="F97" s="362">
        <v>6</v>
      </c>
      <c r="G97" s="362"/>
      <c r="H97" s="362"/>
      <c r="I97" s="362"/>
      <c r="J97" s="362">
        <f t="shared" si="16"/>
        <v>0</v>
      </c>
      <c r="K97" s="362">
        <f t="shared" si="17"/>
        <v>237.31</v>
      </c>
      <c r="L97" s="362"/>
      <c r="M97" s="362">
        <f t="shared" si="18"/>
        <v>237.31</v>
      </c>
      <c r="N97" s="362">
        <f t="shared" si="19"/>
        <v>2.59392157710432</v>
      </c>
      <c r="O97" s="372" t="s">
        <v>47</v>
      </c>
    </row>
    <row r="98" ht="27.95" customHeight="1" spans="1:15">
      <c r="A98" s="360">
        <v>2013202</v>
      </c>
      <c r="B98" s="361" t="s">
        <v>48</v>
      </c>
      <c r="C98" s="362">
        <v>2</v>
      </c>
      <c r="D98" s="362">
        <v>0</v>
      </c>
      <c r="E98" s="362">
        <f t="shared" si="15"/>
        <v>2</v>
      </c>
      <c r="F98" s="362"/>
      <c r="G98" s="362"/>
      <c r="H98" s="362"/>
      <c r="I98" s="362"/>
      <c r="J98" s="362">
        <f t="shared" si="16"/>
        <v>0</v>
      </c>
      <c r="K98" s="362">
        <f t="shared" si="17"/>
        <v>2</v>
      </c>
      <c r="L98" s="362"/>
      <c r="M98" s="362">
        <f t="shared" si="18"/>
        <v>2</v>
      </c>
      <c r="N98" s="362">
        <f t="shared" si="19"/>
        <v>0</v>
      </c>
      <c r="O98" s="372"/>
    </row>
    <row r="99" ht="27.95" customHeight="1" spans="1:15">
      <c r="A99" s="360">
        <v>2013299</v>
      </c>
      <c r="B99" s="361" t="s">
        <v>112</v>
      </c>
      <c r="C99" s="362">
        <v>244.54</v>
      </c>
      <c r="D99" s="362">
        <v>65.94</v>
      </c>
      <c r="E99" s="362">
        <f t="shared" si="15"/>
        <v>310.48</v>
      </c>
      <c r="F99" s="362"/>
      <c r="G99" s="362"/>
      <c r="H99" s="362"/>
      <c r="I99" s="362"/>
      <c r="J99" s="362">
        <f t="shared" si="16"/>
        <v>0</v>
      </c>
      <c r="K99" s="362">
        <f t="shared" si="17"/>
        <v>244.54</v>
      </c>
      <c r="L99" s="362">
        <f>VLOOKUP(A99,[1]Sheet1!$D$1:$E$65536,2,0)</f>
        <v>65.94</v>
      </c>
      <c r="M99" s="362">
        <f t="shared" si="18"/>
        <v>310.48</v>
      </c>
      <c r="N99" s="362">
        <f t="shared" si="19"/>
        <v>0</v>
      </c>
      <c r="O99" s="372"/>
    </row>
    <row r="100" ht="27.95" customHeight="1" spans="1:15">
      <c r="A100" s="360">
        <v>20133</v>
      </c>
      <c r="B100" s="361" t="s">
        <v>113</v>
      </c>
      <c r="C100" s="362">
        <v>192.64</v>
      </c>
      <c r="D100" s="362">
        <v>0</v>
      </c>
      <c r="E100" s="362">
        <f t="shared" si="15"/>
        <v>192.64</v>
      </c>
      <c r="F100" s="362">
        <v>22</v>
      </c>
      <c r="G100" s="362"/>
      <c r="H100" s="362"/>
      <c r="I100" s="362"/>
      <c r="J100" s="362">
        <f t="shared" si="16"/>
        <v>0</v>
      </c>
      <c r="K100" s="362">
        <f t="shared" si="17"/>
        <v>214.64</v>
      </c>
      <c r="L100" s="362"/>
      <c r="M100" s="362">
        <f t="shared" si="18"/>
        <v>214.64</v>
      </c>
      <c r="N100" s="362">
        <f t="shared" si="19"/>
        <v>11.4202657807309</v>
      </c>
      <c r="O100" s="372"/>
    </row>
    <row r="101" ht="30" customHeight="1" spans="1:15">
      <c r="A101" s="360">
        <v>2013301</v>
      </c>
      <c r="B101" s="361" t="s">
        <v>46</v>
      </c>
      <c r="C101" s="362">
        <v>177.64</v>
      </c>
      <c r="D101" s="362">
        <v>0</v>
      </c>
      <c r="E101" s="362">
        <f t="shared" si="15"/>
        <v>177.64</v>
      </c>
      <c r="F101" s="362">
        <v>22</v>
      </c>
      <c r="G101" s="362"/>
      <c r="H101" s="362"/>
      <c r="I101" s="362"/>
      <c r="J101" s="362">
        <f t="shared" si="16"/>
        <v>0</v>
      </c>
      <c r="K101" s="362">
        <f t="shared" si="17"/>
        <v>199.64</v>
      </c>
      <c r="L101" s="362"/>
      <c r="M101" s="362">
        <f t="shared" si="18"/>
        <v>199.64</v>
      </c>
      <c r="N101" s="362">
        <f t="shared" si="19"/>
        <v>12.3845980634992</v>
      </c>
      <c r="O101" s="372" t="s">
        <v>47</v>
      </c>
    </row>
    <row r="102" ht="27.95" customHeight="1" spans="1:15">
      <c r="A102" s="360">
        <v>2013399</v>
      </c>
      <c r="B102" s="361" t="s">
        <v>114</v>
      </c>
      <c r="C102" s="362">
        <v>15</v>
      </c>
      <c r="D102" s="362">
        <v>0</v>
      </c>
      <c r="E102" s="362">
        <f t="shared" si="15"/>
        <v>15</v>
      </c>
      <c r="F102" s="362"/>
      <c r="G102" s="362"/>
      <c r="H102" s="362"/>
      <c r="I102" s="362"/>
      <c r="J102" s="362">
        <f t="shared" si="16"/>
        <v>0</v>
      </c>
      <c r="K102" s="362">
        <f t="shared" si="17"/>
        <v>15</v>
      </c>
      <c r="L102" s="362"/>
      <c r="M102" s="362">
        <f t="shared" si="18"/>
        <v>15</v>
      </c>
      <c r="N102" s="362">
        <f t="shared" si="19"/>
        <v>0</v>
      </c>
      <c r="O102" s="372"/>
    </row>
    <row r="103" ht="27.95" customHeight="1" spans="1:15">
      <c r="A103" s="360">
        <v>20134</v>
      </c>
      <c r="B103" s="361" t="s">
        <v>115</v>
      </c>
      <c r="C103" s="362">
        <v>97.32</v>
      </c>
      <c r="D103" s="362">
        <v>0</v>
      </c>
      <c r="E103" s="362">
        <f t="shared" si="15"/>
        <v>97.32</v>
      </c>
      <c r="F103" s="362"/>
      <c r="G103" s="362"/>
      <c r="H103" s="362"/>
      <c r="I103" s="362"/>
      <c r="J103" s="362">
        <f t="shared" si="16"/>
        <v>0</v>
      </c>
      <c r="K103" s="362">
        <f t="shared" si="17"/>
        <v>97.32</v>
      </c>
      <c r="L103" s="362"/>
      <c r="M103" s="362">
        <f t="shared" si="18"/>
        <v>97.32</v>
      </c>
      <c r="N103" s="362">
        <f t="shared" si="19"/>
        <v>0</v>
      </c>
      <c r="O103" s="372"/>
    </row>
    <row r="104" ht="27.95" customHeight="1" spans="1:15">
      <c r="A104" s="360">
        <v>2013401</v>
      </c>
      <c r="B104" s="361" t="s">
        <v>46</v>
      </c>
      <c r="C104" s="362">
        <v>86.32</v>
      </c>
      <c r="D104" s="362">
        <v>0</v>
      </c>
      <c r="E104" s="362">
        <f t="shared" si="15"/>
        <v>86.32</v>
      </c>
      <c r="F104" s="362">
        <v>0</v>
      </c>
      <c r="G104" s="362"/>
      <c r="H104" s="362"/>
      <c r="I104" s="362"/>
      <c r="J104" s="362">
        <f t="shared" si="16"/>
        <v>0</v>
      </c>
      <c r="K104" s="362">
        <f t="shared" si="17"/>
        <v>86.32</v>
      </c>
      <c r="L104" s="362"/>
      <c r="M104" s="362">
        <f t="shared" si="18"/>
        <v>86.32</v>
      </c>
      <c r="N104" s="362">
        <f t="shared" si="19"/>
        <v>0</v>
      </c>
      <c r="O104" s="372"/>
    </row>
    <row r="105" ht="27.95" customHeight="1" spans="1:15">
      <c r="A105" s="360">
        <v>2013499</v>
      </c>
      <c r="B105" s="361" t="s">
        <v>116</v>
      </c>
      <c r="C105" s="362">
        <v>11</v>
      </c>
      <c r="D105" s="362">
        <v>0</v>
      </c>
      <c r="E105" s="362">
        <f t="shared" si="15"/>
        <v>11</v>
      </c>
      <c r="F105" s="362"/>
      <c r="G105" s="362"/>
      <c r="H105" s="362"/>
      <c r="I105" s="362"/>
      <c r="J105" s="362">
        <f t="shared" si="16"/>
        <v>0</v>
      </c>
      <c r="K105" s="362">
        <f t="shared" si="17"/>
        <v>11</v>
      </c>
      <c r="L105" s="362"/>
      <c r="M105" s="362">
        <f t="shared" si="18"/>
        <v>11</v>
      </c>
      <c r="N105" s="362">
        <f t="shared" si="19"/>
        <v>0</v>
      </c>
      <c r="O105" s="372"/>
    </row>
    <row r="106" ht="27.95" customHeight="1" spans="1:15">
      <c r="A106" s="360">
        <v>20136</v>
      </c>
      <c r="B106" s="361" t="s">
        <v>117</v>
      </c>
      <c r="C106" s="362">
        <v>512.56</v>
      </c>
      <c r="D106" s="362">
        <v>0</v>
      </c>
      <c r="E106" s="362">
        <f t="shared" si="15"/>
        <v>512.56</v>
      </c>
      <c r="F106" s="362">
        <v>35</v>
      </c>
      <c r="G106" s="362"/>
      <c r="H106" s="362"/>
      <c r="I106" s="362"/>
      <c r="J106" s="362">
        <f t="shared" si="16"/>
        <v>0</v>
      </c>
      <c r="K106" s="362">
        <f t="shared" si="17"/>
        <v>547.56</v>
      </c>
      <c r="L106" s="362"/>
      <c r="M106" s="362">
        <f t="shared" si="18"/>
        <v>547.56</v>
      </c>
      <c r="N106" s="362">
        <f t="shared" si="19"/>
        <v>6.82846886218198</v>
      </c>
      <c r="O106" s="372"/>
    </row>
    <row r="107" ht="30" customHeight="1" spans="1:15">
      <c r="A107" s="360">
        <v>2013601</v>
      </c>
      <c r="B107" s="361" t="s">
        <v>46</v>
      </c>
      <c r="C107" s="362">
        <v>356.64</v>
      </c>
      <c r="D107" s="362">
        <v>0</v>
      </c>
      <c r="E107" s="362">
        <f t="shared" si="15"/>
        <v>356.64</v>
      </c>
      <c r="F107" s="362">
        <v>35</v>
      </c>
      <c r="G107" s="362"/>
      <c r="H107" s="362"/>
      <c r="I107" s="362"/>
      <c r="J107" s="362">
        <f t="shared" si="16"/>
        <v>0</v>
      </c>
      <c r="K107" s="362">
        <f t="shared" si="17"/>
        <v>391.64</v>
      </c>
      <c r="L107" s="362"/>
      <c r="M107" s="362">
        <f t="shared" si="18"/>
        <v>391.64</v>
      </c>
      <c r="N107" s="362">
        <f t="shared" si="19"/>
        <v>9.81381785554061</v>
      </c>
      <c r="O107" s="372" t="s">
        <v>47</v>
      </c>
    </row>
    <row r="108" ht="27.95" customHeight="1" spans="1:15">
      <c r="A108" s="360">
        <v>2013699</v>
      </c>
      <c r="B108" s="361" t="s">
        <v>117</v>
      </c>
      <c r="C108" s="362">
        <v>155.92</v>
      </c>
      <c r="D108" s="362">
        <v>0</v>
      </c>
      <c r="E108" s="362">
        <f t="shared" si="15"/>
        <v>155.92</v>
      </c>
      <c r="F108" s="362"/>
      <c r="G108" s="362"/>
      <c r="H108" s="362"/>
      <c r="I108" s="362"/>
      <c r="J108" s="362">
        <f t="shared" si="16"/>
        <v>0</v>
      </c>
      <c r="K108" s="362">
        <f t="shared" si="17"/>
        <v>155.92</v>
      </c>
      <c r="L108" s="362"/>
      <c r="M108" s="362">
        <f t="shared" si="18"/>
        <v>155.92</v>
      </c>
      <c r="N108" s="362">
        <f t="shared" si="19"/>
        <v>0</v>
      </c>
      <c r="O108" s="372"/>
    </row>
    <row r="109" ht="27.95" customHeight="1" spans="1:15">
      <c r="A109" s="360">
        <v>20199</v>
      </c>
      <c r="B109" s="361" t="s">
        <v>118</v>
      </c>
      <c r="C109" s="362">
        <v>2192.92</v>
      </c>
      <c r="D109" s="362">
        <v>200</v>
      </c>
      <c r="E109" s="362">
        <f t="shared" si="15"/>
        <v>2392.92</v>
      </c>
      <c r="F109" s="362">
        <v>-289</v>
      </c>
      <c r="G109" s="362"/>
      <c r="H109" s="362"/>
      <c r="I109" s="362"/>
      <c r="J109" s="362">
        <f t="shared" si="16"/>
        <v>0</v>
      </c>
      <c r="K109" s="362">
        <f t="shared" si="17"/>
        <v>1903.92</v>
      </c>
      <c r="L109" s="362">
        <v>200</v>
      </c>
      <c r="M109" s="362">
        <f t="shared" si="18"/>
        <v>2103.92</v>
      </c>
      <c r="N109" s="362">
        <f t="shared" si="19"/>
        <v>-12.0772946859903</v>
      </c>
      <c r="O109" s="372"/>
    </row>
    <row r="110" ht="30" customHeight="1" spans="1:15">
      <c r="A110" s="360">
        <v>2019999</v>
      </c>
      <c r="B110" s="361" t="s">
        <v>118</v>
      </c>
      <c r="C110" s="362">
        <v>2192.92</v>
      </c>
      <c r="D110" s="362">
        <v>200</v>
      </c>
      <c r="E110" s="362">
        <f t="shared" si="15"/>
        <v>2392.92</v>
      </c>
      <c r="F110" s="362">
        <v>-289</v>
      </c>
      <c r="G110" s="362"/>
      <c r="H110" s="362"/>
      <c r="I110" s="362"/>
      <c r="J110" s="362">
        <f t="shared" si="16"/>
        <v>0</v>
      </c>
      <c r="K110" s="362">
        <f t="shared" si="17"/>
        <v>1903.92</v>
      </c>
      <c r="L110" s="362">
        <f>VLOOKUP(A110,[1]Sheet1!$D$1:$E$65536,2,0)</f>
        <v>200</v>
      </c>
      <c r="M110" s="362">
        <f t="shared" si="18"/>
        <v>2103.92</v>
      </c>
      <c r="N110" s="362">
        <f t="shared" si="19"/>
        <v>-12.0772946859903</v>
      </c>
      <c r="O110" s="372" t="s">
        <v>119</v>
      </c>
    </row>
    <row r="111" ht="27.95" customHeight="1" spans="1:15">
      <c r="A111" s="360">
        <v>203</v>
      </c>
      <c r="B111" s="361" t="s">
        <v>120</v>
      </c>
      <c r="C111" s="362">
        <v>558.75</v>
      </c>
      <c r="D111" s="362">
        <v>0</v>
      </c>
      <c r="E111" s="362">
        <f t="shared" si="15"/>
        <v>558.75</v>
      </c>
      <c r="F111" s="362">
        <v>5</v>
      </c>
      <c r="G111" s="362"/>
      <c r="H111" s="362"/>
      <c r="I111" s="362"/>
      <c r="J111" s="362">
        <f>J112+J116</f>
        <v>0</v>
      </c>
      <c r="K111" s="362">
        <f t="shared" si="17"/>
        <v>563.75</v>
      </c>
      <c r="L111" s="362">
        <f>L112+L116</f>
        <v>0</v>
      </c>
      <c r="M111" s="362">
        <f t="shared" si="18"/>
        <v>563.75</v>
      </c>
      <c r="N111" s="362">
        <f t="shared" si="19"/>
        <v>0.894854586129745</v>
      </c>
      <c r="O111" s="372"/>
    </row>
    <row r="112" ht="27.95" customHeight="1" spans="1:15">
      <c r="A112" s="360">
        <v>20306</v>
      </c>
      <c r="B112" s="361" t="s">
        <v>121</v>
      </c>
      <c r="C112" s="362">
        <v>146.72</v>
      </c>
      <c r="D112" s="362">
        <v>0</v>
      </c>
      <c r="E112" s="362">
        <f t="shared" si="15"/>
        <v>146.72</v>
      </c>
      <c r="F112" s="362"/>
      <c r="G112" s="362"/>
      <c r="H112" s="362"/>
      <c r="I112" s="362"/>
      <c r="J112" s="362">
        <f t="shared" ref="J112:J175" si="20">L112-D112</f>
        <v>0</v>
      </c>
      <c r="K112" s="362">
        <f t="shared" si="17"/>
        <v>146.72</v>
      </c>
      <c r="L112" s="362"/>
      <c r="M112" s="362">
        <f t="shared" si="18"/>
        <v>146.72</v>
      </c>
      <c r="N112" s="362">
        <f t="shared" si="19"/>
        <v>0</v>
      </c>
      <c r="O112" s="372"/>
    </row>
    <row r="113" ht="27.95" customHeight="1" spans="1:15">
      <c r="A113" s="360">
        <v>2030601</v>
      </c>
      <c r="B113" s="361" t="s">
        <v>122</v>
      </c>
      <c r="C113" s="362">
        <v>20</v>
      </c>
      <c r="D113" s="362">
        <v>0</v>
      </c>
      <c r="E113" s="362">
        <f t="shared" si="15"/>
        <v>20</v>
      </c>
      <c r="F113" s="362"/>
      <c r="G113" s="362"/>
      <c r="H113" s="362"/>
      <c r="I113" s="362"/>
      <c r="J113" s="362">
        <f t="shared" si="20"/>
        <v>0</v>
      </c>
      <c r="K113" s="362">
        <f t="shared" si="17"/>
        <v>20</v>
      </c>
      <c r="L113" s="362"/>
      <c r="M113" s="362">
        <f t="shared" si="18"/>
        <v>20</v>
      </c>
      <c r="N113" s="362">
        <f t="shared" si="19"/>
        <v>0</v>
      </c>
      <c r="O113" s="372"/>
    </row>
    <row r="114" ht="27.95" customHeight="1" spans="1:15">
      <c r="A114" s="360">
        <v>2030603</v>
      </c>
      <c r="B114" s="361" t="s">
        <v>123</v>
      </c>
      <c r="C114" s="362">
        <v>86.72</v>
      </c>
      <c r="D114" s="362">
        <v>0</v>
      </c>
      <c r="E114" s="362">
        <f t="shared" si="15"/>
        <v>86.72</v>
      </c>
      <c r="F114" s="362"/>
      <c r="G114" s="362"/>
      <c r="H114" s="362"/>
      <c r="I114" s="362"/>
      <c r="J114" s="362">
        <f t="shared" si="20"/>
        <v>0</v>
      </c>
      <c r="K114" s="362">
        <f t="shared" si="17"/>
        <v>86.72</v>
      </c>
      <c r="L114" s="362"/>
      <c r="M114" s="362">
        <f t="shared" si="18"/>
        <v>86.72</v>
      </c>
      <c r="N114" s="362">
        <f t="shared" si="19"/>
        <v>0</v>
      </c>
      <c r="O114" s="372"/>
    </row>
    <row r="115" ht="27.95" customHeight="1" spans="1:15">
      <c r="A115" s="360">
        <v>2030607</v>
      </c>
      <c r="B115" s="361" t="s">
        <v>124</v>
      </c>
      <c r="C115" s="362">
        <v>40</v>
      </c>
      <c r="D115" s="362">
        <v>0</v>
      </c>
      <c r="E115" s="362">
        <f t="shared" si="15"/>
        <v>40</v>
      </c>
      <c r="F115" s="362"/>
      <c r="G115" s="362"/>
      <c r="H115" s="362"/>
      <c r="I115" s="362"/>
      <c r="J115" s="362">
        <f t="shared" si="20"/>
        <v>0</v>
      </c>
      <c r="K115" s="362">
        <f t="shared" si="17"/>
        <v>40</v>
      </c>
      <c r="L115" s="362"/>
      <c r="M115" s="362">
        <f t="shared" si="18"/>
        <v>40</v>
      </c>
      <c r="N115" s="362">
        <f t="shared" si="19"/>
        <v>0</v>
      </c>
      <c r="O115" s="372"/>
    </row>
    <row r="116" ht="27.95" customHeight="1" spans="1:15">
      <c r="A116" s="360">
        <v>20399</v>
      </c>
      <c r="B116" s="361" t="s">
        <v>125</v>
      </c>
      <c r="C116" s="362">
        <v>412.03</v>
      </c>
      <c r="D116" s="362">
        <v>0</v>
      </c>
      <c r="E116" s="362">
        <f t="shared" si="15"/>
        <v>412.03</v>
      </c>
      <c r="F116" s="362">
        <v>5</v>
      </c>
      <c r="G116" s="362"/>
      <c r="H116" s="362"/>
      <c r="I116" s="362"/>
      <c r="J116" s="362">
        <f t="shared" si="20"/>
        <v>0</v>
      </c>
      <c r="K116" s="362">
        <f t="shared" si="17"/>
        <v>417.03</v>
      </c>
      <c r="L116" s="362"/>
      <c r="M116" s="362">
        <f t="shared" si="18"/>
        <v>417.03</v>
      </c>
      <c r="N116" s="362">
        <f t="shared" si="19"/>
        <v>1.21350387107735</v>
      </c>
      <c r="O116" s="372"/>
    </row>
    <row r="117" ht="30" customHeight="1" spans="1:15">
      <c r="A117" s="360">
        <v>2039901</v>
      </c>
      <c r="B117" s="361" t="s">
        <v>125</v>
      </c>
      <c r="C117" s="362">
        <v>412.03</v>
      </c>
      <c r="D117" s="362">
        <v>0</v>
      </c>
      <c r="E117" s="362">
        <f t="shared" si="15"/>
        <v>412.03</v>
      </c>
      <c r="F117" s="362">
        <v>5</v>
      </c>
      <c r="G117" s="362"/>
      <c r="H117" s="362"/>
      <c r="I117" s="362"/>
      <c r="J117" s="362">
        <f t="shared" si="20"/>
        <v>0</v>
      </c>
      <c r="K117" s="362">
        <f t="shared" si="17"/>
        <v>417.03</v>
      </c>
      <c r="L117" s="362"/>
      <c r="M117" s="362">
        <f t="shared" si="18"/>
        <v>417.03</v>
      </c>
      <c r="N117" s="362">
        <f t="shared" si="19"/>
        <v>1.21350387107735</v>
      </c>
      <c r="O117" s="372" t="s">
        <v>47</v>
      </c>
    </row>
    <row r="118" ht="27.95" customHeight="1" spans="1:15">
      <c r="A118" s="360">
        <v>204</v>
      </c>
      <c r="B118" s="361" t="s">
        <v>126</v>
      </c>
      <c r="C118" s="362">
        <v>3420.96</v>
      </c>
      <c r="D118" s="362">
        <v>321.4865</v>
      </c>
      <c r="E118" s="362">
        <f t="shared" si="15"/>
        <v>3742.4465</v>
      </c>
      <c r="F118" s="362">
        <f>F119+F122+F125+F128+F131+F140</f>
        <v>59</v>
      </c>
      <c r="G118" s="362"/>
      <c r="H118" s="362"/>
      <c r="I118" s="362"/>
      <c r="J118" s="362">
        <f t="shared" si="20"/>
        <v>0</v>
      </c>
      <c r="K118" s="362">
        <f t="shared" si="17"/>
        <v>3479.96</v>
      </c>
      <c r="L118" s="362">
        <f>L119+L122+L125+L128+L131+L140</f>
        <v>321.4865</v>
      </c>
      <c r="M118" s="362">
        <f t="shared" ref="M118:M138" si="21">K118+L118</f>
        <v>3801.4465</v>
      </c>
      <c r="N118" s="362">
        <f t="shared" si="19"/>
        <v>1.57650884254457</v>
      </c>
      <c r="O118" s="372"/>
    </row>
    <row r="119" ht="27.95" customHeight="1" spans="1:15">
      <c r="A119" s="360">
        <v>20401</v>
      </c>
      <c r="B119" s="361" t="s">
        <v>127</v>
      </c>
      <c r="C119" s="362">
        <v>313.26</v>
      </c>
      <c r="D119" s="362">
        <v>70</v>
      </c>
      <c r="E119" s="362">
        <f t="shared" si="15"/>
        <v>383.26</v>
      </c>
      <c r="F119" s="362"/>
      <c r="G119" s="362"/>
      <c r="H119" s="362"/>
      <c r="I119" s="362"/>
      <c r="J119" s="362">
        <f t="shared" si="20"/>
        <v>0</v>
      </c>
      <c r="K119" s="362">
        <f t="shared" si="17"/>
        <v>313.26</v>
      </c>
      <c r="L119" s="362">
        <f>L120+L121</f>
        <v>70</v>
      </c>
      <c r="M119" s="362">
        <f t="shared" si="21"/>
        <v>383.26</v>
      </c>
      <c r="N119" s="362">
        <f t="shared" si="19"/>
        <v>0</v>
      </c>
      <c r="O119" s="372"/>
    </row>
    <row r="120" ht="27.95" customHeight="1" spans="1:15">
      <c r="A120" s="360">
        <v>2040102</v>
      </c>
      <c r="B120" s="361" t="s">
        <v>128</v>
      </c>
      <c r="C120" s="362"/>
      <c r="D120" s="362">
        <v>53</v>
      </c>
      <c r="E120" s="362">
        <f t="shared" si="15"/>
        <v>53</v>
      </c>
      <c r="F120" s="362"/>
      <c r="G120" s="362"/>
      <c r="H120" s="362"/>
      <c r="I120" s="362"/>
      <c r="J120" s="362">
        <f t="shared" si="20"/>
        <v>0</v>
      </c>
      <c r="K120" s="362">
        <f t="shared" si="17"/>
        <v>0</v>
      </c>
      <c r="L120" s="362">
        <v>53</v>
      </c>
      <c r="M120" s="362">
        <f t="shared" si="21"/>
        <v>53</v>
      </c>
      <c r="N120" s="362">
        <f t="shared" si="19"/>
        <v>0</v>
      </c>
      <c r="O120" s="372"/>
    </row>
    <row r="121" ht="27.95" customHeight="1" spans="1:15">
      <c r="A121" s="360">
        <v>2040103</v>
      </c>
      <c r="B121" s="361" t="s">
        <v>129</v>
      </c>
      <c r="C121" s="362">
        <v>313.26</v>
      </c>
      <c r="D121" s="362">
        <v>17</v>
      </c>
      <c r="E121" s="362">
        <f t="shared" si="15"/>
        <v>330.26</v>
      </c>
      <c r="F121" s="362"/>
      <c r="G121" s="362"/>
      <c r="H121" s="362"/>
      <c r="I121" s="362"/>
      <c r="J121" s="362">
        <f t="shared" si="20"/>
        <v>0</v>
      </c>
      <c r="K121" s="362">
        <f t="shared" si="17"/>
        <v>313.26</v>
      </c>
      <c r="L121" s="362">
        <v>17</v>
      </c>
      <c r="M121" s="362">
        <f t="shared" si="21"/>
        <v>330.26</v>
      </c>
      <c r="N121" s="362">
        <f t="shared" si="19"/>
        <v>0</v>
      </c>
      <c r="O121" s="372"/>
    </row>
    <row r="122" ht="27.95" customHeight="1" spans="1:15">
      <c r="A122" s="360">
        <v>20402</v>
      </c>
      <c r="B122" s="361" t="s">
        <v>130</v>
      </c>
      <c r="C122" s="362">
        <v>1727.34</v>
      </c>
      <c r="D122" s="362">
        <v>0</v>
      </c>
      <c r="E122" s="362">
        <f t="shared" si="15"/>
        <v>1727.34</v>
      </c>
      <c r="F122" s="362"/>
      <c r="G122" s="362"/>
      <c r="H122" s="362"/>
      <c r="I122" s="362"/>
      <c r="J122" s="362">
        <f t="shared" si="20"/>
        <v>0</v>
      </c>
      <c r="K122" s="362">
        <f t="shared" si="17"/>
        <v>1727.34</v>
      </c>
      <c r="L122" s="362"/>
      <c r="M122" s="362">
        <f t="shared" si="21"/>
        <v>1727.34</v>
      </c>
      <c r="N122" s="362">
        <f t="shared" si="19"/>
        <v>0</v>
      </c>
      <c r="O122" s="372"/>
    </row>
    <row r="123" ht="27.95" customHeight="1" spans="1:15">
      <c r="A123" s="360">
        <v>2040204</v>
      </c>
      <c r="B123" s="361" t="s">
        <v>131</v>
      </c>
      <c r="C123" s="362">
        <v>20.38</v>
      </c>
      <c r="D123" s="362">
        <v>0</v>
      </c>
      <c r="E123" s="362">
        <f t="shared" si="15"/>
        <v>20.38</v>
      </c>
      <c r="F123" s="362"/>
      <c r="G123" s="362"/>
      <c r="H123" s="362"/>
      <c r="I123" s="362"/>
      <c r="J123" s="362">
        <f t="shared" si="20"/>
        <v>0</v>
      </c>
      <c r="K123" s="362">
        <f t="shared" si="17"/>
        <v>20.38</v>
      </c>
      <c r="L123" s="362"/>
      <c r="M123" s="362">
        <f t="shared" si="21"/>
        <v>20.38</v>
      </c>
      <c r="N123" s="362">
        <f t="shared" si="19"/>
        <v>0</v>
      </c>
      <c r="O123" s="372"/>
    </row>
    <row r="124" ht="27.95" customHeight="1" spans="1:15">
      <c r="A124" s="360">
        <v>2040299</v>
      </c>
      <c r="B124" s="361" t="s">
        <v>132</v>
      </c>
      <c r="C124" s="362">
        <v>1706.96</v>
      </c>
      <c r="D124" s="362">
        <v>0</v>
      </c>
      <c r="E124" s="362">
        <f t="shared" si="15"/>
        <v>1706.96</v>
      </c>
      <c r="F124" s="362"/>
      <c r="G124" s="362"/>
      <c r="H124" s="362"/>
      <c r="I124" s="362"/>
      <c r="J124" s="362">
        <f t="shared" si="20"/>
        <v>0</v>
      </c>
      <c r="K124" s="362">
        <f t="shared" si="17"/>
        <v>1706.96</v>
      </c>
      <c r="L124" s="362"/>
      <c r="M124" s="362">
        <f t="shared" si="21"/>
        <v>1706.96</v>
      </c>
      <c r="N124" s="362">
        <f t="shared" si="19"/>
        <v>0</v>
      </c>
      <c r="O124" s="372"/>
    </row>
    <row r="125" ht="27.95" customHeight="1" spans="1:15">
      <c r="A125" s="360">
        <v>20404</v>
      </c>
      <c r="B125" s="361" t="s">
        <v>133</v>
      </c>
      <c r="C125" s="362">
        <v>195.8</v>
      </c>
      <c r="D125" s="362">
        <v>0</v>
      </c>
      <c r="E125" s="362">
        <f t="shared" si="15"/>
        <v>195.8</v>
      </c>
      <c r="F125" s="362"/>
      <c r="G125" s="362"/>
      <c r="H125" s="362"/>
      <c r="I125" s="362"/>
      <c r="J125" s="362">
        <f t="shared" si="20"/>
        <v>0</v>
      </c>
      <c r="K125" s="362">
        <f t="shared" si="17"/>
        <v>195.8</v>
      </c>
      <c r="L125" s="362"/>
      <c r="M125" s="362">
        <f t="shared" si="21"/>
        <v>195.8</v>
      </c>
      <c r="N125" s="362">
        <f t="shared" si="19"/>
        <v>0</v>
      </c>
      <c r="O125" s="372"/>
    </row>
    <row r="126" ht="27.95" customHeight="1" spans="1:15">
      <c r="A126" s="360">
        <v>2040401</v>
      </c>
      <c r="B126" s="361" t="s">
        <v>46</v>
      </c>
      <c r="C126" s="362">
        <v>139.8</v>
      </c>
      <c r="D126" s="362">
        <v>0</v>
      </c>
      <c r="E126" s="362">
        <f t="shared" si="15"/>
        <v>139.8</v>
      </c>
      <c r="F126" s="362"/>
      <c r="G126" s="362"/>
      <c r="H126" s="362"/>
      <c r="I126" s="362"/>
      <c r="J126" s="362">
        <f t="shared" si="20"/>
        <v>0</v>
      </c>
      <c r="K126" s="362">
        <f t="shared" si="17"/>
        <v>139.8</v>
      </c>
      <c r="L126" s="362"/>
      <c r="M126" s="362">
        <f t="shared" si="21"/>
        <v>139.8</v>
      </c>
      <c r="N126" s="362">
        <f t="shared" si="19"/>
        <v>0</v>
      </c>
      <c r="O126" s="372"/>
    </row>
    <row r="127" ht="27.95" customHeight="1" spans="1:15">
      <c r="A127" s="360">
        <v>2040499</v>
      </c>
      <c r="B127" s="361" t="s">
        <v>134</v>
      </c>
      <c r="C127" s="362">
        <v>56</v>
      </c>
      <c r="D127" s="362">
        <v>0</v>
      </c>
      <c r="E127" s="362">
        <f t="shared" si="15"/>
        <v>56</v>
      </c>
      <c r="F127" s="362"/>
      <c r="G127" s="362"/>
      <c r="H127" s="362"/>
      <c r="I127" s="362"/>
      <c r="J127" s="362">
        <f t="shared" si="20"/>
        <v>0</v>
      </c>
      <c r="K127" s="362">
        <f t="shared" si="17"/>
        <v>56</v>
      </c>
      <c r="L127" s="362"/>
      <c r="M127" s="362">
        <f t="shared" si="21"/>
        <v>56</v>
      </c>
      <c r="N127" s="362">
        <f t="shared" si="19"/>
        <v>0</v>
      </c>
      <c r="O127" s="372"/>
    </row>
    <row r="128" ht="27.95" customHeight="1" spans="1:15">
      <c r="A128" s="360">
        <v>20405</v>
      </c>
      <c r="B128" s="361" t="s">
        <v>135</v>
      </c>
      <c r="C128" s="362">
        <v>245.88</v>
      </c>
      <c r="D128" s="362">
        <v>0</v>
      </c>
      <c r="E128" s="362">
        <f t="shared" si="15"/>
        <v>245.88</v>
      </c>
      <c r="F128" s="362"/>
      <c r="G128" s="362"/>
      <c r="H128" s="362"/>
      <c r="I128" s="362"/>
      <c r="J128" s="362">
        <f t="shared" si="20"/>
        <v>0</v>
      </c>
      <c r="K128" s="362">
        <f t="shared" si="17"/>
        <v>245.88</v>
      </c>
      <c r="L128" s="362"/>
      <c r="M128" s="362">
        <f t="shared" si="21"/>
        <v>245.88</v>
      </c>
      <c r="N128" s="362">
        <f t="shared" si="19"/>
        <v>0</v>
      </c>
      <c r="O128" s="372"/>
    </row>
    <row r="129" ht="27.95" customHeight="1" spans="1:15">
      <c r="A129" s="360">
        <v>2040501</v>
      </c>
      <c r="B129" s="361" t="s">
        <v>46</v>
      </c>
      <c r="C129" s="362">
        <v>160.88</v>
      </c>
      <c r="D129" s="362">
        <v>0</v>
      </c>
      <c r="E129" s="362">
        <f t="shared" si="15"/>
        <v>160.88</v>
      </c>
      <c r="F129" s="362"/>
      <c r="G129" s="362"/>
      <c r="H129" s="362"/>
      <c r="I129" s="362"/>
      <c r="J129" s="362">
        <f t="shared" si="20"/>
        <v>0</v>
      </c>
      <c r="K129" s="362">
        <f t="shared" si="17"/>
        <v>160.88</v>
      </c>
      <c r="L129" s="362"/>
      <c r="M129" s="362">
        <f t="shared" si="21"/>
        <v>160.88</v>
      </c>
      <c r="N129" s="362">
        <f t="shared" si="19"/>
        <v>0</v>
      </c>
      <c r="O129" s="372"/>
    </row>
    <row r="130" ht="27.95" customHeight="1" spans="1:15">
      <c r="A130" s="360">
        <v>2040599</v>
      </c>
      <c r="B130" s="361" t="s">
        <v>136</v>
      </c>
      <c r="C130" s="362">
        <v>85</v>
      </c>
      <c r="D130" s="362">
        <v>0</v>
      </c>
      <c r="E130" s="362">
        <f t="shared" si="15"/>
        <v>85</v>
      </c>
      <c r="F130" s="362"/>
      <c r="G130" s="362"/>
      <c r="H130" s="362"/>
      <c r="I130" s="362"/>
      <c r="J130" s="362">
        <f t="shared" si="20"/>
        <v>0</v>
      </c>
      <c r="K130" s="362">
        <f t="shared" si="17"/>
        <v>85</v>
      </c>
      <c r="L130" s="362"/>
      <c r="M130" s="362">
        <f t="shared" si="21"/>
        <v>85</v>
      </c>
      <c r="N130" s="362">
        <f t="shared" si="19"/>
        <v>0</v>
      </c>
      <c r="O130" s="372"/>
    </row>
    <row r="131" ht="27.95" customHeight="1" spans="1:15">
      <c r="A131" s="360">
        <v>20406</v>
      </c>
      <c r="B131" s="361" t="s">
        <v>137</v>
      </c>
      <c r="C131" s="362">
        <v>741.68</v>
      </c>
      <c r="D131" s="362">
        <v>181.4865</v>
      </c>
      <c r="E131" s="362">
        <f t="shared" si="15"/>
        <v>923.1665</v>
      </c>
      <c r="F131" s="362">
        <f>F132+F137</f>
        <v>59</v>
      </c>
      <c r="G131" s="362"/>
      <c r="H131" s="362"/>
      <c r="I131" s="362"/>
      <c r="J131" s="362">
        <f t="shared" si="20"/>
        <v>0</v>
      </c>
      <c r="K131" s="362">
        <f t="shared" si="17"/>
        <v>800.68</v>
      </c>
      <c r="L131" s="362">
        <f>SUM(L132:L139)</f>
        <v>181.4865</v>
      </c>
      <c r="M131" s="362">
        <f t="shared" si="21"/>
        <v>982.1665</v>
      </c>
      <c r="N131" s="362">
        <f t="shared" si="19"/>
        <v>6.39104646886559</v>
      </c>
      <c r="O131" s="372"/>
    </row>
    <row r="132" ht="30" customHeight="1" spans="1:15">
      <c r="A132" s="360">
        <v>2040601</v>
      </c>
      <c r="B132" s="361" t="s">
        <v>46</v>
      </c>
      <c r="C132" s="362">
        <v>417.56</v>
      </c>
      <c r="D132" s="362">
        <v>0</v>
      </c>
      <c r="E132" s="362">
        <f t="shared" si="15"/>
        <v>417.56</v>
      </c>
      <c r="F132" s="362">
        <v>45</v>
      </c>
      <c r="G132" s="362"/>
      <c r="H132" s="362"/>
      <c r="I132" s="362"/>
      <c r="J132" s="362">
        <f t="shared" si="20"/>
        <v>0</v>
      </c>
      <c r="K132" s="362">
        <f t="shared" si="17"/>
        <v>462.56</v>
      </c>
      <c r="L132" s="362"/>
      <c r="M132" s="362">
        <f t="shared" si="21"/>
        <v>462.56</v>
      </c>
      <c r="N132" s="362">
        <f t="shared" si="19"/>
        <v>10.7768943385382</v>
      </c>
      <c r="O132" s="372" t="s">
        <v>47</v>
      </c>
    </row>
    <row r="133" ht="27.95" customHeight="1" spans="1:15">
      <c r="A133" s="360">
        <v>2040602</v>
      </c>
      <c r="B133" s="361" t="s">
        <v>48</v>
      </c>
      <c r="C133" s="362">
        <v>45</v>
      </c>
      <c r="D133" s="362">
        <v>0</v>
      </c>
      <c r="E133" s="362">
        <f t="shared" si="15"/>
        <v>45</v>
      </c>
      <c r="F133" s="362"/>
      <c r="G133" s="362"/>
      <c r="H133" s="362"/>
      <c r="I133" s="362"/>
      <c r="J133" s="362">
        <f t="shared" si="20"/>
        <v>0</v>
      </c>
      <c r="K133" s="362">
        <f t="shared" si="17"/>
        <v>45</v>
      </c>
      <c r="L133" s="362"/>
      <c r="M133" s="362">
        <f t="shared" si="21"/>
        <v>45</v>
      </c>
      <c r="N133" s="362">
        <f t="shared" si="19"/>
        <v>0</v>
      </c>
      <c r="O133" s="372"/>
    </row>
    <row r="134" ht="27.95" customHeight="1" spans="1:15">
      <c r="A134" s="360">
        <v>2040604</v>
      </c>
      <c r="B134" s="361" t="s">
        <v>138</v>
      </c>
      <c r="C134" s="362">
        <v>10</v>
      </c>
      <c r="D134" s="362">
        <v>34.542</v>
      </c>
      <c r="E134" s="362">
        <f t="shared" si="15"/>
        <v>44.542</v>
      </c>
      <c r="F134" s="362"/>
      <c r="G134" s="362"/>
      <c r="H134" s="362"/>
      <c r="I134" s="362"/>
      <c r="J134" s="362">
        <f t="shared" si="20"/>
        <v>0</v>
      </c>
      <c r="K134" s="362">
        <f t="shared" si="17"/>
        <v>10</v>
      </c>
      <c r="L134" s="362">
        <v>34.542</v>
      </c>
      <c r="M134" s="362">
        <f t="shared" si="21"/>
        <v>44.542</v>
      </c>
      <c r="N134" s="362">
        <f t="shared" si="19"/>
        <v>0</v>
      </c>
      <c r="O134" s="372"/>
    </row>
    <row r="135" ht="27.95" customHeight="1" spans="1:15">
      <c r="A135" s="360">
        <v>2040605</v>
      </c>
      <c r="B135" s="361" t="s">
        <v>139</v>
      </c>
      <c r="C135" s="362">
        <v>10</v>
      </c>
      <c r="D135" s="362">
        <v>9.5</v>
      </c>
      <c r="E135" s="362">
        <f t="shared" si="15"/>
        <v>19.5</v>
      </c>
      <c r="F135" s="362"/>
      <c r="G135" s="362"/>
      <c r="H135" s="362"/>
      <c r="I135" s="362"/>
      <c r="J135" s="362">
        <f t="shared" si="20"/>
        <v>0</v>
      </c>
      <c r="K135" s="362">
        <f t="shared" si="17"/>
        <v>10</v>
      </c>
      <c r="L135" s="362">
        <v>9.5</v>
      </c>
      <c r="M135" s="362">
        <f t="shared" si="21"/>
        <v>19.5</v>
      </c>
      <c r="N135" s="362">
        <f t="shared" si="19"/>
        <v>0</v>
      </c>
      <c r="O135" s="372"/>
    </row>
    <row r="136" ht="27.95" customHeight="1" spans="1:15">
      <c r="A136" s="360">
        <v>2040606</v>
      </c>
      <c r="B136" s="361" t="s">
        <v>140</v>
      </c>
      <c r="C136" s="362">
        <v>24.7</v>
      </c>
      <c r="D136" s="362">
        <v>0</v>
      </c>
      <c r="E136" s="362">
        <f t="shared" si="15"/>
        <v>24.7</v>
      </c>
      <c r="F136" s="362"/>
      <c r="G136" s="362"/>
      <c r="H136" s="362"/>
      <c r="I136" s="362"/>
      <c r="J136" s="362">
        <f t="shared" si="20"/>
        <v>0</v>
      </c>
      <c r="K136" s="362">
        <f t="shared" si="17"/>
        <v>24.7</v>
      </c>
      <c r="L136" s="362"/>
      <c r="M136" s="362">
        <f t="shared" si="21"/>
        <v>24.7</v>
      </c>
      <c r="N136" s="362">
        <f t="shared" si="19"/>
        <v>0</v>
      </c>
      <c r="O136" s="372"/>
    </row>
    <row r="137" ht="30" customHeight="1" spans="1:15">
      <c r="A137" s="360">
        <v>2040607</v>
      </c>
      <c r="B137" s="361" t="s">
        <v>141</v>
      </c>
      <c r="C137" s="362">
        <v>76.42</v>
      </c>
      <c r="D137" s="362">
        <v>55.4694</v>
      </c>
      <c r="E137" s="362">
        <f t="shared" si="15"/>
        <v>131.8894</v>
      </c>
      <c r="F137" s="362">
        <v>14</v>
      </c>
      <c r="G137" s="362"/>
      <c r="H137" s="362"/>
      <c r="I137" s="362"/>
      <c r="J137" s="362">
        <f t="shared" si="20"/>
        <v>0</v>
      </c>
      <c r="K137" s="362">
        <f t="shared" si="17"/>
        <v>90.42</v>
      </c>
      <c r="L137" s="362">
        <v>55.4694</v>
      </c>
      <c r="M137" s="362">
        <f t="shared" si="21"/>
        <v>145.8894</v>
      </c>
      <c r="N137" s="362">
        <f t="shared" si="19"/>
        <v>10.6149546513973</v>
      </c>
      <c r="O137" s="372" t="s">
        <v>47</v>
      </c>
    </row>
    <row r="138" ht="27.95" customHeight="1" spans="1:15">
      <c r="A138" s="360">
        <v>2040610</v>
      </c>
      <c r="B138" s="361" t="s">
        <v>142</v>
      </c>
      <c r="C138" s="362">
        <v>158</v>
      </c>
      <c r="D138" s="362">
        <v>17.3751</v>
      </c>
      <c r="E138" s="362">
        <f t="shared" si="15"/>
        <v>175.3751</v>
      </c>
      <c r="F138" s="362"/>
      <c r="G138" s="362"/>
      <c r="H138" s="362"/>
      <c r="I138" s="362"/>
      <c r="J138" s="362">
        <f t="shared" si="20"/>
        <v>0</v>
      </c>
      <c r="K138" s="362">
        <f t="shared" si="17"/>
        <v>158</v>
      </c>
      <c r="L138" s="362">
        <v>17.3751</v>
      </c>
      <c r="M138" s="362">
        <f t="shared" si="21"/>
        <v>175.3751</v>
      </c>
      <c r="N138" s="362">
        <f t="shared" si="19"/>
        <v>0</v>
      </c>
      <c r="O138" s="372"/>
    </row>
    <row r="139" ht="27.95" customHeight="1" spans="1:15">
      <c r="A139" s="360">
        <v>2040699</v>
      </c>
      <c r="B139" s="361" t="s">
        <v>143</v>
      </c>
      <c r="C139" s="362"/>
      <c r="D139" s="362">
        <v>64.6</v>
      </c>
      <c r="E139" s="362">
        <f t="shared" si="15"/>
        <v>64.6</v>
      </c>
      <c r="F139" s="362"/>
      <c r="G139" s="362"/>
      <c r="H139" s="362"/>
      <c r="I139" s="362"/>
      <c r="J139" s="362">
        <f t="shared" si="20"/>
        <v>0</v>
      </c>
      <c r="K139" s="362">
        <f t="shared" si="17"/>
        <v>0</v>
      </c>
      <c r="L139" s="362">
        <v>64.6</v>
      </c>
      <c r="M139" s="362">
        <f>L139+K139</f>
        <v>64.6</v>
      </c>
      <c r="N139" s="362">
        <f t="shared" si="19"/>
        <v>0</v>
      </c>
      <c r="O139" s="372"/>
    </row>
    <row r="140" ht="27.95" customHeight="1" spans="1:15">
      <c r="A140" s="360">
        <v>20499</v>
      </c>
      <c r="B140" s="361" t="s">
        <v>144</v>
      </c>
      <c r="C140" s="362">
        <v>197</v>
      </c>
      <c r="D140" s="362">
        <v>70</v>
      </c>
      <c r="E140" s="362">
        <f t="shared" si="15"/>
        <v>267</v>
      </c>
      <c r="F140" s="362"/>
      <c r="G140" s="362"/>
      <c r="H140" s="362"/>
      <c r="I140" s="362"/>
      <c r="J140" s="362">
        <f t="shared" si="20"/>
        <v>0</v>
      </c>
      <c r="K140" s="362">
        <f t="shared" si="17"/>
        <v>197</v>
      </c>
      <c r="L140" s="362">
        <v>70</v>
      </c>
      <c r="M140" s="362">
        <f t="shared" ref="M140:M170" si="22">K140+L140</f>
        <v>267</v>
      </c>
      <c r="N140" s="362">
        <f t="shared" si="19"/>
        <v>0</v>
      </c>
      <c r="O140" s="372"/>
    </row>
    <row r="141" ht="27.95" customHeight="1" spans="1:15">
      <c r="A141" s="360">
        <v>2049901</v>
      </c>
      <c r="B141" s="361" t="s">
        <v>144</v>
      </c>
      <c r="C141" s="362">
        <v>197</v>
      </c>
      <c r="D141" s="362">
        <v>70</v>
      </c>
      <c r="E141" s="362">
        <f t="shared" si="15"/>
        <v>267</v>
      </c>
      <c r="F141" s="362"/>
      <c r="G141" s="362"/>
      <c r="H141" s="362"/>
      <c r="I141" s="362"/>
      <c r="J141" s="362">
        <f t="shared" si="20"/>
        <v>0</v>
      </c>
      <c r="K141" s="362">
        <f t="shared" si="17"/>
        <v>197</v>
      </c>
      <c r="L141" s="362">
        <v>70</v>
      </c>
      <c r="M141" s="362">
        <f t="shared" si="22"/>
        <v>267</v>
      </c>
      <c r="N141" s="362">
        <f t="shared" si="19"/>
        <v>0</v>
      </c>
      <c r="O141" s="372"/>
    </row>
    <row r="142" ht="27.95" customHeight="1" spans="1:15">
      <c r="A142" s="360">
        <v>205</v>
      </c>
      <c r="B142" s="361" t="s">
        <v>145</v>
      </c>
      <c r="C142" s="362">
        <v>41468.49</v>
      </c>
      <c r="D142" s="362">
        <v>5011.53</v>
      </c>
      <c r="E142" s="362">
        <f t="shared" si="15"/>
        <v>46480.02</v>
      </c>
      <c r="F142" s="362">
        <f>F143+F145+F151+F154+F156+F158</f>
        <v>2548</v>
      </c>
      <c r="G142" s="362"/>
      <c r="H142" s="362"/>
      <c r="I142" s="362"/>
      <c r="J142" s="362">
        <f t="shared" si="20"/>
        <v>0</v>
      </c>
      <c r="K142" s="362">
        <f t="shared" si="17"/>
        <v>44016.49</v>
      </c>
      <c r="L142" s="362">
        <f>L143+L145+L151+L154+L156+L158+L160</f>
        <v>5011.53</v>
      </c>
      <c r="M142" s="362">
        <f t="shared" si="22"/>
        <v>49028.02</v>
      </c>
      <c r="N142" s="362">
        <f t="shared" si="19"/>
        <v>5.48192535201146</v>
      </c>
      <c r="O142" s="372"/>
    </row>
    <row r="143" ht="27.95" customHeight="1" spans="1:15">
      <c r="A143" s="360">
        <v>20501</v>
      </c>
      <c r="B143" s="361" t="s">
        <v>146</v>
      </c>
      <c r="C143" s="362">
        <v>525.68</v>
      </c>
      <c r="D143" s="362">
        <v>0</v>
      </c>
      <c r="E143" s="362">
        <f t="shared" si="15"/>
        <v>525.68</v>
      </c>
      <c r="F143" s="362">
        <v>54</v>
      </c>
      <c r="G143" s="362"/>
      <c r="H143" s="362"/>
      <c r="I143" s="362"/>
      <c r="J143" s="362">
        <f t="shared" si="20"/>
        <v>0</v>
      </c>
      <c r="K143" s="362">
        <f t="shared" si="17"/>
        <v>579.68</v>
      </c>
      <c r="L143" s="362"/>
      <c r="M143" s="362">
        <f t="shared" si="22"/>
        <v>579.68</v>
      </c>
      <c r="N143" s="362">
        <f t="shared" si="19"/>
        <v>10.2724090701567</v>
      </c>
      <c r="O143" s="372"/>
    </row>
    <row r="144" ht="30" customHeight="1" spans="1:15">
      <c r="A144" s="360">
        <v>2050101</v>
      </c>
      <c r="B144" s="361" t="s">
        <v>46</v>
      </c>
      <c r="C144" s="362">
        <v>525.68</v>
      </c>
      <c r="D144" s="362">
        <v>0</v>
      </c>
      <c r="E144" s="362">
        <f t="shared" si="15"/>
        <v>525.68</v>
      </c>
      <c r="F144" s="362">
        <v>54</v>
      </c>
      <c r="G144" s="362"/>
      <c r="H144" s="362"/>
      <c r="I144" s="362"/>
      <c r="J144" s="362">
        <f t="shared" si="20"/>
        <v>0</v>
      </c>
      <c r="K144" s="362">
        <f t="shared" si="17"/>
        <v>579.68</v>
      </c>
      <c r="L144" s="362"/>
      <c r="M144" s="362">
        <f t="shared" si="22"/>
        <v>579.68</v>
      </c>
      <c r="N144" s="362">
        <f t="shared" si="19"/>
        <v>10.2724090701567</v>
      </c>
      <c r="O144" s="372" t="s">
        <v>47</v>
      </c>
    </row>
    <row r="145" ht="27.95" customHeight="1" spans="1:15">
      <c r="A145" s="360">
        <v>20502</v>
      </c>
      <c r="B145" s="361" t="s">
        <v>147</v>
      </c>
      <c r="C145" s="362">
        <v>37170.48</v>
      </c>
      <c r="D145" s="362">
        <v>4858.07</v>
      </c>
      <c r="E145" s="362">
        <f t="shared" si="15"/>
        <v>42028.55</v>
      </c>
      <c r="F145" s="362">
        <f>F146+F147+F148+F149</f>
        <v>2449</v>
      </c>
      <c r="G145" s="362"/>
      <c r="H145" s="362"/>
      <c r="I145" s="362"/>
      <c r="J145" s="362">
        <f t="shared" si="20"/>
        <v>0</v>
      </c>
      <c r="K145" s="362">
        <f t="shared" si="17"/>
        <v>39619.48</v>
      </c>
      <c r="L145" s="362">
        <f>+L146+L147+L148+L149+L150</f>
        <v>4858.07</v>
      </c>
      <c r="M145" s="362">
        <f t="shared" si="22"/>
        <v>44477.55</v>
      </c>
      <c r="N145" s="362">
        <f t="shared" si="19"/>
        <v>5.82699141416965</v>
      </c>
      <c r="O145" s="372"/>
    </row>
    <row r="146" ht="30" customHeight="1" spans="1:15">
      <c r="A146" s="360">
        <v>2050201</v>
      </c>
      <c r="B146" s="361" t="s">
        <v>148</v>
      </c>
      <c r="C146" s="362">
        <v>436.44</v>
      </c>
      <c r="D146" s="362">
        <v>459.4283</v>
      </c>
      <c r="E146" s="362">
        <f t="shared" si="15"/>
        <v>895.8683</v>
      </c>
      <c r="F146" s="362">
        <v>12</v>
      </c>
      <c r="G146" s="362"/>
      <c r="H146" s="362"/>
      <c r="I146" s="362"/>
      <c r="J146" s="362">
        <f t="shared" si="20"/>
        <v>0</v>
      </c>
      <c r="K146" s="362">
        <f t="shared" si="17"/>
        <v>448.44</v>
      </c>
      <c r="L146" s="362">
        <f>VLOOKUP(A146,[1]Sheet1!$D$1:$E$65536,2,0)</f>
        <v>459.4283</v>
      </c>
      <c r="M146" s="362">
        <f t="shared" si="22"/>
        <v>907.8683</v>
      </c>
      <c r="N146" s="362">
        <f t="shared" si="19"/>
        <v>1.33948260028847</v>
      </c>
      <c r="O146" s="372" t="s">
        <v>47</v>
      </c>
    </row>
    <row r="147" ht="30" customHeight="1" spans="1:15">
      <c r="A147" s="360">
        <v>2050202</v>
      </c>
      <c r="B147" s="361" t="s">
        <v>149</v>
      </c>
      <c r="C147" s="362">
        <v>16677.09</v>
      </c>
      <c r="D147" s="362">
        <v>2505.3223</v>
      </c>
      <c r="E147" s="362">
        <f t="shared" si="15"/>
        <v>19182.4123</v>
      </c>
      <c r="F147" s="362">
        <v>903</v>
      </c>
      <c r="G147" s="362"/>
      <c r="H147" s="362"/>
      <c r="I147" s="362"/>
      <c r="J147" s="362">
        <f t="shared" si="20"/>
        <v>0</v>
      </c>
      <c r="K147" s="362">
        <f t="shared" si="17"/>
        <v>17580.09</v>
      </c>
      <c r="L147" s="362">
        <f>VLOOKUP(A147,[1]Sheet1!$D$1:$E$65536,2,0)</f>
        <v>2505.3223</v>
      </c>
      <c r="M147" s="362">
        <f t="shared" si="22"/>
        <v>20085.4123</v>
      </c>
      <c r="N147" s="362">
        <f t="shared" si="19"/>
        <v>4.70743713500517</v>
      </c>
      <c r="O147" s="372" t="s">
        <v>47</v>
      </c>
    </row>
    <row r="148" ht="30" customHeight="1" spans="1:15">
      <c r="A148" s="360">
        <v>2050203</v>
      </c>
      <c r="B148" s="361" t="s">
        <v>150</v>
      </c>
      <c r="C148" s="362">
        <v>6905.06</v>
      </c>
      <c r="D148" s="362">
        <v>1093.1794</v>
      </c>
      <c r="E148" s="362">
        <f t="shared" si="15"/>
        <v>7998.2394</v>
      </c>
      <c r="F148" s="362">
        <v>668</v>
      </c>
      <c r="G148" s="362"/>
      <c r="H148" s="362"/>
      <c r="I148" s="362"/>
      <c r="J148" s="362">
        <f t="shared" si="20"/>
        <v>0</v>
      </c>
      <c r="K148" s="362">
        <f t="shared" si="17"/>
        <v>7573.06</v>
      </c>
      <c r="L148" s="362">
        <f>VLOOKUP(A148,[1]Sheet1!$D$1:$E$65536,2,0)</f>
        <v>1093.1794</v>
      </c>
      <c r="M148" s="362">
        <f t="shared" si="22"/>
        <v>8666.2394</v>
      </c>
      <c r="N148" s="362">
        <f t="shared" si="19"/>
        <v>8.35183803075461</v>
      </c>
      <c r="O148" s="372" t="s">
        <v>47</v>
      </c>
    </row>
    <row r="149" ht="30" customHeight="1" spans="1:15">
      <c r="A149" s="360">
        <v>2050204</v>
      </c>
      <c r="B149" s="361" t="s">
        <v>151</v>
      </c>
      <c r="C149" s="362">
        <v>11081.09</v>
      </c>
      <c r="D149" s="362">
        <v>142.9575</v>
      </c>
      <c r="E149" s="362">
        <f t="shared" si="15"/>
        <v>11224.0475</v>
      </c>
      <c r="F149" s="362">
        <v>866</v>
      </c>
      <c r="G149" s="362"/>
      <c r="H149" s="362"/>
      <c r="I149" s="362"/>
      <c r="J149" s="362">
        <f t="shared" si="20"/>
        <v>0</v>
      </c>
      <c r="K149" s="362">
        <f t="shared" si="17"/>
        <v>11947.09</v>
      </c>
      <c r="L149" s="362">
        <f>VLOOKUP(A149,[1]Sheet1!$D$1:$E$65536,2,0)</f>
        <v>142.9575</v>
      </c>
      <c r="M149" s="362">
        <f t="shared" si="22"/>
        <v>12090.0475</v>
      </c>
      <c r="N149" s="362">
        <f t="shared" si="19"/>
        <v>7.71557675606771</v>
      </c>
      <c r="O149" s="372" t="s">
        <v>47</v>
      </c>
    </row>
    <row r="150" ht="27.95" customHeight="1" spans="1:15">
      <c r="A150" s="360">
        <v>2050299</v>
      </c>
      <c r="B150" s="361" t="s">
        <v>152</v>
      </c>
      <c r="C150" s="362">
        <v>2070.8</v>
      </c>
      <c r="D150" s="362">
        <v>657.1825</v>
      </c>
      <c r="E150" s="362">
        <f t="shared" ref="E150:E213" si="23">C150+D150</f>
        <v>2727.9825</v>
      </c>
      <c r="F150" s="362"/>
      <c r="G150" s="362"/>
      <c r="H150" s="362"/>
      <c r="I150" s="362"/>
      <c r="J150" s="362">
        <f t="shared" si="20"/>
        <v>0</v>
      </c>
      <c r="K150" s="362">
        <f t="shared" ref="K150:K213" si="24">F150+C150</f>
        <v>2070.8</v>
      </c>
      <c r="L150" s="362">
        <f>VLOOKUP(A150,[1]Sheet1!$D$1:$E$65536,2,0)</f>
        <v>657.1825</v>
      </c>
      <c r="M150" s="362">
        <f t="shared" si="22"/>
        <v>2727.9825</v>
      </c>
      <c r="N150" s="362">
        <f t="shared" ref="N150:N213" si="25">(M150/E150-1)*100</f>
        <v>0</v>
      </c>
      <c r="O150" s="372"/>
    </row>
    <row r="151" ht="27.95" customHeight="1" spans="1:15">
      <c r="A151" s="360">
        <v>20503</v>
      </c>
      <c r="B151" s="361" t="s">
        <v>153</v>
      </c>
      <c r="C151" s="362">
        <v>770.15</v>
      </c>
      <c r="D151" s="362">
        <v>9.23</v>
      </c>
      <c r="E151" s="362">
        <f t="shared" si="23"/>
        <v>779.38</v>
      </c>
      <c r="F151" s="362">
        <v>45</v>
      </c>
      <c r="G151" s="362"/>
      <c r="H151" s="362"/>
      <c r="I151" s="362"/>
      <c r="J151" s="362">
        <f t="shared" si="20"/>
        <v>0</v>
      </c>
      <c r="K151" s="362">
        <f t="shared" si="24"/>
        <v>815.15</v>
      </c>
      <c r="L151" s="362">
        <v>9.23</v>
      </c>
      <c r="M151" s="362">
        <f t="shared" si="22"/>
        <v>824.38</v>
      </c>
      <c r="N151" s="362">
        <f t="shared" si="25"/>
        <v>5.77382021606918</v>
      </c>
      <c r="O151" s="372"/>
    </row>
    <row r="152" ht="30" customHeight="1" spans="1:15">
      <c r="A152" s="360">
        <v>2050302</v>
      </c>
      <c r="B152" s="361" t="s">
        <v>154</v>
      </c>
      <c r="C152" s="362">
        <v>766.45</v>
      </c>
      <c r="D152" s="362">
        <v>9.233</v>
      </c>
      <c r="E152" s="362">
        <f t="shared" si="23"/>
        <v>775.683</v>
      </c>
      <c r="F152" s="362">
        <v>45</v>
      </c>
      <c r="G152" s="362"/>
      <c r="H152" s="362"/>
      <c r="I152" s="362"/>
      <c r="J152" s="362">
        <f t="shared" si="20"/>
        <v>0</v>
      </c>
      <c r="K152" s="362">
        <f t="shared" si="24"/>
        <v>811.45</v>
      </c>
      <c r="L152" s="362">
        <f>VLOOKUP(A152,[1]Sheet1!$D$1:$E$65536,2,0)</f>
        <v>9.233</v>
      </c>
      <c r="M152" s="362">
        <f t="shared" si="22"/>
        <v>820.683</v>
      </c>
      <c r="N152" s="362">
        <f t="shared" si="25"/>
        <v>5.80133894902943</v>
      </c>
      <c r="O152" s="372" t="s">
        <v>47</v>
      </c>
    </row>
    <row r="153" ht="27.95" customHeight="1" spans="1:15">
      <c r="A153" s="360">
        <v>2050399</v>
      </c>
      <c r="B153" s="361" t="s">
        <v>155</v>
      </c>
      <c r="C153" s="362">
        <v>3.7</v>
      </c>
      <c r="D153" s="362">
        <v>0</v>
      </c>
      <c r="E153" s="362">
        <f t="shared" si="23"/>
        <v>3.7</v>
      </c>
      <c r="F153" s="362"/>
      <c r="G153" s="362"/>
      <c r="H153" s="362"/>
      <c r="I153" s="362"/>
      <c r="J153" s="362">
        <f t="shared" si="20"/>
        <v>0</v>
      </c>
      <c r="K153" s="362">
        <f t="shared" si="24"/>
        <v>3.7</v>
      </c>
      <c r="L153" s="362"/>
      <c r="M153" s="362">
        <f t="shared" si="22"/>
        <v>3.7</v>
      </c>
      <c r="N153" s="362">
        <f t="shared" si="25"/>
        <v>0</v>
      </c>
      <c r="O153" s="372"/>
    </row>
    <row r="154" ht="27.95" customHeight="1" spans="1:15">
      <c r="A154" s="360">
        <v>20507</v>
      </c>
      <c r="B154" s="361" t="s">
        <v>156</v>
      </c>
      <c r="C154" s="362">
        <v>15.6</v>
      </c>
      <c r="D154" s="362">
        <v>43.32</v>
      </c>
      <c r="E154" s="362">
        <f t="shared" si="23"/>
        <v>58.92</v>
      </c>
      <c r="F154" s="362"/>
      <c r="G154" s="362"/>
      <c r="H154" s="362"/>
      <c r="I154" s="362"/>
      <c r="J154" s="362">
        <f t="shared" si="20"/>
        <v>0</v>
      </c>
      <c r="K154" s="362">
        <f t="shared" si="24"/>
        <v>15.6</v>
      </c>
      <c r="L154" s="362">
        <v>43.32</v>
      </c>
      <c r="M154" s="362">
        <f t="shared" si="22"/>
        <v>58.92</v>
      </c>
      <c r="N154" s="362">
        <f t="shared" si="25"/>
        <v>0</v>
      </c>
      <c r="O154" s="372"/>
    </row>
    <row r="155" ht="27.95" customHeight="1" spans="1:15">
      <c r="A155" s="360">
        <v>2050701</v>
      </c>
      <c r="B155" s="361" t="s">
        <v>157</v>
      </c>
      <c r="C155" s="362">
        <v>15.6</v>
      </c>
      <c r="D155" s="362">
        <v>43.32</v>
      </c>
      <c r="E155" s="362">
        <f t="shared" si="23"/>
        <v>58.92</v>
      </c>
      <c r="F155" s="362"/>
      <c r="G155" s="362"/>
      <c r="H155" s="362"/>
      <c r="I155" s="362"/>
      <c r="J155" s="362">
        <f t="shared" si="20"/>
        <v>0</v>
      </c>
      <c r="K155" s="362">
        <f t="shared" si="24"/>
        <v>15.6</v>
      </c>
      <c r="L155" s="362">
        <f>VLOOKUP(A155,[1]Sheet1!$D$1:$E$65536,2,0)</f>
        <v>43.32</v>
      </c>
      <c r="M155" s="362">
        <f t="shared" si="22"/>
        <v>58.92</v>
      </c>
      <c r="N155" s="362">
        <f t="shared" si="25"/>
        <v>0</v>
      </c>
      <c r="O155" s="372"/>
    </row>
    <row r="156" ht="27.95" customHeight="1" spans="1:15">
      <c r="A156" s="360">
        <v>20508</v>
      </c>
      <c r="B156" s="361" t="s">
        <v>158</v>
      </c>
      <c r="C156" s="362">
        <v>13</v>
      </c>
      <c r="D156" s="362">
        <v>0</v>
      </c>
      <c r="E156" s="362">
        <f t="shared" si="23"/>
        <v>13</v>
      </c>
      <c r="F156" s="362"/>
      <c r="G156" s="362"/>
      <c r="H156" s="362"/>
      <c r="I156" s="362"/>
      <c r="J156" s="362">
        <f t="shared" si="20"/>
        <v>0</v>
      </c>
      <c r="K156" s="362">
        <f t="shared" si="24"/>
        <v>13</v>
      </c>
      <c r="L156" s="362"/>
      <c r="M156" s="362">
        <f t="shared" si="22"/>
        <v>13</v>
      </c>
      <c r="N156" s="362">
        <f t="shared" si="25"/>
        <v>0</v>
      </c>
      <c r="O156" s="372"/>
    </row>
    <row r="157" ht="27.95" customHeight="1" spans="1:15">
      <c r="A157" s="360">
        <v>2050803</v>
      </c>
      <c r="B157" s="361" t="s">
        <v>159</v>
      </c>
      <c r="C157" s="362">
        <v>13</v>
      </c>
      <c r="D157" s="362">
        <v>0</v>
      </c>
      <c r="E157" s="362">
        <f t="shared" si="23"/>
        <v>13</v>
      </c>
      <c r="F157" s="362"/>
      <c r="G157" s="362"/>
      <c r="H157" s="362"/>
      <c r="I157" s="362"/>
      <c r="J157" s="362">
        <f t="shared" si="20"/>
        <v>0</v>
      </c>
      <c r="K157" s="362">
        <f t="shared" si="24"/>
        <v>13</v>
      </c>
      <c r="L157" s="362"/>
      <c r="M157" s="362">
        <f t="shared" si="22"/>
        <v>13</v>
      </c>
      <c r="N157" s="362">
        <f t="shared" si="25"/>
        <v>0</v>
      </c>
      <c r="O157" s="372"/>
    </row>
    <row r="158" ht="27.95" customHeight="1" spans="1:15">
      <c r="A158" s="360">
        <v>20509</v>
      </c>
      <c r="B158" s="361" t="s">
        <v>160</v>
      </c>
      <c r="C158" s="362">
        <v>2973.58</v>
      </c>
      <c r="D158" s="362">
        <v>0</v>
      </c>
      <c r="E158" s="362">
        <f t="shared" si="23"/>
        <v>2973.58</v>
      </c>
      <c r="F158" s="362"/>
      <c r="G158" s="362"/>
      <c r="H158" s="362"/>
      <c r="I158" s="362"/>
      <c r="J158" s="362">
        <f t="shared" si="20"/>
        <v>0</v>
      </c>
      <c r="K158" s="362">
        <f t="shared" si="24"/>
        <v>2973.58</v>
      </c>
      <c r="L158" s="362"/>
      <c r="M158" s="362">
        <f t="shared" si="22"/>
        <v>2973.58</v>
      </c>
      <c r="N158" s="362">
        <f t="shared" si="25"/>
        <v>0</v>
      </c>
      <c r="O158" s="372"/>
    </row>
    <row r="159" ht="27.95" customHeight="1" spans="1:15">
      <c r="A159" s="360">
        <v>2050999</v>
      </c>
      <c r="B159" s="361" t="s">
        <v>161</v>
      </c>
      <c r="C159" s="362">
        <v>2973.58</v>
      </c>
      <c r="D159" s="362">
        <v>0</v>
      </c>
      <c r="E159" s="362">
        <f t="shared" si="23"/>
        <v>2973.58</v>
      </c>
      <c r="F159" s="362"/>
      <c r="G159" s="362"/>
      <c r="H159" s="362"/>
      <c r="I159" s="362"/>
      <c r="J159" s="362">
        <f t="shared" si="20"/>
        <v>0</v>
      </c>
      <c r="K159" s="362">
        <f t="shared" si="24"/>
        <v>2973.58</v>
      </c>
      <c r="L159" s="362"/>
      <c r="M159" s="362">
        <f t="shared" si="22"/>
        <v>2973.58</v>
      </c>
      <c r="N159" s="362">
        <f t="shared" si="25"/>
        <v>0</v>
      </c>
      <c r="O159" s="372"/>
    </row>
    <row r="160" ht="27.95" customHeight="1" spans="1:15">
      <c r="A160" s="360">
        <v>20599</v>
      </c>
      <c r="B160" s="361" t="s">
        <v>162</v>
      </c>
      <c r="C160" s="362"/>
      <c r="D160" s="362">
        <v>100.91</v>
      </c>
      <c r="E160" s="362">
        <f t="shared" si="23"/>
        <v>100.91</v>
      </c>
      <c r="F160" s="362"/>
      <c r="G160" s="362"/>
      <c r="H160" s="362"/>
      <c r="I160" s="362"/>
      <c r="J160" s="362">
        <f t="shared" si="20"/>
        <v>0</v>
      </c>
      <c r="K160" s="362">
        <f t="shared" si="24"/>
        <v>0</v>
      </c>
      <c r="L160" s="362">
        <f>L161</f>
        <v>100.91</v>
      </c>
      <c r="M160" s="362">
        <f t="shared" si="22"/>
        <v>100.91</v>
      </c>
      <c r="N160" s="362">
        <f t="shared" si="25"/>
        <v>0</v>
      </c>
      <c r="O160" s="372"/>
    </row>
    <row r="161" ht="27.95" customHeight="1" spans="1:15">
      <c r="A161" s="360">
        <v>2059999</v>
      </c>
      <c r="B161" s="361" t="s">
        <v>162</v>
      </c>
      <c r="C161" s="362"/>
      <c r="D161" s="362">
        <v>100.91</v>
      </c>
      <c r="E161" s="362">
        <f t="shared" si="23"/>
        <v>100.91</v>
      </c>
      <c r="F161" s="362"/>
      <c r="G161" s="362"/>
      <c r="H161" s="362"/>
      <c r="I161" s="362"/>
      <c r="J161" s="362">
        <f t="shared" si="20"/>
        <v>0</v>
      </c>
      <c r="K161" s="362">
        <f t="shared" si="24"/>
        <v>0</v>
      </c>
      <c r="L161" s="362">
        <f>96+4.91</f>
        <v>100.91</v>
      </c>
      <c r="M161" s="362">
        <f t="shared" si="22"/>
        <v>100.91</v>
      </c>
      <c r="N161" s="362">
        <f t="shared" si="25"/>
        <v>0</v>
      </c>
      <c r="O161" s="372"/>
    </row>
    <row r="162" ht="27.95" customHeight="1" spans="1:15">
      <c r="A162" s="360">
        <v>206</v>
      </c>
      <c r="B162" s="361" t="s">
        <v>163</v>
      </c>
      <c r="C162" s="362">
        <v>1188.74</v>
      </c>
      <c r="D162" s="362">
        <v>32.6536000000001</v>
      </c>
      <c r="E162" s="362">
        <f t="shared" si="23"/>
        <v>1221.3936</v>
      </c>
      <c r="F162" s="362"/>
      <c r="G162" s="362"/>
      <c r="H162" s="362"/>
      <c r="I162" s="362"/>
      <c r="J162" s="362">
        <f t="shared" si="20"/>
        <v>-1.13686837721616e-13</v>
      </c>
      <c r="K162" s="362">
        <f t="shared" si="24"/>
        <v>1188.74</v>
      </c>
      <c r="L162" s="362">
        <f>L163+L165+L170+L173+L168</f>
        <v>32.6536</v>
      </c>
      <c r="M162" s="362">
        <f t="shared" si="22"/>
        <v>1221.3936</v>
      </c>
      <c r="N162" s="362">
        <f t="shared" si="25"/>
        <v>0</v>
      </c>
      <c r="O162" s="372"/>
    </row>
    <row r="163" ht="27.95" customHeight="1" spans="1:15">
      <c r="A163" s="360">
        <v>20601</v>
      </c>
      <c r="B163" s="361" t="s">
        <v>164</v>
      </c>
      <c r="C163" s="362">
        <v>6</v>
      </c>
      <c r="D163" s="362">
        <v>0</v>
      </c>
      <c r="E163" s="362">
        <f t="shared" si="23"/>
        <v>6</v>
      </c>
      <c r="F163" s="362"/>
      <c r="G163" s="362"/>
      <c r="H163" s="362"/>
      <c r="I163" s="362"/>
      <c r="J163" s="362">
        <f t="shared" si="20"/>
        <v>0</v>
      </c>
      <c r="K163" s="362">
        <f t="shared" si="24"/>
        <v>6</v>
      </c>
      <c r="L163" s="362"/>
      <c r="M163" s="362">
        <f t="shared" si="22"/>
        <v>6</v>
      </c>
      <c r="N163" s="362">
        <f t="shared" si="25"/>
        <v>0</v>
      </c>
      <c r="O163" s="372"/>
    </row>
    <row r="164" ht="27.95" customHeight="1" spans="1:15">
      <c r="A164" s="360">
        <v>2060101</v>
      </c>
      <c r="B164" s="361" t="s">
        <v>46</v>
      </c>
      <c r="C164" s="362">
        <v>6</v>
      </c>
      <c r="D164" s="362">
        <v>0</v>
      </c>
      <c r="E164" s="362">
        <f t="shared" si="23"/>
        <v>6</v>
      </c>
      <c r="F164" s="362"/>
      <c r="G164" s="362"/>
      <c r="H164" s="362"/>
      <c r="I164" s="362"/>
      <c r="J164" s="362">
        <f t="shared" si="20"/>
        <v>0</v>
      </c>
      <c r="K164" s="362">
        <f t="shared" si="24"/>
        <v>6</v>
      </c>
      <c r="L164" s="362"/>
      <c r="M164" s="362">
        <f t="shared" si="22"/>
        <v>6</v>
      </c>
      <c r="N164" s="362">
        <f t="shared" si="25"/>
        <v>0</v>
      </c>
      <c r="O164" s="372"/>
    </row>
    <row r="165" ht="27.95" customHeight="1" spans="1:15">
      <c r="A165" s="360">
        <v>20604</v>
      </c>
      <c r="B165" s="361" t="s">
        <v>165</v>
      </c>
      <c r="C165" s="362">
        <v>799.54</v>
      </c>
      <c r="D165" s="362">
        <v>-306.3464</v>
      </c>
      <c r="E165" s="362">
        <f t="shared" si="23"/>
        <v>493.1936</v>
      </c>
      <c r="F165" s="362"/>
      <c r="G165" s="362"/>
      <c r="H165" s="362"/>
      <c r="I165" s="362"/>
      <c r="J165" s="362">
        <f t="shared" si="20"/>
        <v>0</v>
      </c>
      <c r="K165" s="362">
        <f t="shared" si="24"/>
        <v>799.54</v>
      </c>
      <c r="L165" s="362">
        <f>+L166+L167</f>
        <v>-306.3464</v>
      </c>
      <c r="M165" s="362">
        <f t="shared" si="22"/>
        <v>493.1936</v>
      </c>
      <c r="N165" s="362">
        <f t="shared" si="25"/>
        <v>0</v>
      </c>
      <c r="O165" s="372"/>
    </row>
    <row r="166" ht="27.95" customHeight="1" spans="1:15">
      <c r="A166" s="360">
        <v>2060403</v>
      </c>
      <c r="B166" s="361" t="s">
        <v>166</v>
      </c>
      <c r="C166" s="362">
        <v>819.54</v>
      </c>
      <c r="D166" s="362">
        <v>-173.9964</v>
      </c>
      <c r="E166" s="362">
        <f t="shared" si="23"/>
        <v>645.5436</v>
      </c>
      <c r="F166" s="362"/>
      <c r="G166" s="362"/>
      <c r="H166" s="362"/>
      <c r="I166" s="362"/>
      <c r="J166" s="362">
        <f t="shared" si="20"/>
        <v>0</v>
      </c>
      <c r="K166" s="362">
        <f t="shared" si="24"/>
        <v>819.54</v>
      </c>
      <c r="L166" s="362">
        <f>VLOOKUP(A166,[1]Sheet1!$D$1:$E$65536,2,0)-597.27</f>
        <v>-173.9964</v>
      </c>
      <c r="M166" s="362">
        <f t="shared" si="22"/>
        <v>645.5436</v>
      </c>
      <c r="N166" s="362">
        <f t="shared" si="25"/>
        <v>0</v>
      </c>
      <c r="O166" s="372"/>
    </row>
    <row r="167" ht="27.95" customHeight="1" spans="1:15">
      <c r="A167" s="360">
        <v>2060499</v>
      </c>
      <c r="B167" s="361" t="s">
        <v>167</v>
      </c>
      <c r="C167" s="362">
        <v>-20</v>
      </c>
      <c r="D167" s="362">
        <v>-132.35</v>
      </c>
      <c r="E167" s="362">
        <f t="shared" si="23"/>
        <v>-152.35</v>
      </c>
      <c r="F167" s="362"/>
      <c r="G167" s="362"/>
      <c r="H167" s="362"/>
      <c r="I167" s="362"/>
      <c r="J167" s="362">
        <f t="shared" si="20"/>
        <v>0</v>
      </c>
      <c r="K167" s="362">
        <f t="shared" si="24"/>
        <v>-20</v>
      </c>
      <c r="L167" s="362">
        <f>VLOOKUP(A167,[1]Sheet1!$D$1:$E$65536,2,0)</f>
        <v>-132.35</v>
      </c>
      <c r="M167" s="362">
        <f t="shared" si="22"/>
        <v>-152.35</v>
      </c>
      <c r="N167" s="362">
        <f t="shared" si="25"/>
        <v>0</v>
      </c>
      <c r="O167" s="372"/>
    </row>
    <row r="168" ht="27.95" customHeight="1" spans="1:15">
      <c r="A168" s="360">
        <v>20606</v>
      </c>
      <c r="B168" s="361" t="s">
        <v>168</v>
      </c>
      <c r="C168" s="362"/>
      <c r="D168" s="362">
        <v>3</v>
      </c>
      <c r="E168" s="362">
        <f t="shared" si="23"/>
        <v>3</v>
      </c>
      <c r="F168" s="362"/>
      <c r="G168" s="362"/>
      <c r="H168" s="362"/>
      <c r="I168" s="362"/>
      <c r="J168" s="362">
        <f t="shared" si="20"/>
        <v>0</v>
      </c>
      <c r="K168" s="362">
        <f t="shared" si="24"/>
        <v>0</v>
      </c>
      <c r="L168" s="362">
        <v>3</v>
      </c>
      <c r="M168" s="362">
        <f t="shared" si="22"/>
        <v>3</v>
      </c>
      <c r="N168" s="362">
        <f t="shared" si="25"/>
        <v>0</v>
      </c>
      <c r="O168" s="372"/>
    </row>
    <row r="169" ht="27.95" customHeight="1" spans="1:15">
      <c r="A169" s="360">
        <v>2060602</v>
      </c>
      <c r="B169" s="361" t="s">
        <v>169</v>
      </c>
      <c r="C169" s="362"/>
      <c r="D169" s="362">
        <v>3</v>
      </c>
      <c r="E169" s="362">
        <f t="shared" si="23"/>
        <v>3</v>
      </c>
      <c r="F169" s="362"/>
      <c r="G169" s="362"/>
      <c r="H169" s="362"/>
      <c r="I169" s="362"/>
      <c r="J169" s="362">
        <f t="shared" si="20"/>
        <v>0</v>
      </c>
      <c r="K169" s="362">
        <f t="shared" si="24"/>
        <v>0</v>
      </c>
      <c r="L169" s="362">
        <v>3</v>
      </c>
      <c r="M169" s="362">
        <f t="shared" si="22"/>
        <v>3</v>
      </c>
      <c r="N169" s="362">
        <f t="shared" si="25"/>
        <v>0</v>
      </c>
      <c r="O169" s="372"/>
    </row>
    <row r="170" ht="27.95" customHeight="1" spans="1:15">
      <c r="A170" s="360">
        <v>20607</v>
      </c>
      <c r="B170" s="361" t="s">
        <v>170</v>
      </c>
      <c r="C170" s="362">
        <v>14</v>
      </c>
      <c r="D170" s="362">
        <v>10</v>
      </c>
      <c r="E170" s="362">
        <f t="shared" si="23"/>
        <v>24</v>
      </c>
      <c r="F170" s="362"/>
      <c r="G170" s="362"/>
      <c r="H170" s="362"/>
      <c r="I170" s="362"/>
      <c r="J170" s="362">
        <f t="shared" si="20"/>
        <v>0</v>
      </c>
      <c r="K170" s="362">
        <f t="shared" si="24"/>
        <v>14</v>
      </c>
      <c r="L170" s="362">
        <v>10</v>
      </c>
      <c r="M170" s="362">
        <f t="shared" si="22"/>
        <v>24</v>
      </c>
      <c r="N170" s="362">
        <f t="shared" si="25"/>
        <v>0</v>
      </c>
      <c r="O170" s="372"/>
    </row>
    <row r="171" ht="27.95" customHeight="1" spans="1:15">
      <c r="A171" s="360">
        <v>2060702</v>
      </c>
      <c r="B171" s="361" t="s">
        <v>171</v>
      </c>
      <c r="C171" s="362"/>
      <c r="D171" s="362">
        <v>10</v>
      </c>
      <c r="E171" s="362">
        <f t="shared" si="23"/>
        <v>10</v>
      </c>
      <c r="F171" s="362"/>
      <c r="G171" s="362"/>
      <c r="H171" s="362"/>
      <c r="I171" s="362"/>
      <c r="J171" s="362">
        <f t="shared" si="20"/>
        <v>0</v>
      </c>
      <c r="K171" s="362">
        <f t="shared" si="24"/>
        <v>0</v>
      </c>
      <c r="L171" s="362">
        <v>10</v>
      </c>
      <c r="M171" s="362">
        <f>L171+K171</f>
        <v>10</v>
      </c>
      <c r="N171" s="362">
        <f t="shared" si="25"/>
        <v>0</v>
      </c>
      <c r="O171" s="372"/>
    </row>
    <row r="172" ht="27.95" customHeight="1" spans="1:15">
      <c r="A172" s="360">
        <v>2060799</v>
      </c>
      <c r="B172" s="361" t="s">
        <v>172</v>
      </c>
      <c r="C172" s="362">
        <v>14</v>
      </c>
      <c r="D172" s="362">
        <v>0</v>
      </c>
      <c r="E172" s="362">
        <f t="shared" si="23"/>
        <v>14</v>
      </c>
      <c r="F172" s="362"/>
      <c r="G172" s="362"/>
      <c r="H172" s="362"/>
      <c r="I172" s="362"/>
      <c r="J172" s="362">
        <f t="shared" si="20"/>
        <v>0</v>
      </c>
      <c r="K172" s="362">
        <f t="shared" si="24"/>
        <v>14</v>
      </c>
      <c r="L172" s="362"/>
      <c r="M172" s="362">
        <f>K172+L172</f>
        <v>14</v>
      </c>
      <c r="N172" s="362">
        <f t="shared" si="25"/>
        <v>0</v>
      </c>
      <c r="O172" s="372"/>
    </row>
    <row r="173" ht="27.95" customHeight="1" spans="1:15">
      <c r="A173" s="360">
        <v>20699</v>
      </c>
      <c r="B173" s="361" t="s">
        <v>173</v>
      </c>
      <c r="C173" s="362">
        <v>369.2</v>
      </c>
      <c r="D173" s="362">
        <v>326</v>
      </c>
      <c r="E173" s="362">
        <f t="shared" si="23"/>
        <v>695.2</v>
      </c>
      <c r="F173" s="362"/>
      <c r="G173" s="362"/>
      <c r="H173" s="362"/>
      <c r="I173" s="362"/>
      <c r="J173" s="362">
        <f t="shared" si="20"/>
        <v>0</v>
      </c>
      <c r="K173" s="362">
        <f t="shared" si="24"/>
        <v>369.2</v>
      </c>
      <c r="L173" s="362">
        <f>L174+L175</f>
        <v>326</v>
      </c>
      <c r="M173" s="362">
        <f>K173+L173</f>
        <v>695.2</v>
      </c>
      <c r="N173" s="362">
        <f t="shared" si="25"/>
        <v>0</v>
      </c>
      <c r="O173" s="372"/>
    </row>
    <row r="174" ht="27.95" customHeight="1" spans="1:15">
      <c r="A174" s="360">
        <v>2069901</v>
      </c>
      <c r="B174" s="361" t="s">
        <v>174</v>
      </c>
      <c r="C174" s="362"/>
      <c r="D174" s="362">
        <v>26</v>
      </c>
      <c r="E174" s="362">
        <f t="shared" si="23"/>
        <v>26</v>
      </c>
      <c r="F174" s="362"/>
      <c r="G174" s="362"/>
      <c r="H174" s="362"/>
      <c r="I174" s="362"/>
      <c r="J174" s="362">
        <f t="shared" si="20"/>
        <v>0</v>
      </c>
      <c r="K174" s="362">
        <f t="shared" si="24"/>
        <v>0</v>
      </c>
      <c r="L174" s="362">
        <v>26</v>
      </c>
      <c r="M174" s="362">
        <f>L174+K174</f>
        <v>26</v>
      </c>
      <c r="N174" s="362">
        <f t="shared" si="25"/>
        <v>0</v>
      </c>
      <c r="O174" s="372"/>
    </row>
    <row r="175" ht="27.95" customHeight="1" spans="1:15">
      <c r="A175" s="360">
        <v>2069999</v>
      </c>
      <c r="B175" s="361" t="s">
        <v>173</v>
      </c>
      <c r="C175" s="362">
        <v>369.2</v>
      </c>
      <c r="D175" s="362">
        <v>300</v>
      </c>
      <c r="E175" s="362">
        <f t="shared" si="23"/>
        <v>669.2</v>
      </c>
      <c r="F175" s="362"/>
      <c r="G175" s="362"/>
      <c r="H175" s="362"/>
      <c r="I175" s="362"/>
      <c r="J175" s="362">
        <f t="shared" si="20"/>
        <v>0</v>
      </c>
      <c r="K175" s="362">
        <f t="shared" si="24"/>
        <v>369.2</v>
      </c>
      <c r="L175" s="362">
        <v>300</v>
      </c>
      <c r="M175" s="362">
        <f t="shared" ref="M175:M196" si="26">K175+L175</f>
        <v>669.2</v>
      </c>
      <c r="N175" s="362">
        <f t="shared" si="25"/>
        <v>0</v>
      </c>
      <c r="O175" s="372"/>
    </row>
    <row r="176" ht="27.95" customHeight="1" spans="1:15">
      <c r="A176" s="360">
        <v>207</v>
      </c>
      <c r="B176" s="361" t="s">
        <v>175</v>
      </c>
      <c r="C176" s="362">
        <v>4725.77</v>
      </c>
      <c r="D176" s="362">
        <v>280</v>
      </c>
      <c r="E176" s="362">
        <f t="shared" si="23"/>
        <v>5005.77</v>
      </c>
      <c r="F176" s="362">
        <v>8</v>
      </c>
      <c r="G176" s="362"/>
      <c r="H176" s="362"/>
      <c r="I176" s="362"/>
      <c r="J176" s="362">
        <f t="shared" ref="J176:J239" si="27">L176-D176</f>
        <v>0</v>
      </c>
      <c r="K176" s="362">
        <f t="shared" si="24"/>
        <v>4733.77</v>
      </c>
      <c r="L176" s="362">
        <f>L177+L182+L184+L186</f>
        <v>280</v>
      </c>
      <c r="M176" s="362">
        <f t="shared" si="26"/>
        <v>5013.77</v>
      </c>
      <c r="N176" s="362">
        <f t="shared" si="25"/>
        <v>0.159815572828959</v>
      </c>
      <c r="O176" s="372"/>
    </row>
    <row r="177" ht="27.95" customHeight="1" spans="1:15">
      <c r="A177" s="360">
        <v>20701</v>
      </c>
      <c r="B177" s="361" t="s">
        <v>176</v>
      </c>
      <c r="C177" s="362">
        <v>188.86</v>
      </c>
      <c r="D177" s="362">
        <v>266</v>
      </c>
      <c r="E177" s="362">
        <f t="shared" si="23"/>
        <v>454.86</v>
      </c>
      <c r="F177" s="362">
        <v>8</v>
      </c>
      <c r="G177" s="362"/>
      <c r="H177" s="362"/>
      <c r="I177" s="362"/>
      <c r="J177" s="362">
        <f t="shared" si="27"/>
        <v>0</v>
      </c>
      <c r="K177" s="362">
        <f t="shared" si="24"/>
        <v>196.86</v>
      </c>
      <c r="L177" s="362">
        <v>266</v>
      </c>
      <c r="M177" s="362">
        <f t="shared" si="26"/>
        <v>462.86</v>
      </c>
      <c r="N177" s="362">
        <f t="shared" si="25"/>
        <v>1.75878292221783</v>
      </c>
      <c r="O177" s="372"/>
    </row>
    <row r="178" ht="30" customHeight="1" spans="1:15">
      <c r="A178" s="360">
        <v>2070104</v>
      </c>
      <c r="B178" s="361" t="s">
        <v>177</v>
      </c>
      <c r="C178" s="362">
        <v>20.47</v>
      </c>
      <c r="D178" s="362">
        <v>0</v>
      </c>
      <c r="E178" s="362">
        <f t="shared" si="23"/>
        <v>20.47</v>
      </c>
      <c r="F178" s="362">
        <v>1</v>
      </c>
      <c r="G178" s="362"/>
      <c r="H178" s="362"/>
      <c r="I178" s="362"/>
      <c r="J178" s="362">
        <f t="shared" si="27"/>
        <v>0</v>
      </c>
      <c r="K178" s="362">
        <f t="shared" si="24"/>
        <v>21.47</v>
      </c>
      <c r="L178" s="362"/>
      <c r="M178" s="362">
        <f t="shared" si="26"/>
        <v>21.47</v>
      </c>
      <c r="N178" s="362">
        <f t="shared" si="25"/>
        <v>4.88519785051296</v>
      </c>
      <c r="O178" s="372" t="s">
        <v>47</v>
      </c>
    </row>
    <row r="179" ht="30" customHeight="1" spans="1:15">
      <c r="A179" s="360">
        <v>2070109</v>
      </c>
      <c r="B179" s="361" t="s">
        <v>178</v>
      </c>
      <c r="C179" s="362">
        <v>113.39</v>
      </c>
      <c r="D179" s="362">
        <v>0</v>
      </c>
      <c r="E179" s="362">
        <f t="shared" si="23"/>
        <v>113.39</v>
      </c>
      <c r="F179" s="362">
        <v>7</v>
      </c>
      <c r="G179" s="362"/>
      <c r="H179" s="362"/>
      <c r="I179" s="362"/>
      <c r="J179" s="362">
        <f t="shared" si="27"/>
        <v>0</v>
      </c>
      <c r="K179" s="362">
        <f t="shared" si="24"/>
        <v>120.39</v>
      </c>
      <c r="L179" s="362"/>
      <c r="M179" s="362">
        <f t="shared" si="26"/>
        <v>120.39</v>
      </c>
      <c r="N179" s="362">
        <f t="shared" si="25"/>
        <v>6.17338389628714</v>
      </c>
      <c r="O179" s="372" t="s">
        <v>47</v>
      </c>
    </row>
    <row r="180" ht="27.95" customHeight="1" spans="1:15">
      <c r="A180" s="360">
        <v>2070112</v>
      </c>
      <c r="B180" s="361" t="s">
        <v>179</v>
      </c>
      <c r="C180" s="362">
        <v>2</v>
      </c>
      <c r="D180" s="362">
        <v>0</v>
      </c>
      <c r="E180" s="362">
        <f t="shared" si="23"/>
        <v>2</v>
      </c>
      <c r="F180" s="362"/>
      <c r="G180" s="362"/>
      <c r="H180" s="362"/>
      <c r="I180" s="362"/>
      <c r="J180" s="362">
        <f t="shared" si="27"/>
        <v>0</v>
      </c>
      <c r="K180" s="362">
        <f t="shared" si="24"/>
        <v>2</v>
      </c>
      <c r="L180" s="362"/>
      <c r="M180" s="362">
        <f t="shared" si="26"/>
        <v>2</v>
      </c>
      <c r="N180" s="362">
        <f t="shared" si="25"/>
        <v>0</v>
      </c>
      <c r="O180" s="372"/>
    </row>
    <row r="181" ht="27.95" customHeight="1" spans="1:15">
      <c r="A181" s="360">
        <v>2070199</v>
      </c>
      <c r="B181" s="361" t="s">
        <v>180</v>
      </c>
      <c r="C181" s="362">
        <v>53</v>
      </c>
      <c r="D181" s="362">
        <v>266</v>
      </c>
      <c r="E181" s="362">
        <f t="shared" si="23"/>
        <v>319</v>
      </c>
      <c r="F181" s="362"/>
      <c r="G181" s="362"/>
      <c r="H181" s="362"/>
      <c r="I181" s="362"/>
      <c r="J181" s="362">
        <f t="shared" si="27"/>
        <v>0</v>
      </c>
      <c r="K181" s="362">
        <f t="shared" si="24"/>
        <v>53</v>
      </c>
      <c r="L181" s="362">
        <f>VLOOKUP(A181,[1]Sheet1!$D$1:$E$65536,2,0)</f>
        <v>266</v>
      </c>
      <c r="M181" s="362">
        <f t="shared" si="26"/>
        <v>319</v>
      </c>
      <c r="N181" s="362">
        <f t="shared" si="25"/>
        <v>0</v>
      </c>
      <c r="O181" s="372"/>
    </row>
    <row r="182" ht="27.95" customHeight="1" spans="1:15">
      <c r="A182" s="360">
        <v>20702</v>
      </c>
      <c r="B182" s="361" t="s">
        <v>181</v>
      </c>
      <c r="C182" s="362">
        <v>2</v>
      </c>
      <c r="D182" s="362">
        <v>0</v>
      </c>
      <c r="E182" s="362">
        <f t="shared" si="23"/>
        <v>2</v>
      </c>
      <c r="F182" s="362"/>
      <c r="G182" s="362"/>
      <c r="H182" s="362"/>
      <c r="I182" s="362"/>
      <c r="J182" s="362">
        <f t="shared" si="27"/>
        <v>0</v>
      </c>
      <c r="K182" s="362">
        <f t="shared" si="24"/>
        <v>2</v>
      </c>
      <c r="L182" s="362"/>
      <c r="M182" s="362">
        <f t="shared" si="26"/>
        <v>2</v>
      </c>
      <c r="N182" s="362">
        <f t="shared" si="25"/>
        <v>0</v>
      </c>
      <c r="O182" s="372"/>
    </row>
    <row r="183" ht="27.95" customHeight="1" spans="1:15">
      <c r="A183" s="360">
        <v>2070204</v>
      </c>
      <c r="B183" s="361" t="s">
        <v>182</v>
      </c>
      <c r="C183" s="362">
        <v>2</v>
      </c>
      <c r="D183" s="362">
        <v>0</v>
      </c>
      <c r="E183" s="362">
        <f t="shared" si="23"/>
        <v>2</v>
      </c>
      <c r="F183" s="362"/>
      <c r="G183" s="362"/>
      <c r="H183" s="362"/>
      <c r="I183" s="362"/>
      <c r="J183" s="362">
        <f t="shared" si="27"/>
        <v>0</v>
      </c>
      <c r="K183" s="362">
        <f t="shared" si="24"/>
        <v>2</v>
      </c>
      <c r="L183" s="362"/>
      <c r="M183" s="362">
        <f t="shared" si="26"/>
        <v>2</v>
      </c>
      <c r="N183" s="362">
        <f t="shared" si="25"/>
        <v>0</v>
      </c>
      <c r="O183" s="372"/>
    </row>
    <row r="184" ht="27.95" customHeight="1" spans="1:15">
      <c r="A184" s="360">
        <v>20703</v>
      </c>
      <c r="B184" s="361" t="s">
        <v>183</v>
      </c>
      <c r="C184" s="362">
        <v>12</v>
      </c>
      <c r="D184" s="362">
        <v>0</v>
      </c>
      <c r="E184" s="362">
        <f t="shared" si="23"/>
        <v>12</v>
      </c>
      <c r="F184" s="362"/>
      <c r="G184" s="362"/>
      <c r="H184" s="362"/>
      <c r="I184" s="362"/>
      <c r="J184" s="362">
        <f t="shared" si="27"/>
        <v>0</v>
      </c>
      <c r="K184" s="362">
        <f t="shared" si="24"/>
        <v>12</v>
      </c>
      <c r="L184" s="362"/>
      <c r="M184" s="362">
        <f t="shared" si="26"/>
        <v>12</v>
      </c>
      <c r="N184" s="362">
        <f t="shared" si="25"/>
        <v>0</v>
      </c>
      <c r="O184" s="372"/>
    </row>
    <row r="185" ht="27.95" customHeight="1" spans="1:15">
      <c r="A185" s="360">
        <v>2070308</v>
      </c>
      <c r="B185" s="361" t="s">
        <v>184</v>
      </c>
      <c r="C185" s="362">
        <v>12</v>
      </c>
      <c r="D185" s="362">
        <v>0</v>
      </c>
      <c r="E185" s="362">
        <f t="shared" si="23"/>
        <v>12</v>
      </c>
      <c r="F185" s="362"/>
      <c r="G185" s="362"/>
      <c r="H185" s="362"/>
      <c r="I185" s="362"/>
      <c r="J185" s="362">
        <f t="shared" si="27"/>
        <v>0</v>
      </c>
      <c r="K185" s="362">
        <f t="shared" si="24"/>
        <v>12</v>
      </c>
      <c r="L185" s="362"/>
      <c r="M185" s="362">
        <f t="shared" si="26"/>
        <v>12</v>
      </c>
      <c r="N185" s="362">
        <f t="shared" si="25"/>
        <v>0</v>
      </c>
      <c r="O185" s="372"/>
    </row>
    <row r="186" ht="27.95" customHeight="1" spans="1:15">
      <c r="A186" s="360">
        <v>20799</v>
      </c>
      <c r="B186" s="361" t="s">
        <v>185</v>
      </c>
      <c r="C186" s="362">
        <v>4522.91</v>
      </c>
      <c r="D186" s="362">
        <v>14</v>
      </c>
      <c r="E186" s="362">
        <f t="shared" si="23"/>
        <v>4536.91</v>
      </c>
      <c r="F186" s="362"/>
      <c r="G186" s="362"/>
      <c r="H186" s="362"/>
      <c r="I186" s="362"/>
      <c r="J186" s="362">
        <f t="shared" si="27"/>
        <v>0</v>
      </c>
      <c r="K186" s="362">
        <f t="shared" si="24"/>
        <v>4522.91</v>
      </c>
      <c r="L186" s="362">
        <v>14</v>
      </c>
      <c r="M186" s="362">
        <f t="shared" si="26"/>
        <v>4536.91</v>
      </c>
      <c r="N186" s="362">
        <f t="shared" si="25"/>
        <v>0</v>
      </c>
      <c r="O186" s="372"/>
    </row>
    <row r="187" ht="27.95" customHeight="1" spans="1:15">
      <c r="A187" s="360">
        <v>2079999</v>
      </c>
      <c r="B187" s="361" t="s">
        <v>185</v>
      </c>
      <c r="C187" s="362">
        <v>4522.91</v>
      </c>
      <c r="D187" s="362">
        <v>14</v>
      </c>
      <c r="E187" s="362">
        <f t="shared" si="23"/>
        <v>4536.91</v>
      </c>
      <c r="F187" s="362"/>
      <c r="G187" s="362"/>
      <c r="H187" s="362"/>
      <c r="I187" s="362"/>
      <c r="J187" s="362">
        <f t="shared" si="27"/>
        <v>0</v>
      </c>
      <c r="K187" s="362">
        <f t="shared" si="24"/>
        <v>4522.91</v>
      </c>
      <c r="L187" s="362">
        <f>VLOOKUP(A187,[1]Sheet1!$D$1:$E$65536,2,0)</f>
        <v>14</v>
      </c>
      <c r="M187" s="362">
        <f t="shared" si="26"/>
        <v>4536.91</v>
      </c>
      <c r="N187" s="362">
        <f t="shared" si="25"/>
        <v>0</v>
      </c>
      <c r="O187" s="372"/>
    </row>
    <row r="188" ht="27.95" customHeight="1" spans="1:15">
      <c r="A188" s="360">
        <v>208</v>
      </c>
      <c r="B188" s="361" t="s">
        <v>186</v>
      </c>
      <c r="C188" s="362">
        <v>10991.9</v>
      </c>
      <c r="D188" s="362">
        <v>11292.8912</v>
      </c>
      <c r="E188" s="362">
        <f t="shared" si="23"/>
        <v>22284.7912</v>
      </c>
      <c r="F188" s="362">
        <f>F189+F195+F203+F210+F217+F222+F226+F231+F236+F242+F239+F244+F247+F250+F253</f>
        <v>158</v>
      </c>
      <c r="G188" s="362"/>
      <c r="H188" s="362"/>
      <c r="I188" s="362"/>
      <c r="J188" s="362">
        <f t="shared" si="27"/>
        <v>0</v>
      </c>
      <c r="K188" s="362">
        <f t="shared" si="24"/>
        <v>11149.9</v>
      </c>
      <c r="L188" s="362">
        <f>L189+L195+L203+L210+L217+L222+L226+L231+L236+L242+L239+L244+L247+L250+L253</f>
        <v>11292.8912</v>
      </c>
      <c r="M188" s="362">
        <f t="shared" si="26"/>
        <v>22442.7912</v>
      </c>
      <c r="N188" s="362">
        <f t="shared" si="25"/>
        <v>0.709003726272295</v>
      </c>
      <c r="O188" s="372"/>
    </row>
    <row r="189" ht="27.95" customHeight="1" spans="1:15">
      <c r="A189" s="360">
        <v>20801</v>
      </c>
      <c r="B189" s="361" t="s">
        <v>187</v>
      </c>
      <c r="C189" s="362">
        <v>842.78</v>
      </c>
      <c r="D189" s="362">
        <v>40</v>
      </c>
      <c r="E189" s="362">
        <f t="shared" si="23"/>
        <v>882.78</v>
      </c>
      <c r="F189" s="362">
        <f>F190+F193</f>
        <v>58</v>
      </c>
      <c r="G189" s="362"/>
      <c r="H189" s="362"/>
      <c r="I189" s="362"/>
      <c r="J189" s="362">
        <f t="shared" si="27"/>
        <v>0</v>
      </c>
      <c r="K189" s="362">
        <f t="shared" si="24"/>
        <v>900.78</v>
      </c>
      <c r="L189" s="362">
        <v>40</v>
      </c>
      <c r="M189" s="362">
        <f t="shared" si="26"/>
        <v>940.78</v>
      </c>
      <c r="N189" s="362">
        <f t="shared" si="25"/>
        <v>6.57015337909785</v>
      </c>
      <c r="O189" s="372"/>
    </row>
    <row r="190" ht="30" customHeight="1" spans="1:15">
      <c r="A190" s="360">
        <v>2080101</v>
      </c>
      <c r="B190" s="361" t="s">
        <v>46</v>
      </c>
      <c r="C190" s="362">
        <v>401.85</v>
      </c>
      <c r="D190" s="362">
        <v>0</v>
      </c>
      <c r="E190" s="362">
        <f t="shared" si="23"/>
        <v>401.85</v>
      </c>
      <c r="F190" s="362">
        <v>40</v>
      </c>
      <c r="G190" s="362"/>
      <c r="H190" s="362"/>
      <c r="I190" s="362"/>
      <c r="J190" s="362">
        <f t="shared" si="27"/>
        <v>0</v>
      </c>
      <c r="K190" s="362">
        <f t="shared" si="24"/>
        <v>441.85</v>
      </c>
      <c r="L190" s="362"/>
      <c r="M190" s="362">
        <f t="shared" si="26"/>
        <v>441.85</v>
      </c>
      <c r="N190" s="362">
        <f t="shared" si="25"/>
        <v>9.95396292148811</v>
      </c>
      <c r="O190" s="372" t="s">
        <v>47</v>
      </c>
    </row>
    <row r="191" ht="27.95" customHeight="1" spans="1:15">
      <c r="A191" s="360">
        <v>2080102</v>
      </c>
      <c r="B191" s="361" t="s">
        <v>48</v>
      </c>
      <c r="C191" s="362">
        <v>154</v>
      </c>
      <c r="D191" s="362">
        <v>0</v>
      </c>
      <c r="E191" s="362">
        <f t="shared" si="23"/>
        <v>154</v>
      </c>
      <c r="F191" s="362"/>
      <c r="G191" s="362"/>
      <c r="H191" s="362"/>
      <c r="I191" s="362"/>
      <c r="J191" s="362">
        <f t="shared" si="27"/>
        <v>0</v>
      </c>
      <c r="K191" s="362">
        <f t="shared" si="24"/>
        <v>154</v>
      </c>
      <c r="L191" s="362"/>
      <c r="M191" s="362">
        <f t="shared" si="26"/>
        <v>154</v>
      </c>
      <c r="N191" s="362">
        <f t="shared" si="25"/>
        <v>0</v>
      </c>
      <c r="O191" s="372"/>
    </row>
    <row r="192" ht="27.95" customHeight="1" spans="1:15">
      <c r="A192" s="360">
        <v>2080104</v>
      </c>
      <c r="B192" s="361" t="s">
        <v>188</v>
      </c>
      <c r="C192" s="362">
        <v>43</v>
      </c>
      <c r="D192" s="362">
        <v>0</v>
      </c>
      <c r="E192" s="362">
        <f t="shared" si="23"/>
        <v>43</v>
      </c>
      <c r="F192" s="362"/>
      <c r="G192" s="362"/>
      <c r="H192" s="362"/>
      <c r="I192" s="362"/>
      <c r="J192" s="362">
        <f t="shared" si="27"/>
        <v>0</v>
      </c>
      <c r="K192" s="362">
        <f t="shared" si="24"/>
        <v>43</v>
      </c>
      <c r="L192" s="362"/>
      <c r="M192" s="362">
        <f t="shared" si="26"/>
        <v>43</v>
      </c>
      <c r="N192" s="362">
        <f t="shared" si="25"/>
        <v>0</v>
      </c>
      <c r="O192" s="372"/>
    </row>
    <row r="193" ht="30" customHeight="1" spans="1:15">
      <c r="A193" s="360">
        <v>2080111</v>
      </c>
      <c r="B193" s="361" t="s">
        <v>189</v>
      </c>
      <c r="C193" s="362">
        <v>99.41</v>
      </c>
      <c r="D193" s="362">
        <v>0</v>
      </c>
      <c r="E193" s="362">
        <f t="shared" si="23"/>
        <v>99.41</v>
      </c>
      <c r="F193" s="362">
        <v>18</v>
      </c>
      <c r="G193" s="362"/>
      <c r="H193" s="362"/>
      <c r="I193" s="362"/>
      <c r="J193" s="362">
        <f t="shared" si="27"/>
        <v>0</v>
      </c>
      <c r="K193" s="362">
        <f t="shared" si="24"/>
        <v>117.41</v>
      </c>
      <c r="L193" s="362"/>
      <c r="M193" s="362">
        <f t="shared" si="26"/>
        <v>117.41</v>
      </c>
      <c r="N193" s="362">
        <f t="shared" si="25"/>
        <v>18.1068302987627</v>
      </c>
      <c r="O193" s="372" t="s">
        <v>47</v>
      </c>
    </row>
    <row r="194" ht="27.95" customHeight="1" spans="1:15">
      <c r="A194" s="360">
        <v>2080199</v>
      </c>
      <c r="B194" s="361" t="s">
        <v>190</v>
      </c>
      <c r="C194" s="362">
        <v>144.52</v>
      </c>
      <c r="D194" s="362">
        <v>40</v>
      </c>
      <c r="E194" s="362">
        <f t="shared" si="23"/>
        <v>184.52</v>
      </c>
      <c r="F194" s="362"/>
      <c r="G194" s="362"/>
      <c r="H194" s="362"/>
      <c r="I194" s="362"/>
      <c r="J194" s="362">
        <f t="shared" si="27"/>
        <v>0</v>
      </c>
      <c r="K194" s="362">
        <f t="shared" si="24"/>
        <v>144.52</v>
      </c>
      <c r="L194" s="362">
        <f>VLOOKUP(A194,[1]Sheet1!$D$1:$E$65536,2,0)</f>
        <v>40</v>
      </c>
      <c r="M194" s="362">
        <f t="shared" si="26"/>
        <v>184.52</v>
      </c>
      <c r="N194" s="362">
        <f t="shared" si="25"/>
        <v>0</v>
      </c>
      <c r="O194" s="372"/>
    </row>
    <row r="195" ht="27.95" customHeight="1" spans="1:15">
      <c r="A195" s="360">
        <v>20802</v>
      </c>
      <c r="B195" s="361" t="s">
        <v>191</v>
      </c>
      <c r="C195" s="362">
        <v>720.33</v>
      </c>
      <c r="D195" s="362">
        <v>138</v>
      </c>
      <c r="E195" s="362">
        <f t="shared" si="23"/>
        <v>858.33</v>
      </c>
      <c r="F195" s="362">
        <f>F196+F202</f>
        <v>12</v>
      </c>
      <c r="G195" s="362"/>
      <c r="H195" s="362"/>
      <c r="I195" s="362"/>
      <c r="J195" s="362">
        <f t="shared" si="27"/>
        <v>0</v>
      </c>
      <c r="K195" s="362">
        <f t="shared" si="24"/>
        <v>732.33</v>
      </c>
      <c r="L195" s="362">
        <f>SUM(L196:L202)</f>
        <v>138</v>
      </c>
      <c r="M195" s="362">
        <f t="shared" si="26"/>
        <v>870.33</v>
      </c>
      <c r="N195" s="362">
        <f t="shared" si="25"/>
        <v>1.39806368180071</v>
      </c>
      <c r="O195" s="372"/>
    </row>
    <row r="196" ht="30" customHeight="1" spans="1:15">
      <c r="A196" s="360">
        <v>2080201</v>
      </c>
      <c r="B196" s="361" t="s">
        <v>46</v>
      </c>
      <c r="C196" s="362">
        <v>242.36</v>
      </c>
      <c r="D196" s="362">
        <v>0</v>
      </c>
      <c r="E196" s="362">
        <f t="shared" si="23"/>
        <v>242.36</v>
      </c>
      <c r="F196" s="362">
        <v>8</v>
      </c>
      <c r="G196" s="362"/>
      <c r="H196" s="362"/>
      <c r="I196" s="362"/>
      <c r="J196" s="362">
        <f t="shared" si="27"/>
        <v>0</v>
      </c>
      <c r="K196" s="362">
        <f t="shared" si="24"/>
        <v>250.36</v>
      </c>
      <c r="L196" s="362"/>
      <c r="M196" s="362">
        <f t="shared" si="26"/>
        <v>250.36</v>
      </c>
      <c r="N196" s="362">
        <f t="shared" si="25"/>
        <v>3.30087473180394</v>
      </c>
      <c r="O196" s="372" t="s">
        <v>47</v>
      </c>
    </row>
    <row r="197" ht="27.95" customHeight="1" spans="1:15">
      <c r="A197" s="360">
        <v>2080202</v>
      </c>
      <c r="B197" s="361" t="s">
        <v>48</v>
      </c>
      <c r="C197" s="362"/>
      <c r="D197" s="362">
        <v>28</v>
      </c>
      <c r="E197" s="362">
        <f t="shared" si="23"/>
        <v>28</v>
      </c>
      <c r="F197" s="362"/>
      <c r="G197" s="362"/>
      <c r="H197" s="362"/>
      <c r="I197" s="362"/>
      <c r="J197" s="362">
        <f t="shared" si="27"/>
        <v>0</v>
      </c>
      <c r="K197" s="362">
        <f t="shared" si="24"/>
        <v>0</v>
      </c>
      <c r="L197" s="362">
        <v>28</v>
      </c>
      <c r="M197" s="362">
        <f>L197+K197</f>
        <v>28</v>
      </c>
      <c r="N197" s="362">
        <f t="shared" si="25"/>
        <v>0</v>
      </c>
      <c r="O197" s="372"/>
    </row>
    <row r="198" ht="27.95" customHeight="1" spans="1:15">
      <c r="A198" s="360">
        <v>2080204</v>
      </c>
      <c r="B198" s="361" t="s">
        <v>192</v>
      </c>
      <c r="C198" s="362">
        <v>199.68</v>
      </c>
      <c r="D198" s="362">
        <v>110</v>
      </c>
      <c r="E198" s="362">
        <f t="shared" si="23"/>
        <v>309.68</v>
      </c>
      <c r="F198" s="362"/>
      <c r="G198" s="362"/>
      <c r="H198" s="362"/>
      <c r="I198" s="362"/>
      <c r="J198" s="362">
        <f t="shared" si="27"/>
        <v>0</v>
      </c>
      <c r="K198" s="362">
        <f t="shared" si="24"/>
        <v>199.68</v>
      </c>
      <c r="L198" s="362">
        <f>VLOOKUP(A198,[1]Sheet1!$D$1:$E$65536,2,0)</f>
        <v>110</v>
      </c>
      <c r="M198" s="362">
        <f t="shared" ref="M198:M211" si="28">K198+L198</f>
        <v>309.68</v>
      </c>
      <c r="N198" s="362">
        <f t="shared" si="25"/>
        <v>0</v>
      </c>
      <c r="O198" s="372"/>
    </row>
    <row r="199" ht="27.95" customHeight="1" spans="1:15">
      <c r="A199" s="360">
        <v>2080205</v>
      </c>
      <c r="B199" s="361" t="s">
        <v>193</v>
      </c>
      <c r="C199" s="362">
        <v>14</v>
      </c>
      <c r="D199" s="362">
        <v>0</v>
      </c>
      <c r="E199" s="362">
        <f t="shared" si="23"/>
        <v>14</v>
      </c>
      <c r="F199" s="362"/>
      <c r="G199" s="362"/>
      <c r="H199" s="362"/>
      <c r="I199" s="362"/>
      <c r="J199" s="362">
        <f t="shared" si="27"/>
        <v>0</v>
      </c>
      <c r="K199" s="362">
        <f t="shared" si="24"/>
        <v>14</v>
      </c>
      <c r="L199" s="362"/>
      <c r="M199" s="362">
        <f t="shared" si="28"/>
        <v>14</v>
      </c>
      <c r="N199" s="362">
        <f t="shared" si="25"/>
        <v>0</v>
      </c>
      <c r="O199" s="372"/>
    </row>
    <row r="200" ht="27.95" customHeight="1" spans="1:15">
      <c r="A200" s="360">
        <v>2080207</v>
      </c>
      <c r="B200" s="361" t="s">
        <v>194</v>
      </c>
      <c r="C200" s="362">
        <v>102</v>
      </c>
      <c r="D200" s="362">
        <v>0</v>
      </c>
      <c r="E200" s="362">
        <f t="shared" si="23"/>
        <v>102</v>
      </c>
      <c r="F200" s="362"/>
      <c r="G200" s="362"/>
      <c r="H200" s="362"/>
      <c r="I200" s="362"/>
      <c r="J200" s="362">
        <f t="shared" si="27"/>
        <v>0</v>
      </c>
      <c r="K200" s="362">
        <f t="shared" si="24"/>
        <v>102</v>
      </c>
      <c r="L200" s="362"/>
      <c r="M200" s="362">
        <f t="shared" si="28"/>
        <v>102</v>
      </c>
      <c r="N200" s="362">
        <f t="shared" si="25"/>
        <v>0</v>
      </c>
      <c r="O200" s="372"/>
    </row>
    <row r="201" ht="27.95" customHeight="1" spans="1:15">
      <c r="A201" s="360">
        <v>2080208</v>
      </c>
      <c r="B201" s="361" t="s">
        <v>195</v>
      </c>
      <c r="C201" s="362">
        <v>137.76</v>
      </c>
      <c r="D201" s="362">
        <v>0</v>
      </c>
      <c r="E201" s="362">
        <f t="shared" si="23"/>
        <v>137.76</v>
      </c>
      <c r="F201" s="362"/>
      <c r="G201" s="362"/>
      <c r="H201" s="362"/>
      <c r="I201" s="362"/>
      <c r="J201" s="362">
        <f t="shared" si="27"/>
        <v>0</v>
      </c>
      <c r="K201" s="362">
        <f t="shared" si="24"/>
        <v>137.76</v>
      </c>
      <c r="L201" s="362"/>
      <c r="M201" s="362">
        <f t="shared" si="28"/>
        <v>137.76</v>
      </c>
      <c r="N201" s="362">
        <f t="shared" si="25"/>
        <v>0</v>
      </c>
      <c r="O201" s="372"/>
    </row>
    <row r="202" ht="30" customHeight="1" spans="1:15">
      <c r="A202" s="360">
        <v>2080299</v>
      </c>
      <c r="B202" s="361" t="s">
        <v>196</v>
      </c>
      <c r="C202" s="362">
        <v>24.53</v>
      </c>
      <c r="D202" s="362">
        <v>0</v>
      </c>
      <c r="E202" s="362">
        <f t="shared" si="23"/>
        <v>24.53</v>
      </c>
      <c r="F202" s="362">
        <v>4</v>
      </c>
      <c r="G202" s="362"/>
      <c r="H202" s="362"/>
      <c r="I202" s="362"/>
      <c r="J202" s="362">
        <f t="shared" si="27"/>
        <v>0</v>
      </c>
      <c r="K202" s="362">
        <f t="shared" si="24"/>
        <v>28.53</v>
      </c>
      <c r="L202" s="362"/>
      <c r="M202" s="362">
        <f t="shared" si="28"/>
        <v>28.53</v>
      </c>
      <c r="N202" s="362">
        <f t="shared" si="25"/>
        <v>16.3065633917652</v>
      </c>
      <c r="O202" s="372" t="s">
        <v>47</v>
      </c>
    </row>
    <row r="203" ht="27.95" customHeight="1" spans="1:15">
      <c r="A203" s="360">
        <v>20805</v>
      </c>
      <c r="B203" s="361" t="s">
        <v>197</v>
      </c>
      <c r="C203" s="362">
        <v>3858.14</v>
      </c>
      <c r="D203" s="362">
        <v>0</v>
      </c>
      <c r="E203" s="362">
        <f t="shared" si="23"/>
        <v>3858.14</v>
      </c>
      <c r="F203" s="362">
        <f>F205+F206+F209</f>
        <v>58</v>
      </c>
      <c r="G203" s="362"/>
      <c r="H203" s="362"/>
      <c r="I203" s="362"/>
      <c r="J203" s="362">
        <f t="shared" si="27"/>
        <v>0</v>
      </c>
      <c r="K203" s="362">
        <f t="shared" si="24"/>
        <v>3916.14</v>
      </c>
      <c r="L203" s="362"/>
      <c r="M203" s="362">
        <f t="shared" si="28"/>
        <v>3916.14</v>
      </c>
      <c r="N203" s="362">
        <f t="shared" si="25"/>
        <v>1.50331506891923</v>
      </c>
      <c r="O203" s="372"/>
    </row>
    <row r="204" ht="27.95" customHeight="1" spans="1:15">
      <c r="A204" s="360">
        <v>2080502</v>
      </c>
      <c r="B204" s="361" t="s">
        <v>198</v>
      </c>
      <c r="C204" s="362">
        <v>0</v>
      </c>
      <c r="D204" s="362">
        <v>0</v>
      </c>
      <c r="E204" s="362">
        <f t="shared" si="23"/>
        <v>0</v>
      </c>
      <c r="F204" s="362"/>
      <c r="G204" s="362"/>
      <c r="H204" s="362"/>
      <c r="I204" s="362"/>
      <c r="J204" s="362">
        <f t="shared" si="27"/>
        <v>0</v>
      </c>
      <c r="K204" s="362">
        <f t="shared" si="24"/>
        <v>0</v>
      </c>
      <c r="L204" s="362"/>
      <c r="M204" s="362">
        <f t="shared" si="28"/>
        <v>0</v>
      </c>
      <c r="N204" s="362" t="e">
        <f t="shared" si="25"/>
        <v>#DIV/0!</v>
      </c>
      <c r="O204" s="372"/>
    </row>
    <row r="205" ht="30" customHeight="1" spans="1:15">
      <c r="A205" s="360">
        <v>2080503</v>
      </c>
      <c r="B205" s="361" t="s">
        <v>199</v>
      </c>
      <c r="C205" s="362">
        <v>91.35</v>
      </c>
      <c r="D205" s="362">
        <v>0</v>
      </c>
      <c r="E205" s="362">
        <f t="shared" si="23"/>
        <v>91.35</v>
      </c>
      <c r="F205" s="362">
        <v>13</v>
      </c>
      <c r="G205" s="362"/>
      <c r="H205" s="362"/>
      <c r="I205" s="362"/>
      <c r="J205" s="362">
        <f t="shared" si="27"/>
        <v>0</v>
      </c>
      <c r="K205" s="362">
        <f t="shared" si="24"/>
        <v>104.35</v>
      </c>
      <c r="L205" s="362"/>
      <c r="M205" s="362">
        <f t="shared" si="28"/>
        <v>104.35</v>
      </c>
      <c r="N205" s="362">
        <f t="shared" si="25"/>
        <v>14.2309797482211</v>
      </c>
      <c r="O205" s="372" t="s">
        <v>47</v>
      </c>
    </row>
    <row r="206" ht="30" customHeight="1" spans="1:15">
      <c r="A206" s="360">
        <v>2080504</v>
      </c>
      <c r="B206" s="361" t="s">
        <v>200</v>
      </c>
      <c r="C206" s="362">
        <v>755.7</v>
      </c>
      <c r="D206" s="362">
        <v>0</v>
      </c>
      <c r="E206" s="362">
        <f t="shared" si="23"/>
        <v>755.7</v>
      </c>
      <c r="F206" s="362">
        <v>42</v>
      </c>
      <c r="G206" s="362"/>
      <c r="H206" s="362"/>
      <c r="I206" s="362"/>
      <c r="J206" s="362">
        <f t="shared" si="27"/>
        <v>0</v>
      </c>
      <c r="K206" s="362">
        <f t="shared" si="24"/>
        <v>797.7</v>
      </c>
      <c r="L206" s="362"/>
      <c r="M206" s="362">
        <f t="shared" si="28"/>
        <v>797.7</v>
      </c>
      <c r="N206" s="362">
        <f t="shared" si="25"/>
        <v>5.5577610162763</v>
      </c>
      <c r="O206" s="372" t="s">
        <v>47</v>
      </c>
    </row>
    <row r="207" ht="27.95" customHeight="1" spans="1:15">
      <c r="A207" s="360">
        <v>2080505</v>
      </c>
      <c r="B207" s="361" t="s">
        <v>201</v>
      </c>
      <c r="C207" s="362">
        <v>1864.08</v>
      </c>
      <c r="D207" s="362">
        <v>0</v>
      </c>
      <c r="E207" s="362">
        <f t="shared" si="23"/>
        <v>1864.08</v>
      </c>
      <c r="F207" s="362"/>
      <c r="G207" s="362"/>
      <c r="H207" s="362"/>
      <c r="I207" s="362"/>
      <c r="J207" s="362">
        <f t="shared" si="27"/>
        <v>0</v>
      </c>
      <c r="K207" s="362">
        <f t="shared" si="24"/>
        <v>1864.08</v>
      </c>
      <c r="L207" s="362"/>
      <c r="M207" s="362">
        <f t="shared" si="28"/>
        <v>1864.08</v>
      </c>
      <c r="N207" s="362">
        <f t="shared" si="25"/>
        <v>0</v>
      </c>
      <c r="O207" s="372"/>
    </row>
    <row r="208" ht="27.95" customHeight="1" spans="1:15">
      <c r="A208" s="360">
        <v>2080507</v>
      </c>
      <c r="B208" s="361" t="s">
        <v>202</v>
      </c>
      <c r="C208" s="362">
        <v>50</v>
      </c>
      <c r="D208" s="362">
        <v>0</v>
      </c>
      <c r="E208" s="362">
        <f t="shared" si="23"/>
        <v>50</v>
      </c>
      <c r="F208" s="362"/>
      <c r="G208" s="362"/>
      <c r="H208" s="362"/>
      <c r="I208" s="362"/>
      <c r="J208" s="362">
        <f t="shared" si="27"/>
        <v>0</v>
      </c>
      <c r="K208" s="362">
        <f t="shared" si="24"/>
        <v>50</v>
      </c>
      <c r="L208" s="362"/>
      <c r="M208" s="362">
        <f t="shared" si="28"/>
        <v>50</v>
      </c>
      <c r="N208" s="362">
        <f t="shared" si="25"/>
        <v>0</v>
      </c>
      <c r="O208" s="372"/>
    </row>
    <row r="209" ht="30" customHeight="1" spans="1:15">
      <c r="A209" s="360">
        <v>2080599</v>
      </c>
      <c r="B209" s="361" t="s">
        <v>203</v>
      </c>
      <c r="C209" s="362">
        <v>1097.01</v>
      </c>
      <c r="D209" s="362">
        <v>0</v>
      </c>
      <c r="E209" s="362">
        <f t="shared" si="23"/>
        <v>1097.01</v>
      </c>
      <c r="F209" s="362">
        <v>3</v>
      </c>
      <c r="G209" s="362"/>
      <c r="H209" s="362"/>
      <c r="I209" s="362"/>
      <c r="J209" s="362">
        <f t="shared" si="27"/>
        <v>0</v>
      </c>
      <c r="K209" s="362">
        <f t="shared" si="24"/>
        <v>1100.01</v>
      </c>
      <c r="L209" s="362"/>
      <c r="M209" s="362">
        <f t="shared" si="28"/>
        <v>1100.01</v>
      </c>
      <c r="N209" s="362">
        <f t="shared" si="25"/>
        <v>0.273470615582361</v>
      </c>
      <c r="O209" s="372" t="s">
        <v>47</v>
      </c>
    </row>
    <row r="210" ht="27.95" customHeight="1" spans="1:15">
      <c r="A210" s="360">
        <v>20807</v>
      </c>
      <c r="B210" s="361" t="s">
        <v>204</v>
      </c>
      <c r="C210" s="362">
        <v>170.62</v>
      </c>
      <c r="D210" s="362">
        <v>686</v>
      </c>
      <c r="E210" s="362">
        <f t="shared" si="23"/>
        <v>856.62</v>
      </c>
      <c r="F210" s="362"/>
      <c r="G210" s="362"/>
      <c r="H210" s="362"/>
      <c r="I210" s="362"/>
      <c r="J210" s="362">
        <f t="shared" si="27"/>
        <v>0</v>
      </c>
      <c r="K210" s="362">
        <f t="shared" si="24"/>
        <v>170.62</v>
      </c>
      <c r="L210" s="362">
        <f>SUM(L211:L216)</f>
        <v>686</v>
      </c>
      <c r="M210" s="362">
        <f t="shared" si="28"/>
        <v>856.62</v>
      </c>
      <c r="N210" s="362">
        <f t="shared" si="25"/>
        <v>0</v>
      </c>
      <c r="O210" s="372"/>
    </row>
    <row r="211" ht="27.95" customHeight="1" spans="1:15">
      <c r="A211" s="360">
        <v>2080701</v>
      </c>
      <c r="B211" s="361" t="s">
        <v>205</v>
      </c>
      <c r="C211" s="362">
        <v>4</v>
      </c>
      <c r="D211" s="362">
        <v>0</v>
      </c>
      <c r="E211" s="362">
        <f t="shared" si="23"/>
        <v>4</v>
      </c>
      <c r="F211" s="362"/>
      <c r="G211" s="362"/>
      <c r="H211" s="362"/>
      <c r="I211" s="362"/>
      <c r="J211" s="362">
        <f t="shared" si="27"/>
        <v>0</v>
      </c>
      <c r="K211" s="362">
        <f t="shared" si="24"/>
        <v>4</v>
      </c>
      <c r="L211" s="362"/>
      <c r="M211" s="362">
        <f t="shared" si="28"/>
        <v>4</v>
      </c>
      <c r="N211" s="362">
        <f t="shared" si="25"/>
        <v>0</v>
      </c>
      <c r="O211" s="372"/>
    </row>
    <row r="212" ht="27.95" customHeight="1" spans="1:15">
      <c r="A212" s="360">
        <v>2080702</v>
      </c>
      <c r="B212" s="361" t="s">
        <v>206</v>
      </c>
      <c r="C212" s="362"/>
      <c r="D212" s="362">
        <v>50</v>
      </c>
      <c r="E212" s="362">
        <f t="shared" si="23"/>
        <v>50</v>
      </c>
      <c r="F212" s="362"/>
      <c r="G212" s="362"/>
      <c r="H212" s="362"/>
      <c r="I212" s="362"/>
      <c r="J212" s="362">
        <f t="shared" si="27"/>
        <v>0</v>
      </c>
      <c r="K212" s="362">
        <f t="shared" si="24"/>
        <v>0</v>
      </c>
      <c r="L212" s="362">
        <v>50</v>
      </c>
      <c r="M212" s="362">
        <f>L212+K212</f>
        <v>50</v>
      </c>
      <c r="N212" s="362">
        <f t="shared" si="25"/>
        <v>0</v>
      </c>
      <c r="O212" s="372"/>
    </row>
    <row r="213" ht="27.95" customHeight="1" spans="1:15">
      <c r="A213" s="360">
        <v>2080704</v>
      </c>
      <c r="B213" s="361" t="s">
        <v>207</v>
      </c>
      <c r="C213" s="362">
        <v>12</v>
      </c>
      <c r="D213" s="362">
        <v>0</v>
      </c>
      <c r="E213" s="362">
        <f t="shared" si="23"/>
        <v>12</v>
      </c>
      <c r="F213" s="362"/>
      <c r="G213" s="362"/>
      <c r="H213" s="362"/>
      <c r="I213" s="362"/>
      <c r="J213" s="362">
        <f t="shared" si="27"/>
        <v>0</v>
      </c>
      <c r="K213" s="362">
        <f t="shared" si="24"/>
        <v>12</v>
      </c>
      <c r="L213" s="362"/>
      <c r="M213" s="362">
        <f t="shared" ref="M213:M223" si="29">K213+L213</f>
        <v>12</v>
      </c>
      <c r="N213" s="362">
        <f t="shared" si="25"/>
        <v>0</v>
      </c>
      <c r="O213" s="372"/>
    </row>
    <row r="214" ht="27.95" customHeight="1" spans="1:15">
      <c r="A214" s="360">
        <v>2080705</v>
      </c>
      <c r="B214" s="361" t="s">
        <v>208</v>
      </c>
      <c r="C214" s="362">
        <v>19.5</v>
      </c>
      <c r="D214" s="362">
        <v>0</v>
      </c>
      <c r="E214" s="362">
        <f t="shared" ref="E214:E277" si="30">C214+D214</f>
        <v>19.5</v>
      </c>
      <c r="F214" s="362"/>
      <c r="G214" s="362"/>
      <c r="H214" s="362"/>
      <c r="I214" s="362"/>
      <c r="J214" s="362">
        <f t="shared" si="27"/>
        <v>0</v>
      </c>
      <c r="K214" s="362">
        <f t="shared" ref="K214:K277" si="31">F214+C214</f>
        <v>19.5</v>
      </c>
      <c r="L214" s="362"/>
      <c r="M214" s="362">
        <f t="shared" si="29"/>
        <v>19.5</v>
      </c>
      <c r="N214" s="362">
        <f t="shared" ref="N214:N277" si="32">(M214/E214-1)*100</f>
        <v>0</v>
      </c>
      <c r="O214" s="372"/>
    </row>
    <row r="215" ht="27.95" customHeight="1" spans="1:15">
      <c r="A215" s="360">
        <v>2080711</v>
      </c>
      <c r="B215" s="361" t="s">
        <v>209</v>
      </c>
      <c r="C215" s="362">
        <v>1</v>
      </c>
      <c r="D215" s="362">
        <v>0</v>
      </c>
      <c r="E215" s="362">
        <f t="shared" si="30"/>
        <v>1</v>
      </c>
      <c r="F215" s="362"/>
      <c r="G215" s="362"/>
      <c r="H215" s="362"/>
      <c r="I215" s="362"/>
      <c r="J215" s="362">
        <f t="shared" si="27"/>
        <v>0</v>
      </c>
      <c r="K215" s="362">
        <f t="shared" si="31"/>
        <v>1</v>
      </c>
      <c r="L215" s="362"/>
      <c r="M215" s="362">
        <f t="shared" si="29"/>
        <v>1</v>
      </c>
      <c r="N215" s="362">
        <f t="shared" si="32"/>
        <v>0</v>
      </c>
      <c r="O215" s="372"/>
    </row>
    <row r="216" ht="27.95" customHeight="1" spans="1:15">
      <c r="A216" s="360">
        <v>2080799</v>
      </c>
      <c r="B216" s="361" t="s">
        <v>210</v>
      </c>
      <c r="C216" s="362">
        <v>134.12</v>
      </c>
      <c r="D216" s="362">
        <v>636</v>
      </c>
      <c r="E216" s="362">
        <f t="shared" si="30"/>
        <v>770.12</v>
      </c>
      <c r="F216" s="362"/>
      <c r="G216" s="362"/>
      <c r="H216" s="362"/>
      <c r="I216" s="362"/>
      <c r="J216" s="362">
        <f t="shared" si="27"/>
        <v>0</v>
      </c>
      <c r="K216" s="362">
        <f t="shared" si="31"/>
        <v>134.12</v>
      </c>
      <c r="L216" s="362">
        <f>VLOOKUP(A216,[1]Sheet1!$D$1:$E$65536,2,0)</f>
        <v>636</v>
      </c>
      <c r="M216" s="362">
        <f t="shared" si="29"/>
        <v>770.12</v>
      </c>
      <c r="N216" s="362">
        <f t="shared" si="32"/>
        <v>0</v>
      </c>
      <c r="O216" s="372"/>
    </row>
    <row r="217" ht="27.95" customHeight="1" spans="1:15">
      <c r="A217" s="360">
        <v>20808</v>
      </c>
      <c r="B217" s="361" t="s">
        <v>211</v>
      </c>
      <c r="C217" s="362">
        <v>630</v>
      </c>
      <c r="D217" s="362">
        <v>663.173</v>
      </c>
      <c r="E217" s="362">
        <f t="shared" si="30"/>
        <v>1293.173</v>
      </c>
      <c r="F217" s="362"/>
      <c r="G217" s="362"/>
      <c r="H217" s="362"/>
      <c r="I217" s="362"/>
      <c r="J217" s="362">
        <f t="shared" si="27"/>
        <v>0</v>
      </c>
      <c r="K217" s="362">
        <f t="shared" si="31"/>
        <v>630</v>
      </c>
      <c r="L217" s="362">
        <f>L218+L219+L220+L221</f>
        <v>663.173</v>
      </c>
      <c r="M217" s="362">
        <f t="shared" si="29"/>
        <v>1293.173</v>
      </c>
      <c r="N217" s="362">
        <f t="shared" si="32"/>
        <v>0</v>
      </c>
      <c r="O217" s="372"/>
    </row>
    <row r="218" ht="27.95" customHeight="1" spans="1:15">
      <c r="A218" s="360">
        <v>2080801</v>
      </c>
      <c r="B218" s="361" t="s">
        <v>212</v>
      </c>
      <c r="C218" s="362">
        <v>370</v>
      </c>
      <c r="D218" s="362">
        <v>11</v>
      </c>
      <c r="E218" s="362">
        <f t="shared" si="30"/>
        <v>381</v>
      </c>
      <c r="F218" s="362"/>
      <c r="G218" s="362"/>
      <c r="H218" s="362"/>
      <c r="I218" s="362"/>
      <c r="J218" s="362">
        <f t="shared" si="27"/>
        <v>0</v>
      </c>
      <c r="K218" s="362">
        <f t="shared" si="31"/>
        <v>370</v>
      </c>
      <c r="L218" s="362">
        <f>VLOOKUP(A218,[1]Sheet1!$D$1:$E$65536,2,0)</f>
        <v>11</v>
      </c>
      <c r="M218" s="362">
        <f t="shared" si="29"/>
        <v>381</v>
      </c>
      <c r="N218" s="362">
        <f t="shared" si="32"/>
        <v>0</v>
      </c>
      <c r="O218" s="372"/>
    </row>
    <row r="219" ht="27.95" customHeight="1" spans="1:15">
      <c r="A219" s="360">
        <v>2080803</v>
      </c>
      <c r="B219" s="361" t="s">
        <v>213</v>
      </c>
      <c r="C219" s="362">
        <v>20</v>
      </c>
      <c r="D219" s="362">
        <v>490.553</v>
      </c>
      <c r="E219" s="362">
        <f t="shared" si="30"/>
        <v>510.553</v>
      </c>
      <c r="F219" s="362"/>
      <c r="G219" s="362"/>
      <c r="H219" s="362"/>
      <c r="I219" s="362"/>
      <c r="J219" s="362">
        <f t="shared" si="27"/>
        <v>0</v>
      </c>
      <c r="K219" s="362">
        <f t="shared" si="31"/>
        <v>20</v>
      </c>
      <c r="L219" s="362">
        <f>VLOOKUP(A219,[1]Sheet1!$D$1:$E$65536,2,0)+77.75</f>
        <v>490.553</v>
      </c>
      <c r="M219" s="362">
        <f t="shared" si="29"/>
        <v>510.553</v>
      </c>
      <c r="N219" s="362">
        <f t="shared" si="32"/>
        <v>0</v>
      </c>
      <c r="O219" s="372"/>
    </row>
    <row r="220" ht="27.95" customHeight="1" spans="1:15">
      <c r="A220" s="360">
        <v>2080805</v>
      </c>
      <c r="B220" s="361" t="s">
        <v>214</v>
      </c>
      <c r="C220" s="362">
        <v>200</v>
      </c>
      <c r="D220" s="362">
        <v>61.62</v>
      </c>
      <c r="E220" s="362">
        <f t="shared" si="30"/>
        <v>261.62</v>
      </c>
      <c r="F220" s="362"/>
      <c r="G220" s="362"/>
      <c r="H220" s="362"/>
      <c r="I220" s="362"/>
      <c r="J220" s="362">
        <f t="shared" si="27"/>
        <v>0</v>
      </c>
      <c r="K220" s="362">
        <f t="shared" si="31"/>
        <v>200</v>
      </c>
      <c r="L220" s="362">
        <v>61.62</v>
      </c>
      <c r="M220" s="362">
        <f t="shared" si="29"/>
        <v>261.62</v>
      </c>
      <c r="N220" s="362">
        <f t="shared" si="32"/>
        <v>0</v>
      </c>
      <c r="O220" s="372"/>
    </row>
    <row r="221" ht="27.95" customHeight="1" spans="1:15">
      <c r="A221" s="360">
        <v>2080806</v>
      </c>
      <c r="B221" s="361" t="s">
        <v>215</v>
      </c>
      <c r="C221" s="362">
        <v>40</v>
      </c>
      <c r="D221" s="362">
        <v>100</v>
      </c>
      <c r="E221" s="362">
        <f t="shared" si="30"/>
        <v>140</v>
      </c>
      <c r="F221" s="362"/>
      <c r="G221" s="362"/>
      <c r="H221" s="362"/>
      <c r="I221" s="362"/>
      <c r="J221" s="362">
        <f t="shared" si="27"/>
        <v>0</v>
      </c>
      <c r="K221" s="362">
        <f t="shared" si="31"/>
        <v>40</v>
      </c>
      <c r="L221" s="362">
        <f>VLOOKUP(A221,[1]Sheet1!$D$1:$E$65536,2,0)</f>
        <v>100</v>
      </c>
      <c r="M221" s="362">
        <f t="shared" si="29"/>
        <v>140</v>
      </c>
      <c r="N221" s="362">
        <f t="shared" si="32"/>
        <v>0</v>
      </c>
      <c r="O221" s="372"/>
    </row>
    <row r="222" ht="27.95" customHeight="1" spans="1:15">
      <c r="A222" s="360">
        <v>20809</v>
      </c>
      <c r="B222" s="361" t="s">
        <v>216</v>
      </c>
      <c r="C222" s="362">
        <v>165.82</v>
      </c>
      <c r="D222" s="362">
        <v>164.8</v>
      </c>
      <c r="E222" s="362">
        <f t="shared" si="30"/>
        <v>330.62</v>
      </c>
      <c r="F222" s="362">
        <v>1</v>
      </c>
      <c r="G222" s="362"/>
      <c r="H222" s="362"/>
      <c r="I222" s="362"/>
      <c r="J222" s="362">
        <f t="shared" si="27"/>
        <v>0</v>
      </c>
      <c r="K222" s="362">
        <f t="shared" si="31"/>
        <v>166.82</v>
      </c>
      <c r="L222" s="362">
        <f>L223+L224+L225</f>
        <v>164.8</v>
      </c>
      <c r="M222" s="362">
        <f t="shared" si="29"/>
        <v>331.62</v>
      </c>
      <c r="N222" s="362">
        <f t="shared" si="32"/>
        <v>0.302462041013851</v>
      </c>
      <c r="O222" s="372"/>
    </row>
    <row r="223" ht="30" customHeight="1" spans="1:15">
      <c r="A223" s="360">
        <v>2080901</v>
      </c>
      <c r="B223" s="361" t="s">
        <v>217</v>
      </c>
      <c r="C223" s="362">
        <v>165.82</v>
      </c>
      <c r="D223" s="362">
        <v>140</v>
      </c>
      <c r="E223" s="362">
        <f t="shared" si="30"/>
        <v>305.82</v>
      </c>
      <c r="F223" s="362">
        <v>1</v>
      </c>
      <c r="G223" s="362"/>
      <c r="H223" s="362"/>
      <c r="I223" s="362"/>
      <c r="J223" s="362">
        <f t="shared" si="27"/>
        <v>0</v>
      </c>
      <c r="K223" s="362">
        <f t="shared" si="31"/>
        <v>166.82</v>
      </c>
      <c r="L223" s="362">
        <f>VLOOKUP(A223,[1]Sheet1!$D$1:$E$65536,2,0)+63</f>
        <v>140</v>
      </c>
      <c r="M223" s="362">
        <f t="shared" si="29"/>
        <v>306.82</v>
      </c>
      <c r="N223" s="362">
        <f t="shared" si="32"/>
        <v>0.326989732522409</v>
      </c>
      <c r="O223" s="372" t="s">
        <v>47</v>
      </c>
    </row>
    <row r="224" ht="27.95" customHeight="1" spans="1:15">
      <c r="A224" s="360">
        <v>2080902</v>
      </c>
      <c r="B224" s="361" t="s">
        <v>218</v>
      </c>
      <c r="C224" s="362"/>
      <c r="D224" s="362">
        <v>24</v>
      </c>
      <c r="E224" s="362">
        <f t="shared" si="30"/>
        <v>24</v>
      </c>
      <c r="F224" s="362"/>
      <c r="G224" s="362"/>
      <c r="H224" s="362"/>
      <c r="I224" s="362"/>
      <c r="J224" s="362">
        <f t="shared" si="27"/>
        <v>0</v>
      </c>
      <c r="K224" s="362">
        <f t="shared" si="31"/>
        <v>0</v>
      </c>
      <c r="L224" s="362">
        <v>24</v>
      </c>
      <c r="M224" s="362">
        <f>L224+K224</f>
        <v>24</v>
      </c>
      <c r="N224" s="362">
        <f t="shared" si="32"/>
        <v>0</v>
      </c>
      <c r="O224" s="372"/>
    </row>
    <row r="225" ht="27.95" customHeight="1" spans="1:15">
      <c r="A225" s="360">
        <v>2080903</v>
      </c>
      <c r="B225" s="361" t="s">
        <v>219</v>
      </c>
      <c r="C225" s="362"/>
      <c r="D225" s="362">
        <v>0.8</v>
      </c>
      <c r="E225" s="362">
        <f t="shared" si="30"/>
        <v>0.8</v>
      </c>
      <c r="F225" s="362"/>
      <c r="G225" s="362"/>
      <c r="H225" s="362"/>
      <c r="I225" s="362"/>
      <c r="J225" s="362">
        <f t="shared" si="27"/>
        <v>0</v>
      </c>
      <c r="K225" s="362">
        <f t="shared" si="31"/>
        <v>0</v>
      </c>
      <c r="L225" s="362">
        <v>0.8</v>
      </c>
      <c r="M225" s="362">
        <f>L225+K225</f>
        <v>0.8</v>
      </c>
      <c r="N225" s="362">
        <f t="shared" si="32"/>
        <v>0</v>
      </c>
      <c r="O225" s="372"/>
    </row>
    <row r="226" ht="27.95" customHeight="1" spans="1:15">
      <c r="A226" s="360">
        <v>20810</v>
      </c>
      <c r="B226" s="361" t="s">
        <v>220</v>
      </c>
      <c r="C226" s="362">
        <v>533.82</v>
      </c>
      <c r="D226" s="362">
        <v>144</v>
      </c>
      <c r="E226" s="362">
        <f t="shared" si="30"/>
        <v>677.82</v>
      </c>
      <c r="F226" s="362">
        <v>7</v>
      </c>
      <c r="G226" s="362"/>
      <c r="H226" s="362"/>
      <c r="I226" s="362"/>
      <c r="J226" s="362">
        <f t="shared" si="27"/>
        <v>0</v>
      </c>
      <c r="K226" s="362">
        <f t="shared" si="31"/>
        <v>540.82</v>
      </c>
      <c r="L226" s="362">
        <f>L228+L229</f>
        <v>144</v>
      </c>
      <c r="M226" s="362">
        <f t="shared" ref="M226:M273" si="33">K226+L226</f>
        <v>684.82</v>
      </c>
      <c r="N226" s="362">
        <f t="shared" si="32"/>
        <v>1.0327225517099</v>
      </c>
      <c r="O226" s="372"/>
    </row>
    <row r="227" ht="27.95" customHeight="1" spans="1:15">
      <c r="A227" s="360">
        <v>2081001</v>
      </c>
      <c r="B227" s="361" t="s">
        <v>221</v>
      </c>
      <c r="C227" s="362">
        <v>29.17</v>
      </c>
      <c r="D227" s="362">
        <v>0</v>
      </c>
      <c r="E227" s="362">
        <f t="shared" si="30"/>
        <v>29.17</v>
      </c>
      <c r="F227" s="362"/>
      <c r="G227" s="362"/>
      <c r="H227" s="362"/>
      <c r="I227" s="362"/>
      <c r="J227" s="362">
        <f t="shared" si="27"/>
        <v>0</v>
      </c>
      <c r="K227" s="362">
        <f t="shared" si="31"/>
        <v>29.17</v>
      </c>
      <c r="L227" s="362"/>
      <c r="M227" s="362">
        <f t="shared" si="33"/>
        <v>29.17</v>
      </c>
      <c r="N227" s="362">
        <f t="shared" si="32"/>
        <v>0</v>
      </c>
      <c r="O227" s="372"/>
    </row>
    <row r="228" ht="27.95" customHeight="1" spans="1:15">
      <c r="A228" s="360">
        <v>2081002</v>
      </c>
      <c r="B228" s="361" t="s">
        <v>222</v>
      </c>
      <c r="C228" s="362">
        <v>280</v>
      </c>
      <c r="D228" s="362">
        <v>92</v>
      </c>
      <c r="E228" s="362">
        <f t="shared" si="30"/>
        <v>372</v>
      </c>
      <c r="F228" s="362"/>
      <c r="G228" s="362"/>
      <c r="H228" s="362"/>
      <c r="I228" s="362"/>
      <c r="J228" s="362">
        <f t="shared" si="27"/>
        <v>0</v>
      </c>
      <c r="K228" s="362">
        <f t="shared" si="31"/>
        <v>280</v>
      </c>
      <c r="L228" s="362">
        <v>92</v>
      </c>
      <c r="M228" s="362">
        <f t="shared" si="33"/>
        <v>372</v>
      </c>
      <c r="N228" s="362">
        <f t="shared" si="32"/>
        <v>0</v>
      </c>
      <c r="O228" s="372"/>
    </row>
    <row r="229" ht="27.95" customHeight="1" spans="1:15">
      <c r="A229" s="360">
        <v>2081004</v>
      </c>
      <c r="B229" s="361" t="s">
        <v>223</v>
      </c>
      <c r="C229" s="362">
        <v>181.34</v>
      </c>
      <c r="D229" s="362">
        <v>52</v>
      </c>
      <c r="E229" s="362">
        <f t="shared" si="30"/>
        <v>233.34</v>
      </c>
      <c r="F229" s="362"/>
      <c r="G229" s="362"/>
      <c r="H229" s="362"/>
      <c r="I229" s="362"/>
      <c r="J229" s="362">
        <f t="shared" si="27"/>
        <v>0</v>
      </c>
      <c r="K229" s="362">
        <f t="shared" si="31"/>
        <v>181.34</v>
      </c>
      <c r="L229" s="362">
        <f>VLOOKUP(A229,[1]Sheet1!$D$1:$E$65536,2,0)</f>
        <v>52</v>
      </c>
      <c r="M229" s="362">
        <f t="shared" si="33"/>
        <v>233.34</v>
      </c>
      <c r="N229" s="362">
        <f t="shared" si="32"/>
        <v>0</v>
      </c>
      <c r="O229" s="372"/>
    </row>
    <row r="230" ht="30" customHeight="1" spans="1:15">
      <c r="A230" s="360">
        <v>2081005</v>
      </c>
      <c r="B230" s="361" t="s">
        <v>224</v>
      </c>
      <c r="C230" s="362">
        <v>43.31</v>
      </c>
      <c r="D230" s="362">
        <v>0</v>
      </c>
      <c r="E230" s="362">
        <f t="shared" si="30"/>
        <v>43.31</v>
      </c>
      <c r="F230" s="362">
        <v>7</v>
      </c>
      <c r="G230" s="362"/>
      <c r="H230" s="362"/>
      <c r="I230" s="362"/>
      <c r="J230" s="362">
        <f t="shared" si="27"/>
        <v>0</v>
      </c>
      <c r="K230" s="362">
        <f t="shared" si="31"/>
        <v>50.31</v>
      </c>
      <c r="L230" s="362"/>
      <c r="M230" s="362">
        <f t="shared" si="33"/>
        <v>50.31</v>
      </c>
      <c r="N230" s="362">
        <f t="shared" si="32"/>
        <v>16.1625490648811</v>
      </c>
      <c r="O230" s="372" t="s">
        <v>47</v>
      </c>
    </row>
    <row r="231" ht="27.95" customHeight="1" spans="1:15">
      <c r="A231" s="360">
        <v>20811</v>
      </c>
      <c r="B231" s="361" t="s">
        <v>225</v>
      </c>
      <c r="C231" s="362">
        <v>1160.97</v>
      </c>
      <c r="D231" s="362">
        <v>1432.7782</v>
      </c>
      <c r="E231" s="362">
        <f t="shared" si="30"/>
        <v>2593.7482</v>
      </c>
      <c r="F231" s="362">
        <v>15</v>
      </c>
      <c r="G231" s="362"/>
      <c r="H231" s="362"/>
      <c r="I231" s="362"/>
      <c r="J231" s="362">
        <f t="shared" si="27"/>
        <v>0</v>
      </c>
      <c r="K231" s="362">
        <f t="shared" si="31"/>
        <v>1175.97</v>
      </c>
      <c r="L231" s="362">
        <f>L235</f>
        <v>1432.7782</v>
      </c>
      <c r="M231" s="362">
        <f t="shared" si="33"/>
        <v>2608.7482</v>
      </c>
      <c r="N231" s="362">
        <f t="shared" si="32"/>
        <v>0.578313654347795</v>
      </c>
      <c r="O231" s="372"/>
    </row>
    <row r="232" ht="30" customHeight="1" spans="1:15">
      <c r="A232" s="360">
        <v>2081101</v>
      </c>
      <c r="B232" s="361" t="s">
        <v>46</v>
      </c>
      <c r="C232" s="362">
        <v>139.23</v>
      </c>
      <c r="D232" s="362">
        <v>0</v>
      </c>
      <c r="E232" s="362">
        <f t="shared" si="30"/>
        <v>139.23</v>
      </c>
      <c r="F232" s="362">
        <v>15</v>
      </c>
      <c r="G232" s="362"/>
      <c r="H232" s="362"/>
      <c r="I232" s="362"/>
      <c r="J232" s="362">
        <f t="shared" si="27"/>
        <v>0</v>
      </c>
      <c r="K232" s="362">
        <f t="shared" si="31"/>
        <v>154.23</v>
      </c>
      <c r="L232" s="362"/>
      <c r="M232" s="362">
        <f t="shared" si="33"/>
        <v>154.23</v>
      </c>
      <c r="N232" s="362">
        <f t="shared" si="32"/>
        <v>10.7735401853049</v>
      </c>
      <c r="O232" s="372" t="s">
        <v>47</v>
      </c>
    </row>
    <row r="233" ht="27.95" customHeight="1" spans="1:15">
      <c r="A233" s="360">
        <v>2081104</v>
      </c>
      <c r="B233" s="361" t="s">
        <v>226</v>
      </c>
      <c r="C233" s="362">
        <v>506</v>
      </c>
      <c r="D233" s="362">
        <v>0</v>
      </c>
      <c r="E233" s="362">
        <f t="shared" si="30"/>
        <v>506</v>
      </c>
      <c r="F233" s="362"/>
      <c r="G233" s="362"/>
      <c r="H233" s="362"/>
      <c r="I233" s="362"/>
      <c r="J233" s="362">
        <f t="shared" si="27"/>
        <v>0</v>
      </c>
      <c r="K233" s="362">
        <f t="shared" si="31"/>
        <v>506</v>
      </c>
      <c r="L233" s="362"/>
      <c r="M233" s="362">
        <f t="shared" si="33"/>
        <v>506</v>
      </c>
      <c r="N233" s="362">
        <f t="shared" si="32"/>
        <v>0</v>
      </c>
      <c r="O233" s="372"/>
    </row>
    <row r="234" ht="27.95" customHeight="1" spans="1:15">
      <c r="A234" s="360">
        <v>2081107</v>
      </c>
      <c r="B234" s="361" t="s">
        <v>227</v>
      </c>
      <c r="C234" s="362">
        <v>437</v>
      </c>
      <c r="D234" s="362">
        <v>0</v>
      </c>
      <c r="E234" s="362">
        <f t="shared" si="30"/>
        <v>437</v>
      </c>
      <c r="F234" s="362"/>
      <c r="G234" s="362"/>
      <c r="H234" s="362"/>
      <c r="I234" s="362"/>
      <c r="J234" s="362">
        <f t="shared" si="27"/>
        <v>0</v>
      </c>
      <c r="K234" s="362">
        <f t="shared" si="31"/>
        <v>437</v>
      </c>
      <c r="L234" s="362"/>
      <c r="M234" s="362">
        <f t="shared" si="33"/>
        <v>437</v>
      </c>
      <c r="N234" s="362">
        <f t="shared" si="32"/>
        <v>0</v>
      </c>
      <c r="O234" s="372"/>
    </row>
    <row r="235" ht="27.95" customHeight="1" spans="1:15">
      <c r="A235" s="360">
        <v>2081199</v>
      </c>
      <c r="B235" s="361" t="s">
        <v>228</v>
      </c>
      <c r="C235" s="362">
        <v>78.74</v>
      </c>
      <c r="D235" s="362">
        <v>1432.7782</v>
      </c>
      <c r="E235" s="362">
        <f t="shared" si="30"/>
        <v>1511.5182</v>
      </c>
      <c r="F235" s="362"/>
      <c r="G235" s="362"/>
      <c r="H235" s="362"/>
      <c r="I235" s="362"/>
      <c r="J235" s="362">
        <f t="shared" si="27"/>
        <v>0</v>
      </c>
      <c r="K235" s="362">
        <f t="shared" si="31"/>
        <v>78.74</v>
      </c>
      <c r="L235" s="362">
        <f>VLOOKUP(A235,[1]Sheet1!$D$1:$E$65536,2,0)+40.83</f>
        <v>1432.7782</v>
      </c>
      <c r="M235" s="362">
        <f t="shared" si="33"/>
        <v>1511.5182</v>
      </c>
      <c r="N235" s="362">
        <f t="shared" si="32"/>
        <v>0</v>
      </c>
      <c r="O235" s="372"/>
    </row>
    <row r="236" ht="27.95" customHeight="1" spans="1:15">
      <c r="A236" s="360">
        <v>20816</v>
      </c>
      <c r="B236" s="361" t="s">
        <v>229</v>
      </c>
      <c r="C236" s="362">
        <v>55.99</v>
      </c>
      <c r="D236" s="362">
        <v>0</v>
      </c>
      <c r="E236" s="362">
        <f t="shared" si="30"/>
        <v>55.99</v>
      </c>
      <c r="F236" s="362">
        <v>7</v>
      </c>
      <c r="G236" s="362"/>
      <c r="H236" s="362"/>
      <c r="I236" s="362"/>
      <c r="J236" s="362">
        <f t="shared" si="27"/>
        <v>0</v>
      </c>
      <c r="K236" s="362">
        <f t="shared" si="31"/>
        <v>62.99</v>
      </c>
      <c r="L236" s="362"/>
      <c r="M236" s="362">
        <f t="shared" si="33"/>
        <v>62.99</v>
      </c>
      <c r="N236" s="362">
        <f t="shared" si="32"/>
        <v>12.5022325415253</v>
      </c>
      <c r="O236" s="372"/>
    </row>
    <row r="237" ht="30" customHeight="1" spans="1:15">
      <c r="A237" s="360">
        <v>2081601</v>
      </c>
      <c r="B237" s="361" t="s">
        <v>46</v>
      </c>
      <c r="C237" s="362">
        <v>32.99</v>
      </c>
      <c r="D237" s="362">
        <v>0</v>
      </c>
      <c r="E237" s="362">
        <f t="shared" si="30"/>
        <v>32.99</v>
      </c>
      <c r="F237" s="362">
        <v>7</v>
      </c>
      <c r="G237" s="362"/>
      <c r="H237" s="362"/>
      <c r="I237" s="362"/>
      <c r="J237" s="362">
        <f t="shared" si="27"/>
        <v>0</v>
      </c>
      <c r="K237" s="362">
        <f t="shared" si="31"/>
        <v>39.99</v>
      </c>
      <c r="L237" s="362"/>
      <c r="M237" s="362">
        <f t="shared" si="33"/>
        <v>39.99</v>
      </c>
      <c r="N237" s="362">
        <f t="shared" si="32"/>
        <v>21.2185510760837</v>
      </c>
      <c r="O237" s="372" t="s">
        <v>47</v>
      </c>
    </row>
    <row r="238" ht="27.95" customHeight="1" spans="1:15">
      <c r="A238" s="360">
        <v>2081699</v>
      </c>
      <c r="B238" s="361" t="s">
        <v>230</v>
      </c>
      <c r="C238" s="362">
        <v>23</v>
      </c>
      <c r="D238" s="362">
        <v>0</v>
      </c>
      <c r="E238" s="362">
        <f t="shared" si="30"/>
        <v>23</v>
      </c>
      <c r="F238" s="362"/>
      <c r="G238" s="362"/>
      <c r="H238" s="362"/>
      <c r="I238" s="362"/>
      <c r="J238" s="362">
        <f t="shared" si="27"/>
        <v>0</v>
      </c>
      <c r="K238" s="362">
        <f t="shared" si="31"/>
        <v>23</v>
      </c>
      <c r="L238" s="362"/>
      <c r="M238" s="362">
        <f t="shared" si="33"/>
        <v>23</v>
      </c>
      <c r="N238" s="362">
        <f t="shared" si="32"/>
        <v>0</v>
      </c>
      <c r="O238" s="372"/>
    </row>
    <row r="239" ht="27.95" customHeight="1" spans="1:15">
      <c r="A239" s="360">
        <v>20819</v>
      </c>
      <c r="B239" s="361" t="s">
        <v>231</v>
      </c>
      <c r="C239" s="362">
        <v>600</v>
      </c>
      <c r="D239" s="362">
        <v>3025.5</v>
      </c>
      <c r="E239" s="362">
        <f t="shared" si="30"/>
        <v>3625.5</v>
      </c>
      <c r="F239" s="362"/>
      <c r="G239" s="362"/>
      <c r="H239" s="362"/>
      <c r="I239" s="362"/>
      <c r="J239" s="362">
        <f t="shared" si="27"/>
        <v>0</v>
      </c>
      <c r="K239" s="362">
        <f t="shared" si="31"/>
        <v>600</v>
      </c>
      <c r="L239" s="362">
        <f>L240+L241</f>
        <v>3025.5</v>
      </c>
      <c r="M239" s="362">
        <f t="shared" si="33"/>
        <v>3625.5</v>
      </c>
      <c r="N239" s="362">
        <f t="shared" si="32"/>
        <v>0</v>
      </c>
      <c r="O239" s="372"/>
    </row>
    <row r="240" ht="27.95" customHeight="1" spans="1:15">
      <c r="A240" s="360">
        <v>2081901</v>
      </c>
      <c r="B240" s="361" t="s">
        <v>232</v>
      </c>
      <c r="C240" s="362">
        <v>200</v>
      </c>
      <c r="D240" s="362">
        <v>1379.5</v>
      </c>
      <c r="E240" s="362">
        <f t="shared" si="30"/>
        <v>1579.5</v>
      </c>
      <c r="F240" s="362"/>
      <c r="G240" s="362"/>
      <c r="H240" s="362"/>
      <c r="I240" s="362"/>
      <c r="J240" s="362">
        <f t="shared" ref="J240:J303" si="34">L240-D240</f>
        <v>0</v>
      </c>
      <c r="K240" s="362">
        <f t="shared" si="31"/>
        <v>200</v>
      </c>
      <c r="L240" s="362">
        <f>VLOOKUP(A240,[1]Sheet1!$D$1:$E$65536,2,0)</f>
        <v>1379.5</v>
      </c>
      <c r="M240" s="362">
        <f t="shared" si="33"/>
        <v>1579.5</v>
      </c>
      <c r="N240" s="362">
        <f t="shared" si="32"/>
        <v>0</v>
      </c>
      <c r="O240" s="372"/>
    </row>
    <row r="241" ht="27.95" customHeight="1" spans="1:15">
      <c r="A241" s="360">
        <v>2081902</v>
      </c>
      <c r="B241" s="361" t="s">
        <v>233</v>
      </c>
      <c r="C241" s="362">
        <v>400</v>
      </c>
      <c r="D241" s="362">
        <v>1646</v>
      </c>
      <c r="E241" s="362">
        <f t="shared" si="30"/>
        <v>2046</v>
      </c>
      <c r="F241" s="362"/>
      <c r="G241" s="362"/>
      <c r="H241" s="362"/>
      <c r="I241" s="362"/>
      <c r="J241" s="362">
        <f t="shared" si="34"/>
        <v>0</v>
      </c>
      <c r="K241" s="362">
        <f t="shared" si="31"/>
        <v>400</v>
      </c>
      <c r="L241" s="362">
        <f>VLOOKUP(A241,[1]Sheet1!$D$1:$E$65536,2,0)</f>
        <v>1646</v>
      </c>
      <c r="M241" s="362">
        <f t="shared" si="33"/>
        <v>2046</v>
      </c>
      <c r="N241" s="362">
        <f t="shared" si="32"/>
        <v>0</v>
      </c>
      <c r="O241" s="372"/>
    </row>
    <row r="242" ht="27.95" customHeight="1" spans="1:15">
      <c r="A242" s="360">
        <v>20820</v>
      </c>
      <c r="B242" s="361" t="s">
        <v>234</v>
      </c>
      <c r="C242" s="362">
        <v>15</v>
      </c>
      <c r="D242" s="362">
        <v>77.12</v>
      </c>
      <c r="E242" s="362">
        <f t="shared" si="30"/>
        <v>92.12</v>
      </c>
      <c r="F242" s="362"/>
      <c r="G242" s="362"/>
      <c r="H242" s="362"/>
      <c r="I242" s="362"/>
      <c r="J242" s="362">
        <f t="shared" si="34"/>
        <v>0</v>
      </c>
      <c r="K242" s="362">
        <f t="shared" si="31"/>
        <v>15</v>
      </c>
      <c r="L242" s="362">
        <f>L243</f>
        <v>77.12</v>
      </c>
      <c r="M242" s="362">
        <f t="shared" si="33"/>
        <v>92.12</v>
      </c>
      <c r="N242" s="362">
        <f t="shared" si="32"/>
        <v>0</v>
      </c>
      <c r="O242" s="372"/>
    </row>
    <row r="243" ht="27.95" customHeight="1" spans="1:15">
      <c r="A243" s="360">
        <v>2082001</v>
      </c>
      <c r="B243" s="361" t="s">
        <v>235</v>
      </c>
      <c r="C243" s="362">
        <v>15</v>
      </c>
      <c r="D243" s="362">
        <v>77.12</v>
      </c>
      <c r="E243" s="362">
        <f t="shared" si="30"/>
        <v>92.12</v>
      </c>
      <c r="F243" s="362"/>
      <c r="G243" s="362"/>
      <c r="H243" s="362"/>
      <c r="I243" s="362"/>
      <c r="J243" s="362">
        <f t="shared" si="34"/>
        <v>0</v>
      </c>
      <c r="K243" s="362">
        <f t="shared" si="31"/>
        <v>15</v>
      </c>
      <c r="L243" s="362">
        <f>VLOOKUP(A243,[1]Sheet1!$D$1:$E$65536,2,0)</f>
        <v>77.12</v>
      </c>
      <c r="M243" s="362">
        <f t="shared" si="33"/>
        <v>92.12</v>
      </c>
      <c r="N243" s="362">
        <f t="shared" si="32"/>
        <v>0</v>
      </c>
      <c r="O243" s="372"/>
    </row>
    <row r="244" ht="27.95" customHeight="1" spans="1:15">
      <c r="A244" s="360">
        <v>20821</v>
      </c>
      <c r="B244" s="361" t="s">
        <v>236</v>
      </c>
      <c r="C244" s="362">
        <v>110</v>
      </c>
      <c r="D244" s="362">
        <v>141</v>
      </c>
      <c r="E244" s="362">
        <f t="shared" si="30"/>
        <v>251</v>
      </c>
      <c r="F244" s="362"/>
      <c r="G244" s="362"/>
      <c r="H244" s="362"/>
      <c r="I244" s="362"/>
      <c r="J244" s="362">
        <f t="shared" si="34"/>
        <v>0</v>
      </c>
      <c r="K244" s="362">
        <f t="shared" si="31"/>
        <v>110</v>
      </c>
      <c r="L244" s="362">
        <f>L245+L246</f>
        <v>141</v>
      </c>
      <c r="M244" s="362">
        <f t="shared" si="33"/>
        <v>251</v>
      </c>
      <c r="N244" s="362">
        <f t="shared" si="32"/>
        <v>0</v>
      </c>
      <c r="O244" s="372"/>
    </row>
    <row r="245" ht="27.95" customHeight="1" spans="1:15">
      <c r="A245" s="360">
        <v>2082101</v>
      </c>
      <c r="B245" s="361" t="s">
        <v>237</v>
      </c>
      <c r="C245" s="362">
        <v>10</v>
      </c>
      <c r="D245" s="362">
        <v>12</v>
      </c>
      <c r="E245" s="362">
        <f t="shared" si="30"/>
        <v>22</v>
      </c>
      <c r="F245" s="362"/>
      <c r="G245" s="362"/>
      <c r="H245" s="362"/>
      <c r="I245" s="362"/>
      <c r="J245" s="362">
        <f t="shared" si="34"/>
        <v>0</v>
      </c>
      <c r="K245" s="362">
        <f t="shared" si="31"/>
        <v>10</v>
      </c>
      <c r="L245" s="362">
        <f>VLOOKUP(A245,[1]Sheet1!$D$1:$E$65536,2,0)</f>
        <v>12</v>
      </c>
      <c r="M245" s="362">
        <f t="shared" si="33"/>
        <v>22</v>
      </c>
      <c r="N245" s="362">
        <f t="shared" si="32"/>
        <v>0</v>
      </c>
      <c r="O245" s="372"/>
    </row>
    <row r="246" ht="27.95" customHeight="1" spans="1:15">
      <c r="A246" s="360">
        <v>2082102</v>
      </c>
      <c r="B246" s="361" t="s">
        <v>238</v>
      </c>
      <c r="C246" s="362">
        <v>100</v>
      </c>
      <c r="D246" s="362">
        <v>129</v>
      </c>
      <c r="E246" s="362">
        <f t="shared" si="30"/>
        <v>229</v>
      </c>
      <c r="F246" s="362"/>
      <c r="G246" s="362"/>
      <c r="H246" s="362"/>
      <c r="I246" s="362"/>
      <c r="J246" s="362">
        <f t="shared" si="34"/>
        <v>0</v>
      </c>
      <c r="K246" s="362">
        <f t="shared" si="31"/>
        <v>100</v>
      </c>
      <c r="L246" s="362">
        <f>VLOOKUP(A246,[1]Sheet1!$D$1:$E$65536,2,0)</f>
        <v>129</v>
      </c>
      <c r="M246" s="362">
        <f t="shared" si="33"/>
        <v>229</v>
      </c>
      <c r="N246" s="362">
        <f t="shared" si="32"/>
        <v>0</v>
      </c>
      <c r="O246" s="372"/>
    </row>
    <row r="247" ht="27.95" customHeight="1" spans="1:15">
      <c r="A247" s="360">
        <v>20825</v>
      </c>
      <c r="B247" s="361" t="s">
        <v>239</v>
      </c>
      <c r="C247" s="362">
        <v>0.65</v>
      </c>
      <c r="D247" s="362">
        <v>21</v>
      </c>
      <c r="E247" s="362">
        <f t="shared" si="30"/>
        <v>21.65</v>
      </c>
      <c r="F247" s="362"/>
      <c r="G247" s="362"/>
      <c r="H247" s="362"/>
      <c r="I247" s="362"/>
      <c r="J247" s="362">
        <f t="shared" si="34"/>
        <v>0</v>
      </c>
      <c r="K247" s="362">
        <f t="shared" si="31"/>
        <v>0.65</v>
      </c>
      <c r="L247" s="362">
        <f>L248+L249</f>
        <v>21</v>
      </c>
      <c r="M247" s="362">
        <f t="shared" si="33"/>
        <v>21.65</v>
      </c>
      <c r="N247" s="362">
        <f t="shared" si="32"/>
        <v>0</v>
      </c>
      <c r="O247" s="372"/>
    </row>
    <row r="248" ht="27.95" customHeight="1" spans="1:15">
      <c r="A248" s="360">
        <v>2082501</v>
      </c>
      <c r="B248" s="361" t="s">
        <v>240</v>
      </c>
      <c r="C248" s="362">
        <v>0.65</v>
      </c>
      <c r="D248" s="362">
        <v>7</v>
      </c>
      <c r="E248" s="362">
        <f t="shared" si="30"/>
        <v>7.65</v>
      </c>
      <c r="F248" s="362"/>
      <c r="G248" s="362"/>
      <c r="H248" s="362"/>
      <c r="I248" s="362"/>
      <c r="J248" s="362">
        <f t="shared" si="34"/>
        <v>0</v>
      </c>
      <c r="K248" s="362">
        <f t="shared" si="31"/>
        <v>0.65</v>
      </c>
      <c r="L248" s="362">
        <f>VLOOKUP(A248,[1]Sheet1!$D$1:$E$65536,2,0)</f>
        <v>7</v>
      </c>
      <c r="M248" s="362">
        <f t="shared" si="33"/>
        <v>7.65</v>
      </c>
      <c r="N248" s="362">
        <f t="shared" si="32"/>
        <v>0</v>
      </c>
      <c r="O248" s="372"/>
    </row>
    <row r="249" ht="27.95" customHeight="1" spans="1:15">
      <c r="A249" s="360">
        <v>2082502</v>
      </c>
      <c r="B249" s="361" t="s">
        <v>241</v>
      </c>
      <c r="C249" s="362"/>
      <c r="D249" s="362">
        <v>14</v>
      </c>
      <c r="E249" s="362">
        <f t="shared" si="30"/>
        <v>14</v>
      </c>
      <c r="F249" s="362"/>
      <c r="G249" s="362"/>
      <c r="H249" s="362"/>
      <c r="I249" s="362"/>
      <c r="J249" s="362">
        <f t="shared" si="34"/>
        <v>0</v>
      </c>
      <c r="K249" s="362">
        <f t="shared" si="31"/>
        <v>0</v>
      </c>
      <c r="L249" s="362">
        <v>14</v>
      </c>
      <c r="M249" s="362">
        <f t="shared" si="33"/>
        <v>14</v>
      </c>
      <c r="N249" s="362">
        <f t="shared" si="32"/>
        <v>0</v>
      </c>
      <c r="O249" s="372"/>
    </row>
    <row r="250" ht="27.95" customHeight="1" spans="1:15">
      <c r="A250" s="360">
        <v>20826</v>
      </c>
      <c r="B250" s="361" t="s">
        <v>242</v>
      </c>
      <c r="C250" s="362">
        <v>1394.34</v>
      </c>
      <c r="D250" s="362">
        <v>4661.6</v>
      </c>
      <c r="E250" s="362">
        <f t="shared" si="30"/>
        <v>6055.94</v>
      </c>
      <c r="F250" s="362"/>
      <c r="G250" s="362"/>
      <c r="H250" s="362"/>
      <c r="I250" s="362"/>
      <c r="J250" s="362">
        <f t="shared" si="34"/>
        <v>0</v>
      </c>
      <c r="K250" s="362">
        <f t="shared" si="31"/>
        <v>1394.34</v>
      </c>
      <c r="L250" s="362">
        <f>L251+L252</f>
        <v>4661.6</v>
      </c>
      <c r="M250" s="362">
        <f t="shared" si="33"/>
        <v>6055.94</v>
      </c>
      <c r="N250" s="362">
        <f t="shared" si="32"/>
        <v>0</v>
      </c>
      <c r="O250" s="372"/>
    </row>
    <row r="251" ht="27.95" customHeight="1" spans="1:15">
      <c r="A251" s="360">
        <v>2082602</v>
      </c>
      <c r="B251" s="361" t="s">
        <v>243</v>
      </c>
      <c r="C251" s="362">
        <v>1390.5</v>
      </c>
      <c r="D251" s="362">
        <v>4661.6</v>
      </c>
      <c r="E251" s="362">
        <f t="shared" si="30"/>
        <v>6052.1</v>
      </c>
      <c r="F251" s="362"/>
      <c r="G251" s="362"/>
      <c r="H251" s="362"/>
      <c r="I251" s="362"/>
      <c r="J251" s="362">
        <f t="shared" si="34"/>
        <v>0</v>
      </c>
      <c r="K251" s="362">
        <f t="shared" si="31"/>
        <v>1390.5</v>
      </c>
      <c r="L251" s="362">
        <f>VLOOKUP(A251,[1]Sheet1!$D$1:$E$65536,2,0)</f>
        <v>4661.6</v>
      </c>
      <c r="M251" s="362">
        <f t="shared" si="33"/>
        <v>6052.1</v>
      </c>
      <c r="N251" s="362">
        <f t="shared" si="32"/>
        <v>0</v>
      </c>
      <c r="O251" s="372"/>
    </row>
    <row r="252" ht="27.95" customHeight="1" spans="1:15">
      <c r="A252" s="360">
        <v>2082699</v>
      </c>
      <c r="B252" s="361" t="s">
        <v>244</v>
      </c>
      <c r="C252" s="362">
        <v>3.84</v>
      </c>
      <c r="D252" s="362">
        <v>0</v>
      </c>
      <c r="E252" s="362">
        <f t="shared" si="30"/>
        <v>3.84</v>
      </c>
      <c r="F252" s="362"/>
      <c r="G252" s="362"/>
      <c r="H252" s="362"/>
      <c r="I252" s="362"/>
      <c r="J252" s="362">
        <f t="shared" si="34"/>
        <v>0</v>
      </c>
      <c r="K252" s="362">
        <f t="shared" si="31"/>
        <v>3.84</v>
      </c>
      <c r="L252" s="362"/>
      <c r="M252" s="362">
        <f t="shared" si="33"/>
        <v>3.84</v>
      </c>
      <c r="N252" s="362">
        <f t="shared" si="32"/>
        <v>0</v>
      </c>
      <c r="O252" s="372"/>
    </row>
    <row r="253" ht="27.95" customHeight="1" spans="1:15">
      <c r="A253" s="360">
        <v>20899</v>
      </c>
      <c r="B253" s="361" t="s">
        <v>245</v>
      </c>
      <c r="C253" s="362">
        <v>733.44</v>
      </c>
      <c r="D253" s="362">
        <v>97.92</v>
      </c>
      <c r="E253" s="362">
        <f t="shared" si="30"/>
        <v>831.36</v>
      </c>
      <c r="F253" s="362"/>
      <c r="G253" s="362"/>
      <c r="H253" s="362"/>
      <c r="I253" s="362"/>
      <c r="J253" s="362">
        <f t="shared" si="34"/>
        <v>0</v>
      </c>
      <c r="K253" s="362">
        <f t="shared" si="31"/>
        <v>733.44</v>
      </c>
      <c r="L253" s="362">
        <f>L254</f>
        <v>97.92</v>
      </c>
      <c r="M253" s="362">
        <f t="shared" si="33"/>
        <v>831.36</v>
      </c>
      <c r="N253" s="362">
        <f t="shared" si="32"/>
        <v>0</v>
      </c>
      <c r="O253" s="372"/>
    </row>
    <row r="254" ht="27.95" customHeight="1" spans="1:15">
      <c r="A254" s="360">
        <v>2089901</v>
      </c>
      <c r="B254" s="361" t="s">
        <v>245</v>
      </c>
      <c r="C254" s="362">
        <v>733.44</v>
      </c>
      <c r="D254" s="362">
        <v>97.92</v>
      </c>
      <c r="E254" s="362">
        <f t="shared" si="30"/>
        <v>831.36</v>
      </c>
      <c r="F254" s="362"/>
      <c r="G254" s="362"/>
      <c r="H254" s="362"/>
      <c r="I254" s="362"/>
      <c r="J254" s="362">
        <f t="shared" si="34"/>
        <v>0</v>
      </c>
      <c r="K254" s="362">
        <f t="shared" si="31"/>
        <v>733.44</v>
      </c>
      <c r="L254" s="362">
        <f>VLOOKUP(A254,[1]Sheet1!$D$1:$E$65536,2,0)+1.1</f>
        <v>97.92</v>
      </c>
      <c r="M254" s="362">
        <f t="shared" si="33"/>
        <v>831.36</v>
      </c>
      <c r="N254" s="362">
        <f t="shared" si="32"/>
        <v>0</v>
      </c>
      <c r="O254" s="372"/>
    </row>
    <row r="255" ht="27.95" customHeight="1" spans="1:15">
      <c r="A255" s="360">
        <v>210</v>
      </c>
      <c r="B255" s="361" t="s">
        <v>246</v>
      </c>
      <c r="C255" s="362">
        <v>6117</v>
      </c>
      <c r="D255" s="362">
        <v>13106.653717</v>
      </c>
      <c r="E255" s="362">
        <f t="shared" si="30"/>
        <v>19223.653717</v>
      </c>
      <c r="F255" s="362">
        <f>F256+F260+F263+F267+F276+F280+F284+F286+F288+F291+F293</f>
        <v>129</v>
      </c>
      <c r="G255" s="362"/>
      <c r="H255" s="362"/>
      <c r="I255" s="362"/>
      <c r="J255" s="362">
        <f t="shared" si="34"/>
        <v>0</v>
      </c>
      <c r="K255" s="362">
        <f t="shared" si="31"/>
        <v>6246</v>
      </c>
      <c r="L255" s="362">
        <f>L256+L260+L263+L267+L276+L280+L284+L286+L288+L291+L293+L274</f>
        <v>13106.653717</v>
      </c>
      <c r="M255" s="362">
        <f t="shared" si="33"/>
        <v>19352.653717</v>
      </c>
      <c r="N255" s="362">
        <f t="shared" si="32"/>
        <v>0.671048292374943</v>
      </c>
      <c r="O255" s="372"/>
    </row>
    <row r="256" ht="27.95" customHeight="1" spans="1:15">
      <c r="A256" s="360">
        <v>21001</v>
      </c>
      <c r="B256" s="361" t="s">
        <v>247</v>
      </c>
      <c r="C256" s="362">
        <v>279.97</v>
      </c>
      <c r="D256" s="362">
        <v>140</v>
      </c>
      <c r="E256" s="362">
        <f t="shared" si="30"/>
        <v>419.97</v>
      </c>
      <c r="F256" s="362">
        <v>21</v>
      </c>
      <c r="G256" s="362"/>
      <c r="H256" s="362"/>
      <c r="I256" s="362"/>
      <c r="J256" s="362">
        <f t="shared" si="34"/>
        <v>0</v>
      </c>
      <c r="K256" s="362">
        <f t="shared" si="31"/>
        <v>300.97</v>
      </c>
      <c r="L256" s="362">
        <f>L259</f>
        <v>140</v>
      </c>
      <c r="M256" s="362">
        <f t="shared" si="33"/>
        <v>440.97</v>
      </c>
      <c r="N256" s="362">
        <f t="shared" si="32"/>
        <v>5.00035716836917</v>
      </c>
      <c r="O256" s="372"/>
    </row>
    <row r="257" ht="30" customHeight="1" spans="1:15">
      <c r="A257" s="360">
        <v>2100101</v>
      </c>
      <c r="B257" s="361" t="s">
        <v>46</v>
      </c>
      <c r="C257" s="362">
        <v>273.97</v>
      </c>
      <c r="D257" s="362">
        <v>0</v>
      </c>
      <c r="E257" s="362">
        <f t="shared" si="30"/>
        <v>273.97</v>
      </c>
      <c r="F257" s="362">
        <v>21</v>
      </c>
      <c r="G257" s="362"/>
      <c r="H257" s="362"/>
      <c r="I257" s="362"/>
      <c r="J257" s="362">
        <f t="shared" si="34"/>
        <v>0</v>
      </c>
      <c r="K257" s="362">
        <f t="shared" si="31"/>
        <v>294.97</v>
      </c>
      <c r="L257" s="362"/>
      <c r="M257" s="362">
        <f t="shared" si="33"/>
        <v>294.97</v>
      </c>
      <c r="N257" s="362">
        <f t="shared" si="32"/>
        <v>7.66507281819178</v>
      </c>
      <c r="O257" s="372" t="s">
        <v>47</v>
      </c>
    </row>
    <row r="258" ht="27.95" customHeight="1" spans="1:15">
      <c r="A258" s="360">
        <v>2100102</v>
      </c>
      <c r="B258" s="361" t="s">
        <v>48</v>
      </c>
      <c r="C258" s="362">
        <v>2</v>
      </c>
      <c r="D258" s="362">
        <v>0</v>
      </c>
      <c r="E258" s="362">
        <f t="shared" si="30"/>
        <v>2</v>
      </c>
      <c r="F258" s="362"/>
      <c r="G258" s="362"/>
      <c r="H258" s="362"/>
      <c r="I258" s="362"/>
      <c r="J258" s="362">
        <f t="shared" si="34"/>
        <v>0</v>
      </c>
      <c r="K258" s="362">
        <f t="shared" si="31"/>
        <v>2</v>
      </c>
      <c r="L258" s="362"/>
      <c r="M258" s="362">
        <f t="shared" si="33"/>
        <v>2</v>
      </c>
      <c r="N258" s="362">
        <f t="shared" si="32"/>
        <v>0</v>
      </c>
      <c r="O258" s="372"/>
    </row>
    <row r="259" ht="27.95" customHeight="1" spans="1:15">
      <c r="A259" s="360">
        <v>2100199</v>
      </c>
      <c r="B259" s="361" t="s">
        <v>248</v>
      </c>
      <c r="C259" s="362">
        <v>4</v>
      </c>
      <c r="D259" s="362">
        <v>140</v>
      </c>
      <c r="E259" s="362">
        <f t="shared" si="30"/>
        <v>144</v>
      </c>
      <c r="F259" s="362"/>
      <c r="G259" s="362"/>
      <c r="H259" s="362"/>
      <c r="I259" s="362"/>
      <c r="J259" s="362">
        <f t="shared" si="34"/>
        <v>0</v>
      </c>
      <c r="K259" s="362">
        <f t="shared" si="31"/>
        <v>4</v>
      </c>
      <c r="L259" s="362">
        <f>VLOOKUP(A259,[1]Sheet1!$D$1:$E$65536,2,0)</f>
        <v>140</v>
      </c>
      <c r="M259" s="362">
        <f t="shared" si="33"/>
        <v>144</v>
      </c>
      <c r="N259" s="362">
        <f t="shared" si="32"/>
        <v>0</v>
      </c>
      <c r="O259" s="372"/>
    </row>
    <row r="260" ht="27.95" customHeight="1" spans="1:15">
      <c r="A260" s="360">
        <v>21002</v>
      </c>
      <c r="B260" s="361" t="s">
        <v>249</v>
      </c>
      <c r="C260" s="362">
        <v>374.72</v>
      </c>
      <c r="D260" s="362">
        <v>103.36</v>
      </c>
      <c r="E260" s="362">
        <f t="shared" si="30"/>
        <v>478.08</v>
      </c>
      <c r="F260" s="362"/>
      <c r="G260" s="362"/>
      <c r="H260" s="362"/>
      <c r="I260" s="362"/>
      <c r="J260" s="362">
        <f t="shared" si="34"/>
        <v>0</v>
      </c>
      <c r="K260" s="362">
        <f t="shared" si="31"/>
        <v>374.72</v>
      </c>
      <c r="L260" s="362">
        <f>L262</f>
        <v>103.36</v>
      </c>
      <c r="M260" s="362">
        <f t="shared" si="33"/>
        <v>478.08</v>
      </c>
      <c r="N260" s="362">
        <f t="shared" si="32"/>
        <v>0</v>
      </c>
      <c r="O260" s="372"/>
    </row>
    <row r="261" ht="27.95" customHeight="1" spans="1:15">
      <c r="A261" s="360">
        <v>2100201</v>
      </c>
      <c r="B261" s="361" t="s">
        <v>250</v>
      </c>
      <c r="C261" s="362">
        <v>374.72</v>
      </c>
      <c r="D261" s="362">
        <v>0</v>
      </c>
      <c r="E261" s="362">
        <f t="shared" si="30"/>
        <v>374.72</v>
      </c>
      <c r="F261" s="362"/>
      <c r="G261" s="362"/>
      <c r="H261" s="362"/>
      <c r="I261" s="362"/>
      <c r="J261" s="362">
        <f t="shared" si="34"/>
        <v>0</v>
      </c>
      <c r="K261" s="362">
        <f t="shared" si="31"/>
        <v>374.72</v>
      </c>
      <c r="L261" s="362"/>
      <c r="M261" s="362">
        <f t="shared" si="33"/>
        <v>374.72</v>
      </c>
      <c r="N261" s="362">
        <f t="shared" si="32"/>
        <v>0</v>
      </c>
      <c r="O261" s="372"/>
    </row>
    <row r="262" ht="27.95" customHeight="1" spans="1:15">
      <c r="A262" s="360">
        <v>2100299</v>
      </c>
      <c r="B262" s="361" t="s">
        <v>251</v>
      </c>
      <c r="C262" s="362"/>
      <c r="D262" s="362">
        <v>103.36</v>
      </c>
      <c r="E262" s="362">
        <f t="shared" si="30"/>
        <v>103.36</v>
      </c>
      <c r="F262" s="362"/>
      <c r="G262" s="362"/>
      <c r="H262" s="362"/>
      <c r="I262" s="362"/>
      <c r="J262" s="362">
        <f t="shared" si="34"/>
        <v>0</v>
      </c>
      <c r="K262" s="362">
        <f t="shared" si="31"/>
        <v>0</v>
      </c>
      <c r="L262" s="362">
        <f>80+23.36</f>
        <v>103.36</v>
      </c>
      <c r="M262" s="362">
        <f t="shared" si="33"/>
        <v>103.36</v>
      </c>
      <c r="N262" s="362">
        <f t="shared" si="32"/>
        <v>0</v>
      </c>
      <c r="O262" s="372"/>
    </row>
    <row r="263" ht="27.95" customHeight="1" spans="1:15">
      <c r="A263" s="360">
        <v>21003</v>
      </c>
      <c r="B263" s="361" t="s">
        <v>252</v>
      </c>
      <c r="C263" s="362">
        <v>192.93</v>
      </c>
      <c r="D263" s="362">
        <v>480.76</v>
      </c>
      <c r="E263" s="362">
        <f t="shared" si="30"/>
        <v>673.69</v>
      </c>
      <c r="F263" s="362">
        <v>46</v>
      </c>
      <c r="G263" s="362"/>
      <c r="H263" s="362"/>
      <c r="I263" s="362"/>
      <c r="J263" s="362">
        <f t="shared" si="34"/>
        <v>0</v>
      </c>
      <c r="K263" s="362">
        <f t="shared" si="31"/>
        <v>238.93</v>
      </c>
      <c r="L263" s="362">
        <f>L264+L265+L266</f>
        <v>480.76</v>
      </c>
      <c r="M263" s="362">
        <f t="shared" si="33"/>
        <v>719.69</v>
      </c>
      <c r="N263" s="362">
        <f t="shared" si="32"/>
        <v>6.82806632130506</v>
      </c>
      <c r="O263" s="372"/>
    </row>
    <row r="264" ht="27.95" customHeight="1" spans="1:15">
      <c r="A264" s="360">
        <v>2100301</v>
      </c>
      <c r="B264" s="361" t="s">
        <v>253</v>
      </c>
      <c r="C264" s="362">
        <v>35.58</v>
      </c>
      <c r="D264" s="362">
        <v>0</v>
      </c>
      <c r="E264" s="362">
        <f t="shared" si="30"/>
        <v>35.58</v>
      </c>
      <c r="F264" s="362"/>
      <c r="G264" s="362"/>
      <c r="H264" s="362"/>
      <c r="I264" s="362"/>
      <c r="J264" s="362">
        <f t="shared" si="34"/>
        <v>0</v>
      </c>
      <c r="K264" s="362">
        <f t="shared" si="31"/>
        <v>35.58</v>
      </c>
      <c r="L264" s="362"/>
      <c r="M264" s="362">
        <f t="shared" si="33"/>
        <v>35.58</v>
      </c>
      <c r="N264" s="362">
        <f t="shared" si="32"/>
        <v>0</v>
      </c>
      <c r="O264" s="372"/>
    </row>
    <row r="265" ht="30" customHeight="1" spans="1:15">
      <c r="A265" s="360">
        <v>2100302</v>
      </c>
      <c r="B265" s="361" t="s">
        <v>254</v>
      </c>
      <c r="C265" s="362">
        <v>97.4</v>
      </c>
      <c r="D265" s="362">
        <v>68.76</v>
      </c>
      <c r="E265" s="362">
        <f t="shared" si="30"/>
        <v>166.16</v>
      </c>
      <c r="F265" s="362">
        <v>46</v>
      </c>
      <c r="G265" s="362"/>
      <c r="H265" s="362"/>
      <c r="I265" s="362"/>
      <c r="J265" s="362">
        <f t="shared" si="34"/>
        <v>0</v>
      </c>
      <c r="K265" s="362">
        <f t="shared" si="31"/>
        <v>143.4</v>
      </c>
      <c r="L265" s="362">
        <f>VLOOKUP(A265,[1]Sheet1!$D$1:$E$65536,2,0)</f>
        <v>68.76</v>
      </c>
      <c r="M265" s="362">
        <f t="shared" si="33"/>
        <v>212.16</v>
      </c>
      <c r="N265" s="362">
        <f t="shared" si="32"/>
        <v>27.6841598459316</v>
      </c>
      <c r="O265" s="372" t="s">
        <v>47</v>
      </c>
    </row>
    <row r="266" ht="27.95" customHeight="1" spans="1:15">
      <c r="A266" s="360">
        <v>2100399</v>
      </c>
      <c r="B266" s="361" t="s">
        <v>255</v>
      </c>
      <c r="C266" s="362">
        <v>59.95</v>
      </c>
      <c r="D266" s="362">
        <v>412</v>
      </c>
      <c r="E266" s="362">
        <f t="shared" si="30"/>
        <v>471.95</v>
      </c>
      <c r="F266" s="362"/>
      <c r="G266" s="362"/>
      <c r="H266" s="362"/>
      <c r="I266" s="362"/>
      <c r="J266" s="362">
        <f t="shared" si="34"/>
        <v>0</v>
      </c>
      <c r="K266" s="362">
        <f t="shared" si="31"/>
        <v>59.95</v>
      </c>
      <c r="L266" s="362">
        <f>VLOOKUP(A266,[1]Sheet1!$D$1:$E$65536,2,0)+139</f>
        <v>412</v>
      </c>
      <c r="M266" s="362">
        <f t="shared" si="33"/>
        <v>471.95</v>
      </c>
      <c r="N266" s="362">
        <f t="shared" si="32"/>
        <v>0</v>
      </c>
      <c r="O266" s="372"/>
    </row>
    <row r="267" ht="27.95" customHeight="1" spans="1:15">
      <c r="A267" s="360">
        <v>21004</v>
      </c>
      <c r="B267" s="361" t="s">
        <v>256</v>
      </c>
      <c r="C267" s="362">
        <v>1078.58</v>
      </c>
      <c r="D267" s="362">
        <v>1392.682</v>
      </c>
      <c r="E267" s="362">
        <f t="shared" si="30"/>
        <v>2471.262</v>
      </c>
      <c r="F267" s="362">
        <v>38</v>
      </c>
      <c r="G267" s="362"/>
      <c r="H267" s="362"/>
      <c r="I267" s="362"/>
      <c r="J267" s="362">
        <f t="shared" si="34"/>
        <v>0</v>
      </c>
      <c r="K267" s="362">
        <f t="shared" si="31"/>
        <v>1116.58</v>
      </c>
      <c r="L267" s="362">
        <f>L270+L271+L272+L273</f>
        <v>1392.682</v>
      </c>
      <c r="M267" s="362">
        <f t="shared" si="33"/>
        <v>2509.262</v>
      </c>
      <c r="N267" s="362">
        <f t="shared" si="32"/>
        <v>1.53767589191272</v>
      </c>
      <c r="O267" s="372"/>
    </row>
    <row r="268" ht="30" customHeight="1" spans="1:15">
      <c r="A268" s="360">
        <v>2100401</v>
      </c>
      <c r="B268" s="361" t="s">
        <v>257</v>
      </c>
      <c r="C268" s="362">
        <v>463.58</v>
      </c>
      <c r="D268" s="362">
        <v>0</v>
      </c>
      <c r="E268" s="362">
        <f t="shared" si="30"/>
        <v>463.58</v>
      </c>
      <c r="F268" s="362">
        <v>20</v>
      </c>
      <c r="G268" s="362"/>
      <c r="H268" s="362"/>
      <c r="I268" s="362"/>
      <c r="J268" s="362">
        <f t="shared" si="34"/>
        <v>0</v>
      </c>
      <c r="K268" s="362">
        <f t="shared" si="31"/>
        <v>483.58</v>
      </c>
      <c r="L268" s="362"/>
      <c r="M268" s="362">
        <f t="shared" si="33"/>
        <v>483.58</v>
      </c>
      <c r="N268" s="362">
        <f t="shared" si="32"/>
        <v>4.31424996764314</v>
      </c>
      <c r="O268" s="372" t="s">
        <v>47</v>
      </c>
    </row>
    <row r="269" ht="30" customHeight="1" spans="1:15">
      <c r="A269" s="360">
        <v>2100403</v>
      </c>
      <c r="B269" s="361" t="s">
        <v>258</v>
      </c>
      <c r="C269" s="362">
        <v>97.44</v>
      </c>
      <c r="D269" s="362">
        <v>0</v>
      </c>
      <c r="E269" s="362">
        <f t="shared" si="30"/>
        <v>97.44</v>
      </c>
      <c r="F269" s="362">
        <v>18</v>
      </c>
      <c r="G269" s="362"/>
      <c r="H269" s="362"/>
      <c r="I269" s="362"/>
      <c r="J269" s="362">
        <f t="shared" si="34"/>
        <v>0</v>
      </c>
      <c r="K269" s="362">
        <f t="shared" si="31"/>
        <v>115.44</v>
      </c>
      <c r="L269" s="362"/>
      <c r="M269" s="362">
        <f t="shared" si="33"/>
        <v>115.44</v>
      </c>
      <c r="N269" s="362">
        <f t="shared" si="32"/>
        <v>18.4729064039409</v>
      </c>
      <c r="O269" s="372" t="s">
        <v>47</v>
      </c>
    </row>
    <row r="270" ht="27.95" customHeight="1" spans="1:15">
      <c r="A270" s="360">
        <v>2100408</v>
      </c>
      <c r="B270" s="361" t="s">
        <v>259</v>
      </c>
      <c r="C270" s="362">
        <v>289</v>
      </c>
      <c r="D270" s="362">
        <v>1192.01</v>
      </c>
      <c r="E270" s="362">
        <f t="shared" si="30"/>
        <v>1481.01</v>
      </c>
      <c r="F270" s="362"/>
      <c r="G270" s="362"/>
      <c r="H270" s="362"/>
      <c r="I270" s="362"/>
      <c r="J270" s="362">
        <f t="shared" si="34"/>
        <v>0</v>
      </c>
      <c r="K270" s="362">
        <f t="shared" si="31"/>
        <v>289</v>
      </c>
      <c r="L270" s="362">
        <f>VLOOKUP(A270,[1]Sheet1!$D$1:$E$65536,2,0)+12.32</f>
        <v>1192.01</v>
      </c>
      <c r="M270" s="362">
        <f t="shared" si="33"/>
        <v>1481.01</v>
      </c>
      <c r="N270" s="362">
        <f t="shared" si="32"/>
        <v>0</v>
      </c>
      <c r="O270" s="372"/>
    </row>
    <row r="271" ht="27.95" customHeight="1" spans="1:15">
      <c r="A271" s="360">
        <v>2100409</v>
      </c>
      <c r="B271" s="361" t="s">
        <v>260</v>
      </c>
      <c r="C271" s="362">
        <v>38.4</v>
      </c>
      <c r="D271" s="362">
        <v>51.672</v>
      </c>
      <c r="E271" s="362">
        <f t="shared" si="30"/>
        <v>90.072</v>
      </c>
      <c r="F271" s="362"/>
      <c r="G271" s="362"/>
      <c r="H271" s="362"/>
      <c r="I271" s="362"/>
      <c r="J271" s="362">
        <f t="shared" si="34"/>
        <v>0</v>
      </c>
      <c r="K271" s="362">
        <f t="shared" si="31"/>
        <v>38.4</v>
      </c>
      <c r="L271" s="362">
        <f>VLOOKUP(A271,[1]Sheet1!$D$1:$E$65536,2,0)+20.672</f>
        <v>51.672</v>
      </c>
      <c r="M271" s="362">
        <f t="shared" si="33"/>
        <v>90.072</v>
      </c>
      <c r="N271" s="362">
        <f t="shared" si="32"/>
        <v>0</v>
      </c>
      <c r="O271" s="372"/>
    </row>
    <row r="272" ht="27.95" customHeight="1" spans="1:15">
      <c r="A272" s="360">
        <v>2100410</v>
      </c>
      <c r="B272" s="361" t="s">
        <v>261</v>
      </c>
      <c r="C272" s="362">
        <v>5</v>
      </c>
      <c r="D272" s="362">
        <v>0</v>
      </c>
      <c r="E272" s="362">
        <f t="shared" si="30"/>
        <v>5</v>
      </c>
      <c r="F272" s="362"/>
      <c r="G272" s="362"/>
      <c r="H272" s="362"/>
      <c r="I272" s="362"/>
      <c r="J272" s="362">
        <f t="shared" si="34"/>
        <v>0</v>
      </c>
      <c r="K272" s="362">
        <f t="shared" si="31"/>
        <v>5</v>
      </c>
      <c r="L272" s="362"/>
      <c r="M272" s="362">
        <f t="shared" si="33"/>
        <v>5</v>
      </c>
      <c r="N272" s="362">
        <f t="shared" si="32"/>
        <v>0</v>
      </c>
      <c r="O272" s="372"/>
    </row>
    <row r="273" ht="27.95" customHeight="1" spans="1:15">
      <c r="A273" s="360">
        <v>2100499</v>
      </c>
      <c r="B273" s="361" t="s">
        <v>262</v>
      </c>
      <c r="C273" s="362">
        <v>185.16</v>
      </c>
      <c r="D273" s="362">
        <v>149</v>
      </c>
      <c r="E273" s="362">
        <f t="shared" si="30"/>
        <v>334.16</v>
      </c>
      <c r="F273" s="362"/>
      <c r="G273" s="362"/>
      <c r="H273" s="362"/>
      <c r="I273" s="362"/>
      <c r="J273" s="362">
        <f t="shared" si="34"/>
        <v>0</v>
      </c>
      <c r="K273" s="362">
        <f t="shared" si="31"/>
        <v>185.16</v>
      </c>
      <c r="L273" s="362">
        <f>VLOOKUP(A273,[1]Sheet1!$D$1:$E$65536,2,0)+83</f>
        <v>149</v>
      </c>
      <c r="M273" s="362">
        <f t="shared" si="33"/>
        <v>334.16</v>
      </c>
      <c r="N273" s="362">
        <f t="shared" si="32"/>
        <v>0</v>
      </c>
      <c r="O273" s="372"/>
    </row>
    <row r="274" ht="27.95" customHeight="1" spans="1:15">
      <c r="A274" s="360">
        <v>21006</v>
      </c>
      <c r="B274" s="361" t="s">
        <v>263</v>
      </c>
      <c r="C274" s="362"/>
      <c r="D274" s="362">
        <v>40</v>
      </c>
      <c r="E274" s="362">
        <f t="shared" si="30"/>
        <v>40</v>
      </c>
      <c r="F274" s="362"/>
      <c r="G274" s="362"/>
      <c r="H274" s="362"/>
      <c r="I274" s="362"/>
      <c r="J274" s="362">
        <f t="shared" si="34"/>
        <v>0</v>
      </c>
      <c r="K274" s="362">
        <f t="shared" si="31"/>
        <v>0</v>
      </c>
      <c r="L274" s="362">
        <v>40</v>
      </c>
      <c r="M274" s="362">
        <f>L274+K274</f>
        <v>40</v>
      </c>
      <c r="N274" s="362">
        <f t="shared" si="32"/>
        <v>0</v>
      </c>
      <c r="O274" s="372"/>
    </row>
    <row r="275" ht="27.95" customHeight="1" spans="1:15">
      <c r="A275" s="360">
        <v>2100601</v>
      </c>
      <c r="B275" s="361" t="s">
        <v>264</v>
      </c>
      <c r="C275" s="362"/>
      <c r="D275" s="362">
        <v>40</v>
      </c>
      <c r="E275" s="362">
        <f t="shared" si="30"/>
        <v>40</v>
      </c>
      <c r="F275" s="362"/>
      <c r="G275" s="362"/>
      <c r="H275" s="362"/>
      <c r="I275" s="362"/>
      <c r="J275" s="362">
        <f t="shared" si="34"/>
        <v>0</v>
      </c>
      <c r="K275" s="362">
        <f t="shared" si="31"/>
        <v>0</v>
      </c>
      <c r="L275" s="362">
        <v>40</v>
      </c>
      <c r="M275" s="362">
        <f>L275+K275</f>
        <v>40</v>
      </c>
      <c r="N275" s="362">
        <f t="shared" si="32"/>
        <v>0</v>
      </c>
      <c r="O275" s="372"/>
    </row>
    <row r="276" ht="27.95" customHeight="1" spans="1:15">
      <c r="A276" s="360">
        <v>21007</v>
      </c>
      <c r="B276" s="361" t="s">
        <v>265</v>
      </c>
      <c r="C276" s="362">
        <v>767.11</v>
      </c>
      <c r="D276" s="362">
        <v>125.5</v>
      </c>
      <c r="E276" s="362">
        <f t="shared" si="30"/>
        <v>892.61</v>
      </c>
      <c r="F276" s="362"/>
      <c r="G276" s="362"/>
      <c r="H276" s="362"/>
      <c r="I276" s="362"/>
      <c r="J276" s="362">
        <f t="shared" si="34"/>
        <v>0</v>
      </c>
      <c r="K276" s="362">
        <f t="shared" si="31"/>
        <v>767.11</v>
      </c>
      <c r="L276" s="362">
        <f>L278+L279</f>
        <v>125.5</v>
      </c>
      <c r="M276" s="362">
        <f t="shared" ref="M276:M301" si="35">K276+L276</f>
        <v>892.61</v>
      </c>
      <c r="N276" s="362">
        <f t="shared" si="32"/>
        <v>0</v>
      </c>
      <c r="O276" s="372"/>
    </row>
    <row r="277" ht="27.95" customHeight="1" spans="1:15">
      <c r="A277" s="360">
        <v>2100716</v>
      </c>
      <c r="B277" s="361" t="s">
        <v>266</v>
      </c>
      <c r="C277" s="362">
        <v>7</v>
      </c>
      <c r="D277" s="362">
        <v>0</v>
      </c>
      <c r="E277" s="362">
        <f t="shared" si="30"/>
        <v>7</v>
      </c>
      <c r="F277" s="362"/>
      <c r="G277" s="362"/>
      <c r="H277" s="362"/>
      <c r="I277" s="362"/>
      <c r="J277" s="362">
        <f t="shared" si="34"/>
        <v>0</v>
      </c>
      <c r="K277" s="362">
        <f t="shared" si="31"/>
        <v>7</v>
      </c>
      <c r="L277" s="362"/>
      <c r="M277" s="362">
        <f t="shared" si="35"/>
        <v>7</v>
      </c>
      <c r="N277" s="362">
        <f t="shared" si="32"/>
        <v>0</v>
      </c>
      <c r="O277" s="372"/>
    </row>
    <row r="278" ht="27.95" customHeight="1" spans="1:15">
      <c r="A278" s="360">
        <v>2100717</v>
      </c>
      <c r="B278" s="361" t="s">
        <v>267</v>
      </c>
      <c r="C278" s="362">
        <v>45.09</v>
      </c>
      <c r="D278" s="362">
        <v>22.2</v>
      </c>
      <c r="E278" s="362">
        <f t="shared" ref="E278:E341" si="36">C278+D278</f>
        <v>67.29</v>
      </c>
      <c r="F278" s="362"/>
      <c r="G278" s="362"/>
      <c r="H278" s="362"/>
      <c r="I278" s="362"/>
      <c r="J278" s="362">
        <f t="shared" si="34"/>
        <v>0</v>
      </c>
      <c r="K278" s="362">
        <f t="shared" ref="K278:K341" si="37">F278+C278</f>
        <v>45.09</v>
      </c>
      <c r="L278" s="362">
        <f>VLOOKUP(A278,[1]Sheet1!$D$1:$E$65536,2,0)+0.79</f>
        <v>22.2</v>
      </c>
      <c r="M278" s="362">
        <f t="shared" si="35"/>
        <v>67.29</v>
      </c>
      <c r="N278" s="362">
        <f t="shared" ref="N278:N341" si="38">(M278/E278-1)*100</f>
        <v>0</v>
      </c>
      <c r="O278" s="372"/>
    </row>
    <row r="279" ht="27.95" customHeight="1" spans="1:15">
      <c r="A279" s="360">
        <v>2100799</v>
      </c>
      <c r="B279" s="361" t="s">
        <v>268</v>
      </c>
      <c r="C279" s="362">
        <v>715.02</v>
      </c>
      <c r="D279" s="362">
        <v>103.3</v>
      </c>
      <c r="E279" s="362">
        <f t="shared" si="36"/>
        <v>818.32</v>
      </c>
      <c r="F279" s="362"/>
      <c r="G279" s="362"/>
      <c r="H279" s="362"/>
      <c r="I279" s="362"/>
      <c r="J279" s="362">
        <f t="shared" si="34"/>
        <v>0</v>
      </c>
      <c r="K279" s="362">
        <f t="shared" si="37"/>
        <v>715.02</v>
      </c>
      <c r="L279" s="362">
        <f>VLOOKUP(A279,[1]Sheet1!$D$1:$E$65536,2,0)+1.66</f>
        <v>103.3</v>
      </c>
      <c r="M279" s="362">
        <f t="shared" si="35"/>
        <v>818.32</v>
      </c>
      <c r="N279" s="362">
        <f t="shared" si="38"/>
        <v>0</v>
      </c>
      <c r="O279" s="372"/>
    </row>
    <row r="280" ht="27.95" customHeight="1" spans="1:15">
      <c r="A280" s="360">
        <v>21010</v>
      </c>
      <c r="B280" s="361" t="s">
        <v>269</v>
      </c>
      <c r="C280" s="362">
        <v>417.16</v>
      </c>
      <c r="D280" s="362">
        <v>64</v>
      </c>
      <c r="E280" s="362">
        <f t="shared" si="36"/>
        <v>481.16</v>
      </c>
      <c r="F280" s="362">
        <v>24</v>
      </c>
      <c r="G280" s="362"/>
      <c r="H280" s="362"/>
      <c r="I280" s="362"/>
      <c r="J280" s="362">
        <f t="shared" si="34"/>
        <v>0</v>
      </c>
      <c r="K280" s="362">
        <f t="shared" si="37"/>
        <v>441.16</v>
      </c>
      <c r="L280" s="362">
        <f>L283</f>
        <v>64</v>
      </c>
      <c r="M280" s="362">
        <f t="shared" si="35"/>
        <v>505.16</v>
      </c>
      <c r="N280" s="362">
        <f t="shared" si="38"/>
        <v>4.98794579765567</v>
      </c>
      <c r="O280" s="372"/>
    </row>
    <row r="281" ht="30" customHeight="1" spans="1:15">
      <c r="A281" s="360">
        <v>2101001</v>
      </c>
      <c r="B281" s="361" t="s">
        <v>46</v>
      </c>
      <c r="C281" s="362">
        <v>262.56</v>
      </c>
      <c r="D281" s="362">
        <v>0</v>
      </c>
      <c r="E281" s="362">
        <f t="shared" si="36"/>
        <v>262.56</v>
      </c>
      <c r="F281" s="362">
        <v>24</v>
      </c>
      <c r="G281" s="362"/>
      <c r="H281" s="362"/>
      <c r="I281" s="362"/>
      <c r="J281" s="362">
        <f t="shared" si="34"/>
        <v>0</v>
      </c>
      <c r="K281" s="362">
        <f t="shared" si="37"/>
        <v>286.56</v>
      </c>
      <c r="L281" s="362"/>
      <c r="M281" s="362">
        <f t="shared" si="35"/>
        <v>286.56</v>
      </c>
      <c r="N281" s="362">
        <f t="shared" si="38"/>
        <v>9.14076782449726</v>
      </c>
      <c r="O281" s="372" t="s">
        <v>47</v>
      </c>
    </row>
    <row r="282" ht="27.95" customHeight="1" spans="1:15">
      <c r="A282" s="360">
        <v>2101016</v>
      </c>
      <c r="B282" s="361" t="s">
        <v>270</v>
      </c>
      <c r="C282" s="362">
        <v>48</v>
      </c>
      <c r="D282" s="362">
        <v>0</v>
      </c>
      <c r="E282" s="362">
        <f t="shared" si="36"/>
        <v>48</v>
      </c>
      <c r="F282" s="362"/>
      <c r="G282" s="362"/>
      <c r="H282" s="362"/>
      <c r="I282" s="362"/>
      <c r="J282" s="362">
        <f t="shared" si="34"/>
        <v>0</v>
      </c>
      <c r="K282" s="362">
        <f t="shared" si="37"/>
        <v>48</v>
      </c>
      <c r="L282" s="362"/>
      <c r="M282" s="362">
        <f t="shared" si="35"/>
        <v>48</v>
      </c>
      <c r="N282" s="362">
        <f t="shared" si="38"/>
        <v>0</v>
      </c>
      <c r="O282" s="372"/>
    </row>
    <row r="283" ht="27.95" customHeight="1" spans="1:15">
      <c r="A283" s="360">
        <v>2101099</v>
      </c>
      <c r="B283" s="361" t="s">
        <v>271</v>
      </c>
      <c r="C283" s="362">
        <v>106.6</v>
      </c>
      <c r="D283" s="362">
        <v>64</v>
      </c>
      <c r="E283" s="362">
        <f t="shared" si="36"/>
        <v>170.6</v>
      </c>
      <c r="F283" s="362"/>
      <c r="G283" s="362"/>
      <c r="H283" s="362"/>
      <c r="I283" s="362"/>
      <c r="J283" s="362">
        <f t="shared" si="34"/>
        <v>0</v>
      </c>
      <c r="K283" s="362">
        <f t="shared" si="37"/>
        <v>106.6</v>
      </c>
      <c r="L283" s="362">
        <f>VLOOKUP(A283,[1]Sheet1!$D$1:$E$65536,2,0)</f>
        <v>64</v>
      </c>
      <c r="M283" s="362">
        <f t="shared" si="35"/>
        <v>170.6</v>
      </c>
      <c r="N283" s="362">
        <f t="shared" si="38"/>
        <v>0</v>
      </c>
      <c r="O283" s="372"/>
    </row>
    <row r="284" ht="27.95" customHeight="1" spans="1:15">
      <c r="A284" s="360">
        <v>21011</v>
      </c>
      <c r="B284" s="361" t="s">
        <v>272</v>
      </c>
      <c r="C284" s="362">
        <v>809.35</v>
      </c>
      <c r="D284" s="362">
        <v>0</v>
      </c>
      <c r="E284" s="362">
        <f t="shared" si="36"/>
        <v>809.35</v>
      </c>
      <c r="F284" s="362"/>
      <c r="G284" s="362"/>
      <c r="H284" s="362"/>
      <c r="I284" s="362"/>
      <c r="J284" s="362">
        <f t="shared" si="34"/>
        <v>0</v>
      </c>
      <c r="K284" s="362">
        <f t="shared" si="37"/>
        <v>809.35</v>
      </c>
      <c r="L284" s="362"/>
      <c r="M284" s="362">
        <f t="shared" si="35"/>
        <v>809.35</v>
      </c>
      <c r="N284" s="362">
        <f t="shared" si="38"/>
        <v>0</v>
      </c>
      <c r="O284" s="372"/>
    </row>
    <row r="285" ht="27.95" customHeight="1" spans="1:15">
      <c r="A285" s="360">
        <v>2101199</v>
      </c>
      <c r="B285" s="361" t="s">
        <v>273</v>
      </c>
      <c r="C285" s="362">
        <v>809.35</v>
      </c>
      <c r="D285" s="362">
        <v>0</v>
      </c>
      <c r="E285" s="362">
        <f t="shared" si="36"/>
        <v>809.35</v>
      </c>
      <c r="F285" s="362"/>
      <c r="G285" s="362"/>
      <c r="H285" s="362"/>
      <c r="I285" s="362"/>
      <c r="J285" s="362">
        <f t="shared" si="34"/>
        <v>0</v>
      </c>
      <c r="K285" s="362">
        <f t="shared" si="37"/>
        <v>809.35</v>
      </c>
      <c r="L285" s="362"/>
      <c r="M285" s="362">
        <f t="shared" si="35"/>
        <v>809.35</v>
      </c>
      <c r="N285" s="362">
        <f t="shared" si="38"/>
        <v>0</v>
      </c>
      <c r="O285" s="372"/>
    </row>
    <row r="286" ht="27.95" customHeight="1" spans="1:15">
      <c r="A286" s="360">
        <v>21012</v>
      </c>
      <c r="B286" s="361" t="s">
        <v>274</v>
      </c>
      <c r="C286" s="362">
        <v>1010</v>
      </c>
      <c r="D286" s="362">
        <v>10020.448117</v>
      </c>
      <c r="E286" s="362">
        <f t="shared" si="36"/>
        <v>11030.448117</v>
      </c>
      <c r="F286" s="362"/>
      <c r="G286" s="362"/>
      <c r="H286" s="362"/>
      <c r="I286" s="362"/>
      <c r="J286" s="362">
        <f t="shared" si="34"/>
        <v>0</v>
      </c>
      <c r="K286" s="362">
        <f t="shared" si="37"/>
        <v>1010</v>
      </c>
      <c r="L286" s="362">
        <f>L287</f>
        <v>10020.448117</v>
      </c>
      <c r="M286" s="362">
        <f t="shared" si="35"/>
        <v>11030.448117</v>
      </c>
      <c r="N286" s="362">
        <f t="shared" si="38"/>
        <v>0</v>
      </c>
      <c r="O286" s="372"/>
    </row>
    <row r="287" ht="27.95" customHeight="1" spans="1:15">
      <c r="A287" s="360">
        <v>2101202</v>
      </c>
      <c r="B287" s="361" t="s">
        <v>275</v>
      </c>
      <c r="C287" s="362">
        <v>1010</v>
      </c>
      <c r="D287" s="362">
        <v>10020.448117</v>
      </c>
      <c r="E287" s="362">
        <f t="shared" si="36"/>
        <v>11030.448117</v>
      </c>
      <c r="F287" s="362"/>
      <c r="G287" s="362"/>
      <c r="H287" s="362"/>
      <c r="I287" s="362"/>
      <c r="J287" s="362">
        <f t="shared" si="34"/>
        <v>0</v>
      </c>
      <c r="K287" s="362">
        <f t="shared" si="37"/>
        <v>1010</v>
      </c>
      <c r="L287" s="362">
        <f>VLOOKUP(A287,[1]Sheet1!$D$1:$E$65536,2,0)</f>
        <v>10020.448117</v>
      </c>
      <c r="M287" s="362">
        <f t="shared" si="35"/>
        <v>11030.448117</v>
      </c>
      <c r="N287" s="362">
        <f t="shared" si="38"/>
        <v>0</v>
      </c>
      <c r="O287" s="372"/>
    </row>
    <row r="288" s="340" customFormat="1" ht="27.95" customHeight="1" spans="1:15">
      <c r="A288" s="360">
        <v>21013</v>
      </c>
      <c r="B288" s="361" t="s">
        <v>276</v>
      </c>
      <c r="C288" s="362">
        <v>383.2</v>
      </c>
      <c r="D288" s="362">
        <v>716</v>
      </c>
      <c r="E288" s="362">
        <f t="shared" si="36"/>
        <v>1099.2</v>
      </c>
      <c r="F288" s="362"/>
      <c r="G288" s="362"/>
      <c r="H288" s="362"/>
      <c r="I288" s="362"/>
      <c r="J288" s="362">
        <f t="shared" si="34"/>
        <v>0</v>
      </c>
      <c r="K288" s="362">
        <f t="shared" si="37"/>
        <v>383.2</v>
      </c>
      <c r="L288" s="362">
        <f>L289</f>
        <v>716</v>
      </c>
      <c r="M288" s="362">
        <f t="shared" si="35"/>
        <v>1099.2</v>
      </c>
      <c r="N288" s="362">
        <f t="shared" si="38"/>
        <v>0</v>
      </c>
      <c r="O288" s="372"/>
    </row>
    <row r="289" s="340" customFormat="1" ht="27.95" customHeight="1" spans="1:15">
      <c r="A289" s="360">
        <v>2101301</v>
      </c>
      <c r="B289" s="361" t="s">
        <v>277</v>
      </c>
      <c r="C289" s="362">
        <v>382</v>
      </c>
      <c r="D289" s="362">
        <v>716</v>
      </c>
      <c r="E289" s="362">
        <f t="shared" si="36"/>
        <v>1098</v>
      </c>
      <c r="F289" s="362"/>
      <c r="G289" s="362"/>
      <c r="H289" s="362"/>
      <c r="I289" s="362"/>
      <c r="J289" s="362">
        <f t="shared" si="34"/>
        <v>0</v>
      </c>
      <c r="K289" s="362">
        <f t="shared" si="37"/>
        <v>382</v>
      </c>
      <c r="L289" s="362">
        <f>VLOOKUP(A289,[1]Sheet1!$D$1:$E$65536,2,0)</f>
        <v>716</v>
      </c>
      <c r="M289" s="362">
        <f t="shared" si="35"/>
        <v>1098</v>
      </c>
      <c r="N289" s="362">
        <f t="shared" si="38"/>
        <v>0</v>
      </c>
      <c r="O289" s="372"/>
    </row>
    <row r="290" ht="27.95" customHeight="1" spans="1:15">
      <c r="A290" s="360">
        <v>2101399</v>
      </c>
      <c r="B290" s="361" t="s">
        <v>278</v>
      </c>
      <c r="C290" s="362">
        <v>1.2</v>
      </c>
      <c r="D290" s="362">
        <v>0</v>
      </c>
      <c r="E290" s="362">
        <f t="shared" si="36"/>
        <v>1.2</v>
      </c>
      <c r="F290" s="362"/>
      <c r="G290" s="362"/>
      <c r="H290" s="362"/>
      <c r="I290" s="362"/>
      <c r="J290" s="362">
        <f t="shared" si="34"/>
        <v>0</v>
      </c>
      <c r="K290" s="362">
        <f t="shared" si="37"/>
        <v>1.2</v>
      </c>
      <c r="L290" s="362"/>
      <c r="M290" s="362">
        <f t="shared" si="35"/>
        <v>1.2</v>
      </c>
      <c r="N290" s="362">
        <f t="shared" si="38"/>
        <v>0</v>
      </c>
      <c r="O290" s="372"/>
    </row>
    <row r="291" ht="27.95" customHeight="1" spans="1:15">
      <c r="A291" s="360">
        <v>21014</v>
      </c>
      <c r="B291" s="361" t="s">
        <v>279</v>
      </c>
      <c r="C291" s="362">
        <v>2.94</v>
      </c>
      <c r="D291" s="362">
        <v>16.5036</v>
      </c>
      <c r="E291" s="362">
        <f t="shared" si="36"/>
        <v>19.4436</v>
      </c>
      <c r="F291" s="362"/>
      <c r="G291" s="362"/>
      <c r="H291" s="362"/>
      <c r="I291" s="362"/>
      <c r="J291" s="362">
        <f t="shared" si="34"/>
        <v>0</v>
      </c>
      <c r="K291" s="362">
        <f t="shared" si="37"/>
        <v>2.94</v>
      </c>
      <c r="L291" s="362">
        <f>L292</f>
        <v>16.5036</v>
      </c>
      <c r="M291" s="362">
        <f t="shared" si="35"/>
        <v>19.4436</v>
      </c>
      <c r="N291" s="362">
        <f t="shared" si="38"/>
        <v>0</v>
      </c>
      <c r="O291" s="372"/>
    </row>
    <row r="292" ht="27.95" customHeight="1" spans="1:15">
      <c r="A292" s="360">
        <v>2101401</v>
      </c>
      <c r="B292" s="361" t="s">
        <v>280</v>
      </c>
      <c r="C292" s="362">
        <v>2.94</v>
      </c>
      <c r="D292" s="362">
        <v>16.5036</v>
      </c>
      <c r="E292" s="362">
        <f t="shared" si="36"/>
        <v>19.4436</v>
      </c>
      <c r="F292" s="362"/>
      <c r="G292" s="362"/>
      <c r="H292" s="362"/>
      <c r="I292" s="362"/>
      <c r="J292" s="362">
        <f t="shared" si="34"/>
        <v>0</v>
      </c>
      <c r="K292" s="362">
        <f t="shared" si="37"/>
        <v>2.94</v>
      </c>
      <c r="L292" s="362">
        <f>VLOOKUP(A292,[1]Sheet1!$D$1:$E$65536,2,0)</f>
        <v>16.5036</v>
      </c>
      <c r="M292" s="362">
        <f t="shared" si="35"/>
        <v>19.4436</v>
      </c>
      <c r="N292" s="362">
        <f t="shared" si="38"/>
        <v>0</v>
      </c>
      <c r="O292" s="372"/>
    </row>
    <row r="293" ht="27.95" customHeight="1" spans="1:15">
      <c r="A293" s="360">
        <v>21099</v>
      </c>
      <c r="B293" s="361" t="s">
        <v>281</v>
      </c>
      <c r="C293" s="362">
        <v>801.04</v>
      </c>
      <c r="D293" s="362">
        <v>7.4</v>
      </c>
      <c r="E293" s="362">
        <f t="shared" si="36"/>
        <v>808.44</v>
      </c>
      <c r="F293" s="362"/>
      <c r="G293" s="362"/>
      <c r="H293" s="362"/>
      <c r="I293" s="362"/>
      <c r="J293" s="362">
        <f t="shared" si="34"/>
        <v>0</v>
      </c>
      <c r="K293" s="362">
        <f t="shared" si="37"/>
        <v>801.04</v>
      </c>
      <c r="L293" s="362">
        <f>L294</f>
        <v>7.4</v>
      </c>
      <c r="M293" s="362">
        <f t="shared" si="35"/>
        <v>808.44</v>
      </c>
      <c r="N293" s="362">
        <f t="shared" si="38"/>
        <v>0</v>
      </c>
      <c r="O293" s="372"/>
    </row>
    <row r="294" ht="27.95" customHeight="1" spans="1:15">
      <c r="A294" s="360">
        <v>2109901</v>
      </c>
      <c r="B294" s="361" t="s">
        <v>281</v>
      </c>
      <c r="C294" s="362">
        <v>801.04</v>
      </c>
      <c r="D294" s="362">
        <v>7.4</v>
      </c>
      <c r="E294" s="362">
        <f t="shared" si="36"/>
        <v>808.44</v>
      </c>
      <c r="F294" s="362"/>
      <c r="G294" s="362"/>
      <c r="H294" s="362"/>
      <c r="I294" s="362"/>
      <c r="J294" s="362">
        <f t="shared" si="34"/>
        <v>0</v>
      </c>
      <c r="K294" s="362">
        <f t="shared" si="37"/>
        <v>801.04</v>
      </c>
      <c r="L294" s="362">
        <f>VLOOKUP(A294,[1]Sheet1!$D$1:$E$65536,2,0)</f>
        <v>7.4</v>
      </c>
      <c r="M294" s="362">
        <f t="shared" si="35"/>
        <v>808.44</v>
      </c>
      <c r="N294" s="362">
        <f t="shared" si="38"/>
        <v>0</v>
      </c>
      <c r="O294" s="372"/>
    </row>
    <row r="295" ht="27.95" customHeight="1" spans="1:15">
      <c r="A295" s="360">
        <v>211</v>
      </c>
      <c r="B295" s="361" t="s">
        <v>282</v>
      </c>
      <c r="C295" s="362">
        <v>211.45</v>
      </c>
      <c r="D295" s="362">
        <v>788</v>
      </c>
      <c r="E295" s="362">
        <f t="shared" si="36"/>
        <v>999.45</v>
      </c>
      <c r="F295" s="362">
        <v>14</v>
      </c>
      <c r="G295" s="362"/>
      <c r="H295" s="362"/>
      <c r="I295" s="362"/>
      <c r="J295" s="362">
        <f t="shared" si="34"/>
        <v>0</v>
      </c>
      <c r="K295" s="362">
        <f t="shared" si="37"/>
        <v>225.45</v>
      </c>
      <c r="L295" s="362">
        <f>L296+L299+L301+L304</f>
        <v>788</v>
      </c>
      <c r="M295" s="362">
        <f t="shared" si="35"/>
        <v>1013.45</v>
      </c>
      <c r="N295" s="362">
        <f t="shared" si="38"/>
        <v>1.40077042373306</v>
      </c>
      <c r="O295" s="372"/>
    </row>
    <row r="296" ht="27.95" customHeight="1" spans="1:15">
      <c r="A296" s="360">
        <v>21101</v>
      </c>
      <c r="B296" s="361" t="s">
        <v>283</v>
      </c>
      <c r="C296" s="362">
        <v>85.79</v>
      </c>
      <c r="D296" s="362">
        <v>0</v>
      </c>
      <c r="E296" s="362">
        <f t="shared" si="36"/>
        <v>85.79</v>
      </c>
      <c r="F296" s="362">
        <v>14</v>
      </c>
      <c r="G296" s="362"/>
      <c r="H296" s="362"/>
      <c r="I296" s="362"/>
      <c r="J296" s="362">
        <f t="shared" si="34"/>
        <v>0</v>
      </c>
      <c r="K296" s="362">
        <f t="shared" si="37"/>
        <v>99.79</v>
      </c>
      <c r="L296" s="362"/>
      <c r="M296" s="362">
        <f t="shared" si="35"/>
        <v>99.79</v>
      </c>
      <c r="N296" s="362">
        <f t="shared" si="38"/>
        <v>16.3189182888449</v>
      </c>
      <c r="O296" s="372"/>
    </row>
    <row r="297" ht="30" customHeight="1" spans="1:15">
      <c r="A297" s="360">
        <v>2110101</v>
      </c>
      <c r="B297" s="361" t="s">
        <v>46</v>
      </c>
      <c r="C297" s="362">
        <v>69.79</v>
      </c>
      <c r="D297" s="362">
        <v>0</v>
      </c>
      <c r="E297" s="362">
        <f t="shared" si="36"/>
        <v>69.79</v>
      </c>
      <c r="F297" s="362">
        <v>14</v>
      </c>
      <c r="G297" s="362"/>
      <c r="H297" s="362"/>
      <c r="I297" s="362"/>
      <c r="J297" s="362">
        <f t="shared" si="34"/>
        <v>0</v>
      </c>
      <c r="K297" s="362">
        <f t="shared" si="37"/>
        <v>83.79</v>
      </c>
      <c r="L297" s="362"/>
      <c r="M297" s="362">
        <f t="shared" si="35"/>
        <v>83.79</v>
      </c>
      <c r="N297" s="362">
        <f t="shared" si="38"/>
        <v>20.0601805416249</v>
      </c>
      <c r="O297" s="372" t="s">
        <v>47</v>
      </c>
    </row>
    <row r="298" ht="27.95" customHeight="1" spans="1:15">
      <c r="A298" s="360">
        <v>2110199</v>
      </c>
      <c r="B298" s="361" t="s">
        <v>284</v>
      </c>
      <c r="C298" s="362">
        <v>16</v>
      </c>
      <c r="D298" s="362">
        <v>0</v>
      </c>
      <c r="E298" s="362">
        <f t="shared" si="36"/>
        <v>16</v>
      </c>
      <c r="F298" s="362"/>
      <c r="G298" s="362"/>
      <c r="H298" s="362"/>
      <c r="I298" s="362"/>
      <c r="J298" s="362">
        <f t="shared" si="34"/>
        <v>0</v>
      </c>
      <c r="K298" s="362">
        <f t="shared" si="37"/>
        <v>16</v>
      </c>
      <c r="L298" s="362"/>
      <c r="M298" s="362">
        <f t="shared" si="35"/>
        <v>16</v>
      </c>
      <c r="N298" s="362">
        <f t="shared" si="38"/>
        <v>0</v>
      </c>
      <c r="O298" s="372"/>
    </row>
    <row r="299" ht="27.95" customHeight="1" spans="1:15">
      <c r="A299" s="360">
        <v>21102</v>
      </c>
      <c r="B299" s="361" t="s">
        <v>285</v>
      </c>
      <c r="C299" s="362">
        <v>80</v>
      </c>
      <c r="D299" s="362">
        <v>0</v>
      </c>
      <c r="E299" s="362">
        <f t="shared" si="36"/>
        <v>80</v>
      </c>
      <c r="F299" s="362"/>
      <c r="G299" s="362"/>
      <c r="H299" s="362"/>
      <c r="I299" s="362"/>
      <c r="J299" s="362">
        <f t="shared" si="34"/>
        <v>0</v>
      </c>
      <c r="K299" s="362">
        <f t="shared" si="37"/>
        <v>80</v>
      </c>
      <c r="L299" s="362"/>
      <c r="M299" s="362">
        <f t="shared" si="35"/>
        <v>80</v>
      </c>
      <c r="N299" s="362">
        <f t="shared" si="38"/>
        <v>0</v>
      </c>
      <c r="O299" s="372"/>
    </row>
    <row r="300" ht="27.95" customHeight="1" spans="1:15">
      <c r="A300" s="360">
        <v>2110299</v>
      </c>
      <c r="B300" s="361" t="s">
        <v>286</v>
      </c>
      <c r="C300" s="362">
        <v>80</v>
      </c>
      <c r="D300" s="362">
        <v>0</v>
      </c>
      <c r="E300" s="362">
        <f t="shared" si="36"/>
        <v>80</v>
      </c>
      <c r="F300" s="362"/>
      <c r="G300" s="362"/>
      <c r="H300" s="362"/>
      <c r="I300" s="362"/>
      <c r="J300" s="362">
        <f t="shared" si="34"/>
        <v>0</v>
      </c>
      <c r="K300" s="362">
        <f t="shared" si="37"/>
        <v>80</v>
      </c>
      <c r="L300" s="362"/>
      <c r="M300" s="362">
        <f t="shared" si="35"/>
        <v>80</v>
      </c>
      <c r="N300" s="362">
        <f t="shared" si="38"/>
        <v>0</v>
      </c>
      <c r="O300" s="372"/>
    </row>
    <row r="301" ht="27.95" customHeight="1" spans="1:15">
      <c r="A301" s="360">
        <v>21103</v>
      </c>
      <c r="B301" s="361" t="s">
        <v>287</v>
      </c>
      <c r="C301" s="362">
        <v>6.66</v>
      </c>
      <c r="D301" s="362">
        <v>280</v>
      </c>
      <c r="E301" s="362">
        <f t="shared" si="36"/>
        <v>286.66</v>
      </c>
      <c r="F301" s="362"/>
      <c r="G301" s="362"/>
      <c r="H301" s="362"/>
      <c r="I301" s="362"/>
      <c r="J301" s="362">
        <f t="shared" si="34"/>
        <v>0</v>
      </c>
      <c r="K301" s="362">
        <f t="shared" si="37"/>
        <v>6.66</v>
      </c>
      <c r="L301" s="362">
        <f>L302+L303</f>
        <v>280</v>
      </c>
      <c r="M301" s="362">
        <f t="shared" si="35"/>
        <v>286.66</v>
      </c>
      <c r="N301" s="362">
        <f t="shared" si="38"/>
        <v>0</v>
      </c>
      <c r="O301" s="372"/>
    </row>
    <row r="302" ht="27.95" customHeight="1" spans="1:15">
      <c r="A302" s="360">
        <v>2110302</v>
      </c>
      <c r="B302" s="361" t="s">
        <v>288</v>
      </c>
      <c r="C302" s="362"/>
      <c r="D302" s="362">
        <v>230</v>
      </c>
      <c r="E302" s="362">
        <f t="shared" si="36"/>
        <v>230</v>
      </c>
      <c r="F302" s="362"/>
      <c r="G302" s="362"/>
      <c r="H302" s="362"/>
      <c r="I302" s="362"/>
      <c r="J302" s="362">
        <f t="shared" si="34"/>
        <v>0</v>
      </c>
      <c r="K302" s="362">
        <f t="shared" si="37"/>
        <v>0</v>
      </c>
      <c r="L302" s="362">
        <v>230</v>
      </c>
      <c r="M302" s="362">
        <f>L302+K302</f>
        <v>230</v>
      </c>
      <c r="N302" s="362">
        <f t="shared" si="38"/>
        <v>0</v>
      </c>
      <c r="O302" s="372"/>
    </row>
    <row r="303" ht="27.95" customHeight="1" spans="1:15">
      <c r="A303" s="360">
        <v>2110399</v>
      </c>
      <c r="B303" s="361" t="s">
        <v>289</v>
      </c>
      <c r="C303" s="362">
        <v>6.66</v>
      </c>
      <c r="D303" s="362">
        <v>50</v>
      </c>
      <c r="E303" s="362">
        <f t="shared" si="36"/>
        <v>56.66</v>
      </c>
      <c r="F303" s="362"/>
      <c r="G303" s="362"/>
      <c r="H303" s="362"/>
      <c r="I303" s="362"/>
      <c r="J303" s="362">
        <f t="shared" si="34"/>
        <v>0</v>
      </c>
      <c r="K303" s="362">
        <f t="shared" si="37"/>
        <v>6.66</v>
      </c>
      <c r="L303" s="362">
        <f>VLOOKUP(A303,[1]Sheet1!$D$1:$E$65536,2,0)</f>
        <v>50</v>
      </c>
      <c r="M303" s="362">
        <f t="shared" ref="M303:M332" si="39">K303+L303</f>
        <v>56.66</v>
      </c>
      <c r="N303" s="362">
        <f t="shared" si="38"/>
        <v>0</v>
      </c>
      <c r="O303" s="372"/>
    </row>
    <row r="304" ht="27.95" customHeight="1" spans="1:15">
      <c r="A304" s="360">
        <v>21199</v>
      </c>
      <c r="B304" s="361" t="s">
        <v>290</v>
      </c>
      <c r="C304" s="362">
        <v>39</v>
      </c>
      <c r="D304" s="362">
        <v>508</v>
      </c>
      <c r="E304" s="362">
        <f t="shared" si="36"/>
        <v>547</v>
      </c>
      <c r="F304" s="362"/>
      <c r="G304" s="362"/>
      <c r="H304" s="362"/>
      <c r="I304" s="362"/>
      <c r="J304" s="362">
        <f t="shared" ref="J304:J367" si="40">L304-D304</f>
        <v>0</v>
      </c>
      <c r="K304" s="362">
        <f t="shared" si="37"/>
        <v>39</v>
      </c>
      <c r="L304" s="362">
        <f>L305</f>
        <v>508</v>
      </c>
      <c r="M304" s="362">
        <f t="shared" si="39"/>
        <v>547</v>
      </c>
      <c r="N304" s="362">
        <f t="shared" si="38"/>
        <v>0</v>
      </c>
      <c r="O304" s="372"/>
    </row>
    <row r="305" ht="27.95" customHeight="1" spans="1:15">
      <c r="A305" s="360">
        <v>2119901</v>
      </c>
      <c r="B305" s="361" t="s">
        <v>290</v>
      </c>
      <c r="C305" s="362">
        <v>39</v>
      </c>
      <c r="D305" s="362">
        <v>508</v>
      </c>
      <c r="E305" s="362">
        <f t="shared" si="36"/>
        <v>547</v>
      </c>
      <c r="F305" s="362"/>
      <c r="G305" s="362"/>
      <c r="H305" s="362"/>
      <c r="I305" s="362"/>
      <c r="J305" s="362">
        <f t="shared" si="40"/>
        <v>0</v>
      </c>
      <c r="K305" s="362">
        <f t="shared" si="37"/>
        <v>39</v>
      </c>
      <c r="L305" s="362">
        <f>VLOOKUP(A305,[1]Sheet1!$D$1:$E$65536,2,0)</f>
        <v>508</v>
      </c>
      <c r="M305" s="362">
        <f t="shared" si="39"/>
        <v>547</v>
      </c>
      <c r="N305" s="362">
        <f t="shared" si="38"/>
        <v>0</v>
      </c>
      <c r="O305" s="372"/>
    </row>
    <row r="306" ht="27.95" customHeight="1" spans="1:15">
      <c r="A306" s="360">
        <v>212</v>
      </c>
      <c r="B306" s="361" t="s">
        <v>291</v>
      </c>
      <c r="C306" s="362">
        <v>11961.12</v>
      </c>
      <c r="D306" s="362">
        <v>20692.47</v>
      </c>
      <c r="E306" s="362">
        <f t="shared" si="36"/>
        <v>32653.59</v>
      </c>
      <c r="F306" s="362">
        <f>F307+F312+F314+F316+F318</f>
        <v>847</v>
      </c>
      <c r="G306" s="362"/>
      <c r="H306" s="362"/>
      <c r="I306" s="362"/>
      <c r="J306" s="362">
        <f t="shared" si="40"/>
        <v>0</v>
      </c>
      <c r="K306" s="362">
        <f t="shared" si="37"/>
        <v>12808.12</v>
      </c>
      <c r="L306" s="362">
        <f>L307+L312+L314+L316+L318</f>
        <v>20692.47</v>
      </c>
      <c r="M306" s="362">
        <f t="shared" si="39"/>
        <v>33500.59</v>
      </c>
      <c r="N306" s="362">
        <f t="shared" si="38"/>
        <v>2.59389549510483</v>
      </c>
      <c r="O306" s="372"/>
    </row>
    <row r="307" ht="27.95" customHeight="1" spans="1:15">
      <c r="A307" s="360">
        <v>21201</v>
      </c>
      <c r="B307" s="361" t="s">
        <v>292</v>
      </c>
      <c r="C307" s="362">
        <v>10587.73</v>
      </c>
      <c r="D307" s="362">
        <v>104</v>
      </c>
      <c r="E307" s="362">
        <f t="shared" si="36"/>
        <v>10691.73</v>
      </c>
      <c r="F307" s="362">
        <f>F308+F310+F311</f>
        <v>820</v>
      </c>
      <c r="G307" s="362"/>
      <c r="H307" s="362"/>
      <c r="I307" s="362"/>
      <c r="J307" s="362">
        <f t="shared" si="40"/>
        <v>0</v>
      </c>
      <c r="K307" s="362">
        <f t="shared" si="37"/>
        <v>11407.73</v>
      </c>
      <c r="L307" s="362">
        <f>L311</f>
        <v>104</v>
      </c>
      <c r="M307" s="362">
        <f t="shared" si="39"/>
        <v>11511.73</v>
      </c>
      <c r="N307" s="362">
        <f t="shared" si="38"/>
        <v>7.6694791207784</v>
      </c>
      <c r="O307" s="372"/>
    </row>
    <row r="308" ht="30" customHeight="1" spans="1:15">
      <c r="A308" s="360">
        <v>2120101</v>
      </c>
      <c r="B308" s="361" t="s">
        <v>46</v>
      </c>
      <c r="C308" s="362">
        <v>1903.01</v>
      </c>
      <c r="D308" s="362">
        <v>0</v>
      </c>
      <c r="E308" s="362">
        <f t="shared" si="36"/>
        <v>1903.01</v>
      </c>
      <c r="F308" s="362">
        <v>196</v>
      </c>
      <c r="G308" s="362"/>
      <c r="H308" s="362"/>
      <c r="I308" s="362"/>
      <c r="J308" s="362">
        <f t="shared" si="40"/>
        <v>0</v>
      </c>
      <c r="K308" s="362">
        <f t="shared" si="37"/>
        <v>2099.01</v>
      </c>
      <c r="L308" s="362"/>
      <c r="M308" s="362">
        <f t="shared" si="39"/>
        <v>2099.01</v>
      </c>
      <c r="N308" s="362">
        <f t="shared" si="38"/>
        <v>10.2994729402368</v>
      </c>
      <c r="O308" s="372" t="s">
        <v>47</v>
      </c>
    </row>
    <row r="309" ht="27.95" customHeight="1" spans="1:15">
      <c r="A309" s="360">
        <v>2120104</v>
      </c>
      <c r="B309" s="361" t="s">
        <v>293</v>
      </c>
      <c r="C309" s="362">
        <v>40</v>
      </c>
      <c r="D309" s="362">
        <v>0</v>
      </c>
      <c r="E309" s="362">
        <f t="shared" si="36"/>
        <v>40</v>
      </c>
      <c r="F309" s="362"/>
      <c r="G309" s="362"/>
      <c r="H309" s="362"/>
      <c r="I309" s="362"/>
      <c r="J309" s="362">
        <f t="shared" si="40"/>
        <v>0</v>
      </c>
      <c r="K309" s="362">
        <f t="shared" si="37"/>
        <v>40</v>
      </c>
      <c r="L309" s="362"/>
      <c r="M309" s="362">
        <f t="shared" si="39"/>
        <v>40</v>
      </c>
      <c r="N309" s="362">
        <f t="shared" si="38"/>
        <v>0</v>
      </c>
      <c r="O309" s="372"/>
    </row>
    <row r="310" ht="30" customHeight="1" spans="1:15">
      <c r="A310" s="360">
        <v>2120106</v>
      </c>
      <c r="B310" s="361" t="s">
        <v>294</v>
      </c>
      <c r="C310" s="362">
        <v>157.63</v>
      </c>
      <c r="D310" s="362">
        <v>0</v>
      </c>
      <c r="E310" s="362">
        <f t="shared" si="36"/>
        <v>157.63</v>
      </c>
      <c r="F310" s="362">
        <v>31</v>
      </c>
      <c r="G310" s="362"/>
      <c r="H310" s="362"/>
      <c r="I310" s="362"/>
      <c r="J310" s="362">
        <f t="shared" si="40"/>
        <v>0</v>
      </c>
      <c r="K310" s="362">
        <f t="shared" si="37"/>
        <v>188.63</v>
      </c>
      <c r="L310" s="362"/>
      <c r="M310" s="362">
        <f t="shared" si="39"/>
        <v>188.63</v>
      </c>
      <c r="N310" s="362">
        <f t="shared" si="38"/>
        <v>19.6663071750301</v>
      </c>
      <c r="O310" s="372" t="s">
        <v>47</v>
      </c>
    </row>
    <row r="311" ht="30" customHeight="1" spans="1:15">
      <c r="A311" s="360">
        <v>2120199</v>
      </c>
      <c r="B311" s="361" t="s">
        <v>295</v>
      </c>
      <c r="C311" s="362">
        <v>8487.09</v>
      </c>
      <c r="D311" s="362">
        <v>104</v>
      </c>
      <c r="E311" s="362">
        <f t="shared" si="36"/>
        <v>8591.09</v>
      </c>
      <c r="F311" s="362">
        <v>593</v>
      </c>
      <c r="G311" s="362"/>
      <c r="H311" s="362"/>
      <c r="I311" s="362"/>
      <c r="J311" s="362">
        <f t="shared" si="40"/>
        <v>0</v>
      </c>
      <c r="K311" s="362">
        <f t="shared" si="37"/>
        <v>9080.09</v>
      </c>
      <c r="L311" s="362">
        <f>VLOOKUP(A311,[1]Sheet1!$D$1:$E$65536,2,0)</f>
        <v>104</v>
      </c>
      <c r="M311" s="362">
        <f t="shared" si="39"/>
        <v>9184.09</v>
      </c>
      <c r="N311" s="362">
        <f t="shared" si="38"/>
        <v>6.90250014840956</v>
      </c>
      <c r="O311" s="372" t="s">
        <v>47</v>
      </c>
    </row>
    <row r="312" ht="27.95" customHeight="1" spans="1:15">
      <c r="A312" s="360">
        <v>21202</v>
      </c>
      <c r="B312" s="361" t="s">
        <v>296</v>
      </c>
      <c r="C312" s="362">
        <v>33.66</v>
      </c>
      <c r="D312" s="362">
        <v>500</v>
      </c>
      <c r="E312" s="362">
        <f t="shared" si="36"/>
        <v>533.66</v>
      </c>
      <c r="F312" s="362">
        <v>3</v>
      </c>
      <c r="G312" s="362"/>
      <c r="H312" s="362"/>
      <c r="I312" s="362"/>
      <c r="J312" s="362">
        <f t="shared" si="40"/>
        <v>0</v>
      </c>
      <c r="K312" s="362">
        <f t="shared" si="37"/>
        <v>36.66</v>
      </c>
      <c r="L312" s="362">
        <v>500</v>
      </c>
      <c r="M312" s="362">
        <f t="shared" si="39"/>
        <v>536.66</v>
      </c>
      <c r="N312" s="362">
        <f t="shared" si="38"/>
        <v>0.562155679646215</v>
      </c>
      <c r="O312" s="372"/>
    </row>
    <row r="313" ht="30" customHeight="1" spans="1:15">
      <c r="A313" s="360">
        <v>2120201</v>
      </c>
      <c r="B313" s="361" t="s">
        <v>296</v>
      </c>
      <c r="C313" s="362">
        <v>33.66</v>
      </c>
      <c r="D313" s="362">
        <v>500</v>
      </c>
      <c r="E313" s="362">
        <f t="shared" si="36"/>
        <v>533.66</v>
      </c>
      <c r="F313" s="362">
        <v>3</v>
      </c>
      <c r="G313" s="362"/>
      <c r="H313" s="362"/>
      <c r="I313" s="362"/>
      <c r="J313" s="362">
        <f t="shared" si="40"/>
        <v>0</v>
      </c>
      <c r="K313" s="362">
        <f t="shared" si="37"/>
        <v>36.66</v>
      </c>
      <c r="L313" s="362">
        <v>500</v>
      </c>
      <c r="M313" s="362">
        <f t="shared" si="39"/>
        <v>536.66</v>
      </c>
      <c r="N313" s="362">
        <f t="shared" si="38"/>
        <v>0.562155679646215</v>
      </c>
      <c r="O313" s="372" t="s">
        <v>47</v>
      </c>
    </row>
    <row r="314" ht="27.95" customHeight="1" spans="1:15">
      <c r="A314" s="360">
        <v>21203</v>
      </c>
      <c r="B314" s="361" t="s">
        <v>297</v>
      </c>
      <c r="C314" s="362">
        <v>82.26</v>
      </c>
      <c r="D314" s="362">
        <v>19375.47</v>
      </c>
      <c r="E314" s="362">
        <f t="shared" si="36"/>
        <v>19457.73</v>
      </c>
      <c r="F314" s="362"/>
      <c r="G314" s="362"/>
      <c r="H314" s="362"/>
      <c r="I314" s="362"/>
      <c r="J314" s="362">
        <f t="shared" si="40"/>
        <v>0</v>
      </c>
      <c r="K314" s="362">
        <f t="shared" si="37"/>
        <v>82.26</v>
      </c>
      <c r="L314" s="362">
        <f>L315</f>
        <v>19375.47</v>
      </c>
      <c r="M314" s="362">
        <f t="shared" si="39"/>
        <v>19457.73</v>
      </c>
      <c r="N314" s="362">
        <f t="shared" si="38"/>
        <v>0</v>
      </c>
      <c r="O314" s="372"/>
    </row>
    <row r="315" ht="27.95" customHeight="1" spans="1:15">
      <c r="A315" s="360">
        <v>2120399</v>
      </c>
      <c r="B315" s="361" t="s">
        <v>298</v>
      </c>
      <c r="C315" s="362">
        <v>82.26</v>
      </c>
      <c r="D315" s="362">
        <v>19375.47</v>
      </c>
      <c r="E315" s="362">
        <f t="shared" si="36"/>
        <v>19457.73</v>
      </c>
      <c r="F315" s="362"/>
      <c r="G315" s="362"/>
      <c r="H315" s="362"/>
      <c r="I315" s="362"/>
      <c r="J315" s="362">
        <f t="shared" si="40"/>
        <v>0</v>
      </c>
      <c r="K315" s="362">
        <f t="shared" si="37"/>
        <v>82.26</v>
      </c>
      <c r="L315" s="362">
        <f>VLOOKUP(A315,[1]Sheet1!$D$1:$E$65536,2,0)</f>
        <v>19375.47</v>
      </c>
      <c r="M315" s="362">
        <f t="shared" si="39"/>
        <v>19457.73</v>
      </c>
      <c r="N315" s="362">
        <f t="shared" si="38"/>
        <v>0</v>
      </c>
      <c r="O315" s="372"/>
    </row>
    <row r="316" ht="27.95" customHeight="1" spans="1:15">
      <c r="A316" s="360">
        <v>21205</v>
      </c>
      <c r="B316" s="361" t="s">
        <v>299</v>
      </c>
      <c r="C316" s="362">
        <v>517.45</v>
      </c>
      <c r="D316" s="362">
        <v>0</v>
      </c>
      <c r="E316" s="362">
        <f t="shared" si="36"/>
        <v>517.45</v>
      </c>
      <c r="F316" s="362">
        <v>24</v>
      </c>
      <c r="G316" s="362"/>
      <c r="H316" s="362"/>
      <c r="I316" s="362"/>
      <c r="J316" s="362">
        <f t="shared" si="40"/>
        <v>0</v>
      </c>
      <c r="K316" s="362">
        <f t="shared" si="37"/>
        <v>541.45</v>
      </c>
      <c r="L316" s="362"/>
      <c r="M316" s="362">
        <f t="shared" si="39"/>
        <v>541.45</v>
      </c>
      <c r="N316" s="362">
        <f t="shared" si="38"/>
        <v>4.6381292878539</v>
      </c>
      <c r="O316" s="372"/>
    </row>
    <row r="317" ht="30" customHeight="1" spans="1:15">
      <c r="A317" s="360">
        <v>2120501</v>
      </c>
      <c r="B317" s="361" t="s">
        <v>299</v>
      </c>
      <c r="C317" s="362">
        <v>517.45</v>
      </c>
      <c r="D317" s="362">
        <v>0</v>
      </c>
      <c r="E317" s="362">
        <f t="shared" si="36"/>
        <v>517.45</v>
      </c>
      <c r="F317" s="362">
        <v>24</v>
      </c>
      <c r="G317" s="362"/>
      <c r="H317" s="362"/>
      <c r="I317" s="362"/>
      <c r="J317" s="362">
        <f t="shared" si="40"/>
        <v>0</v>
      </c>
      <c r="K317" s="362">
        <f t="shared" si="37"/>
        <v>541.45</v>
      </c>
      <c r="L317" s="362"/>
      <c r="M317" s="362">
        <f t="shared" si="39"/>
        <v>541.45</v>
      </c>
      <c r="N317" s="362">
        <f t="shared" si="38"/>
        <v>4.6381292878539</v>
      </c>
      <c r="O317" s="372" t="s">
        <v>47</v>
      </c>
    </row>
    <row r="318" ht="27.95" customHeight="1" spans="1:15">
      <c r="A318" s="360">
        <v>21299</v>
      </c>
      <c r="B318" s="361" t="s">
        <v>300</v>
      </c>
      <c r="C318" s="362">
        <v>740.02</v>
      </c>
      <c r="D318" s="362">
        <v>713</v>
      </c>
      <c r="E318" s="362">
        <f t="shared" si="36"/>
        <v>1453.02</v>
      </c>
      <c r="F318" s="362"/>
      <c r="G318" s="362"/>
      <c r="H318" s="362"/>
      <c r="I318" s="362"/>
      <c r="J318" s="362">
        <f t="shared" si="40"/>
        <v>0</v>
      </c>
      <c r="K318" s="362">
        <f t="shared" si="37"/>
        <v>740.02</v>
      </c>
      <c r="L318" s="362">
        <f>L319</f>
        <v>713</v>
      </c>
      <c r="M318" s="362">
        <f t="shared" si="39"/>
        <v>1453.02</v>
      </c>
      <c r="N318" s="362">
        <f t="shared" si="38"/>
        <v>0</v>
      </c>
      <c r="O318" s="372"/>
    </row>
    <row r="319" ht="27.95" customHeight="1" spans="1:15">
      <c r="A319" s="360">
        <v>2129999</v>
      </c>
      <c r="B319" s="361" t="s">
        <v>300</v>
      </c>
      <c r="C319" s="362">
        <v>740.02</v>
      </c>
      <c r="D319" s="362">
        <v>713</v>
      </c>
      <c r="E319" s="362">
        <f t="shared" si="36"/>
        <v>1453.02</v>
      </c>
      <c r="F319" s="362"/>
      <c r="G319" s="362"/>
      <c r="H319" s="362"/>
      <c r="I319" s="362"/>
      <c r="J319" s="362">
        <f t="shared" si="40"/>
        <v>0</v>
      </c>
      <c r="K319" s="362">
        <f t="shared" si="37"/>
        <v>740.02</v>
      </c>
      <c r="L319" s="362">
        <f>VLOOKUP(A319,[1]Sheet1!$D$1:$E$65536,2,0)</f>
        <v>713</v>
      </c>
      <c r="M319" s="362">
        <f t="shared" si="39"/>
        <v>1453.02</v>
      </c>
      <c r="N319" s="362">
        <f t="shared" si="38"/>
        <v>0</v>
      </c>
      <c r="O319" s="372"/>
    </row>
    <row r="320" ht="27.95" customHeight="1" spans="1:15">
      <c r="A320" s="360">
        <v>213</v>
      </c>
      <c r="B320" s="361" t="s">
        <v>301</v>
      </c>
      <c r="C320" s="362">
        <v>4228.07</v>
      </c>
      <c r="D320" s="362">
        <v>15062.70735</v>
      </c>
      <c r="E320" s="362">
        <f t="shared" si="36"/>
        <v>19290.77735</v>
      </c>
      <c r="F320" s="362">
        <f>F321+F339+F347+F361+F363+F367+F370</f>
        <v>213</v>
      </c>
      <c r="G320" s="362"/>
      <c r="H320" s="362"/>
      <c r="I320" s="362"/>
      <c r="J320" s="362">
        <f t="shared" si="40"/>
        <v>0</v>
      </c>
      <c r="K320" s="362">
        <f t="shared" si="37"/>
        <v>4441.07</v>
      </c>
      <c r="L320" s="362">
        <f>L321+L339+L347+L361+L363+L367+L370</f>
        <v>15062.70735</v>
      </c>
      <c r="M320" s="362">
        <f t="shared" si="39"/>
        <v>19503.77735</v>
      </c>
      <c r="N320" s="362">
        <f t="shared" si="38"/>
        <v>1.10415457156265</v>
      </c>
      <c r="O320" s="372"/>
    </row>
    <row r="321" ht="27.95" customHeight="1" spans="1:15">
      <c r="A321" s="360">
        <v>21301</v>
      </c>
      <c r="B321" s="361" t="s">
        <v>302</v>
      </c>
      <c r="C321" s="362">
        <v>1048.33</v>
      </c>
      <c r="D321" s="362">
        <v>2264.84735</v>
      </c>
      <c r="E321" s="362">
        <f t="shared" si="36"/>
        <v>3313.17735</v>
      </c>
      <c r="F321" s="362">
        <f>F322+F324</f>
        <v>119</v>
      </c>
      <c r="G321" s="362"/>
      <c r="H321" s="362"/>
      <c r="I321" s="362"/>
      <c r="J321" s="362">
        <f t="shared" si="40"/>
        <v>0</v>
      </c>
      <c r="K321" s="362">
        <f t="shared" si="37"/>
        <v>1167.33</v>
      </c>
      <c r="L321" s="362">
        <f>SUM(L322:L338)</f>
        <v>2264.84735</v>
      </c>
      <c r="M321" s="362">
        <f t="shared" si="39"/>
        <v>3432.17735</v>
      </c>
      <c r="N321" s="362">
        <f t="shared" si="38"/>
        <v>3.59171838477044</v>
      </c>
      <c r="O321" s="372"/>
    </row>
    <row r="322" ht="30" customHeight="1" spans="1:15">
      <c r="A322" s="360">
        <v>2130101</v>
      </c>
      <c r="B322" s="361" t="s">
        <v>46</v>
      </c>
      <c r="C322" s="362">
        <v>320.4</v>
      </c>
      <c r="D322" s="362">
        <v>0</v>
      </c>
      <c r="E322" s="362">
        <f t="shared" si="36"/>
        <v>320.4</v>
      </c>
      <c r="F322" s="362">
        <v>74</v>
      </c>
      <c r="G322" s="362"/>
      <c r="H322" s="362"/>
      <c r="I322" s="362"/>
      <c r="J322" s="362">
        <f t="shared" si="40"/>
        <v>0</v>
      </c>
      <c r="K322" s="362">
        <f t="shared" si="37"/>
        <v>394.4</v>
      </c>
      <c r="L322" s="362"/>
      <c r="M322" s="362">
        <f t="shared" si="39"/>
        <v>394.4</v>
      </c>
      <c r="N322" s="362">
        <f t="shared" si="38"/>
        <v>23.0961298377029</v>
      </c>
      <c r="O322" s="372" t="s">
        <v>47</v>
      </c>
    </row>
    <row r="323" ht="27.95" customHeight="1" spans="1:15">
      <c r="A323" s="360">
        <v>2130102</v>
      </c>
      <c r="B323" s="361" t="s">
        <v>48</v>
      </c>
      <c r="C323" s="362">
        <v>4</v>
      </c>
      <c r="D323" s="362">
        <v>0</v>
      </c>
      <c r="E323" s="362">
        <f t="shared" si="36"/>
        <v>4</v>
      </c>
      <c r="F323" s="362"/>
      <c r="G323" s="362"/>
      <c r="H323" s="362"/>
      <c r="I323" s="362"/>
      <c r="J323" s="362">
        <f t="shared" si="40"/>
        <v>0</v>
      </c>
      <c r="K323" s="362">
        <f t="shared" si="37"/>
        <v>4</v>
      </c>
      <c r="L323" s="362"/>
      <c r="M323" s="362">
        <f t="shared" si="39"/>
        <v>4</v>
      </c>
      <c r="N323" s="362">
        <f t="shared" si="38"/>
        <v>0</v>
      </c>
      <c r="O323" s="372"/>
    </row>
    <row r="324" ht="30" customHeight="1" spans="1:15">
      <c r="A324" s="360">
        <v>2130104</v>
      </c>
      <c r="B324" s="361" t="s">
        <v>76</v>
      </c>
      <c r="C324" s="362">
        <v>145.5</v>
      </c>
      <c r="D324" s="362">
        <v>0</v>
      </c>
      <c r="E324" s="362">
        <f t="shared" si="36"/>
        <v>145.5</v>
      </c>
      <c r="F324" s="362">
        <v>45</v>
      </c>
      <c r="G324" s="362"/>
      <c r="H324" s="362"/>
      <c r="I324" s="362"/>
      <c r="J324" s="362">
        <f t="shared" si="40"/>
        <v>0</v>
      </c>
      <c r="K324" s="362">
        <f t="shared" si="37"/>
        <v>190.5</v>
      </c>
      <c r="L324" s="362"/>
      <c r="M324" s="362">
        <f t="shared" si="39"/>
        <v>190.5</v>
      </c>
      <c r="N324" s="362">
        <f t="shared" si="38"/>
        <v>30.9278350515464</v>
      </c>
      <c r="O324" s="372" t="s">
        <v>47</v>
      </c>
    </row>
    <row r="325" ht="27.95" customHeight="1" spans="1:15">
      <c r="A325" s="360">
        <v>2130106</v>
      </c>
      <c r="B325" s="361" t="s">
        <v>303</v>
      </c>
      <c r="C325" s="362">
        <v>29</v>
      </c>
      <c r="D325" s="362">
        <v>9</v>
      </c>
      <c r="E325" s="362">
        <f t="shared" si="36"/>
        <v>38</v>
      </c>
      <c r="F325" s="362"/>
      <c r="G325" s="362"/>
      <c r="H325" s="362"/>
      <c r="I325" s="362"/>
      <c r="J325" s="362">
        <f t="shared" si="40"/>
        <v>0</v>
      </c>
      <c r="K325" s="362">
        <f t="shared" si="37"/>
        <v>29</v>
      </c>
      <c r="L325" s="362">
        <f>VLOOKUP(A325,[1]Sheet1!$D$1:$E$65536,2,0)</f>
        <v>9</v>
      </c>
      <c r="M325" s="362">
        <f t="shared" si="39"/>
        <v>38</v>
      </c>
      <c r="N325" s="362">
        <f t="shared" si="38"/>
        <v>0</v>
      </c>
      <c r="O325" s="372"/>
    </row>
    <row r="326" ht="27.95" customHeight="1" spans="1:15">
      <c r="A326" s="360">
        <v>2130108</v>
      </c>
      <c r="B326" s="361" t="s">
        <v>304</v>
      </c>
      <c r="C326" s="362">
        <v>27.2</v>
      </c>
      <c r="D326" s="362">
        <v>1.66</v>
      </c>
      <c r="E326" s="362">
        <f t="shared" si="36"/>
        <v>28.86</v>
      </c>
      <c r="F326" s="362"/>
      <c r="G326" s="362"/>
      <c r="H326" s="362"/>
      <c r="I326" s="362"/>
      <c r="J326" s="362">
        <f t="shared" si="40"/>
        <v>0</v>
      </c>
      <c r="K326" s="362">
        <f t="shared" si="37"/>
        <v>27.2</v>
      </c>
      <c r="L326" s="362">
        <f>VLOOKUP(A326,[1]Sheet1!$D$1:$E$65536,2,0)</f>
        <v>1.66</v>
      </c>
      <c r="M326" s="362">
        <f t="shared" si="39"/>
        <v>28.86</v>
      </c>
      <c r="N326" s="362">
        <f t="shared" si="38"/>
        <v>0</v>
      </c>
      <c r="O326" s="372"/>
    </row>
    <row r="327" ht="27.95" customHeight="1" spans="1:15">
      <c r="A327" s="360">
        <v>2130109</v>
      </c>
      <c r="B327" s="361" t="s">
        <v>305</v>
      </c>
      <c r="C327" s="362">
        <v>20</v>
      </c>
      <c r="D327" s="362">
        <v>4</v>
      </c>
      <c r="E327" s="362">
        <f t="shared" si="36"/>
        <v>24</v>
      </c>
      <c r="F327" s="362"/>
      <c r="G327" s="362"/>
      <c r="H327" s="362"/>
      <c r="I327" s="362"/>
      <c r="J327" s="362">
        <f t="shared" si="40"/>
        <v>0</v>
      </c>
      <c r="K327" s="362">
        <f t="shared" si="37"/>
        <v>20</v>
      </c>
      <c r="L327" s="362">
        <f>VLOOKUP(A327,[1]Sheet1!$D$1:$E$65536,2,0)</f>
        <v>4</v>
      </c>
      <c r="M327" s="362">
        <f t="shared" si="39"/>
        <v>24</v>
      </c>
      <c r="N327" s="362">
        <f t="shared" si="38"/>
        <v>0</v>
      </c>
      <c r="O327" s="372"/>
    </row>
    <row r="328" ht="27.95" customHeight="1" spans="1:15">
      <c r="A328" s="360">
        <v>2130110</v>
      </c>
      <c r="B328" s="361" t="s">
        <v>306</v>
      </c>
      <c r="C328" s="362">
        <v>106.87</v>
      </c>
      <c r="D328" s="362">
        <v>0</v>
      </c>
      <c r="E328" s="362">
        <f t="shared" si="36"/>
        <v>106.87</v>
      </c>
      <c r="F328" s="362"/>
      <c r="G328" s="362"/>
      <c r="H328" s="362"/>
      <c r="I328" s="362"/>
      <c r="J328" s="362">
        <f t="shared" si="40"/>
        <v>0</v>
      </c>
      <c r="K328" s="362">
        <f t="shared" si="37"/>
        <v>106.87</v>
      </c>
      <c r="L328" s="362"/>
      <c r="M328" s="362">
        <f t="shared" si="39"/>
        <v>106.87</v>
      </c>
      <c r="N328" s="362">
        <f t="shared" si="38"/>
        <v>0</v>
      </c>
      <c r="O328" s="372"/>
    </row>
    <row r="329" ht="27.95" customHeight="1" spans="1:15">
      <c r="A329" s="360">
        <v>2130111</v>
      </c>
      <c r="B329" s="361" t="s">
        <v>307</v>
      </c>
      <c r="C329" s="362">
        <v>1</v>
      </c>
      <c r="D329" s="362">
        <v>0</v>
      </c>
      <c r="E329" s="362">
        <f t="shared" si="36"/>
        <v>1</v>
      </c>
      <c r="F329" s="362"/>
      <c r="G329" s="362"/>
      <c r="H329" s="362"/>
      <c r="I329" s="362"/>
      <c r="J329" s="362">
        <f t="shared" si="40"/>
        <v>0</v>
      </c>
      <c r="K329" s="362">
        <f t="shared" si="37"/>
        <v>1</v>
      </c>
      <c r="L329" s="362"/>
      <c r="M329" s="362">
        <f t="shared" si="39"/>
        <v>1</v>
      </c>
      <c r="N329" s="362">
        <f t="shared" si="38"/>
        <v>0</v>
      </c>
      <c r="O329" s="372"/>
    </row>
    <row r="330" ht="27.95" customHeight="1" spans="1:15">
      <c r="A330" s="360">
        <v>2130112</v>
      </c>
      <c r="B330" s="361" t="s">
        <v>308</v>
      </c>
      <c r="C330" s="362">
        <v>17</v>
      </c>
      <c r="D330" s="362">
        <v>2.1013</v>
      </c>
      <c r="E330" s="362">
        <f t="shared" si="36"/>
        <v>19.1013</v>
      </c>
      <c r="F330" s="362"/>
      <c r="G330" s="362"/>
      <c r="H330" s="362"/>
      <c r="I330" s="362"/>
      <c r="J330" s="362">
        <f t="shared" si="40"/>
        <v>0</v>
      </c>
      <c r="K330" s="362">
        <f t="shared" si="37"/>
        <v>17</v>
      </c>
      <c r="L330" s="362">
        <f>VLOOKUP(A330,[1]Sheet1!$D$1:$E$65536,2,0)</f>
        <v>2.1013</v>
      </c>
      <c r="M330" s="362">
        <f t="shared" si="39"/>
        <v>19.1013</v>
      </c>
      <c r="N330" s="362">
        <f t="shared" si="38"/>
        <v>0</v>
      </c>
      <c r="O330" s="372"/>
    </row>
    <row r="331" ht="27.95" customHeight="1" spans="1:15">
      <c r="A331" s="360">
        <v>2130119</v>
      </c>
      <c r="B331" s="361" t="s">
        <v>309</v>
      </c>
      <c r="C331" s="362">
        <v>6</v>
      </c>
      <c r="D331" s="362">
        <v>0</v>
      </c>
      <c r="E331" s="362">
        <f t="shared" si="36"/>
        <v>6</v>
      </c>
      <c r="F331" s="362"/>
      <c r="G331" s="362"/>
      <c r="H331" s="362"/>
      <c r="I331" s="362"/>
      <c r="J331" s="362">
        <f t="shared" si="40"/>
        <v>0</v>
      </c>
      <c r="K331" s="362">
        <f t="shared" si="37"/>
        <v>6</v>
      </c>
      <c r="L331" s="362"/>
      <c r="M331" s="362">
        <f t="shared" si="39"/>
        <v>6</v>
      </c>
      <c r="N331" s="362">
        <f t="shared" si="38"/>
        <v>0</v>
      </c>
      <c r="O331" s="372"/>
    </row>
    <row r="332" ht="27.95" customHeight="1" spans="1:15">
      <c r="A332" s="360">
        <v>2130122</v>
      </c>
      <c r="B332" s="361" t="s">
        <v>310</v>
      </c>
      <c r="C332" s="362">
        <v>21.85</v>
      </c>
      <c r="D332" s="362">
        <v>22</v>
      </c>
      <c r="E332" s="362">
        <f t="shared" si="36"/>
        <v>43.85</v>
      </c>
      <c r="F332" s="362"/>
      <c r="G332" s="362"/>
      <c r="H332" s="362"/>
      <c r="I332" s="362"/>
      <c r="J332" s="362">
        <f t="shared" si="40"/>
        <v>0</v>
      </c>
      <c r="K332" s="362">
        <f t="shared" si="37"/>
        <v>21.85</v>
      </c>
      <c r="L332" s="362">
        <f>VLOOKUP(A332,[1]Sheet1!$D$1:$E$65536,2,0)</f>
        <v>22</v>
      </c>
      <c r="M332" s="362">
        <f t="shared" si="39"/>
        <v>43.85</v>
      </c>
      <c r="N332" s="362">
        <f t="shared" si="38"/>
        <v>0</v>
      </c>
      <c r="O332" s="372"/>
    </row>
    <row r="333" ht="27.95" customHeight="1" spans="1:15">
      <c r="A333" s="360">
        <v>2130124</v>
      </c>
      <c r="B333" s="361" t="s">
        <v>311</v>
      </c>
      <c r="C333" s="362"/>
      <c r="D333" s="362">
        <v>50</v>
      </c>
      <c r="E333" s="362">
        <f t="shared" si="36"/>
        <v>50</v>
      </c>
      <c r="F333" s="362"/>
      <c r="G333" s="362"/>
      <c r="H333" s="362"/>
      <c r="I333" s="362"/>
      <c r="J333" s="362">
        <f t="shared" si="40"/>
        <v>0</v>
      </c>
      <c r="K333" s="362">
        <f t="shared" si="37"/>
        <v>0</v>
      </c>
      <c r="L333" s="362">
        <v>50</v>
      </c>
      <c r="M333" s="362">
        <f>L333+K333</f>
        <v>50</v>
      </c>
      <c r="N333" s="362">
        <f t="shared" si="38"/>
        <v>0</v>
      </c>
      <c r="O333" s="372"/>
    </row>
    <row r="334" ht="27.95" customHeight="1" spans="1:15">
      <c r="A334" s="360">
        <v>2130126</v>
      </c>
      <c r="B334" s="361" t="s">
        <v>312</v>
      </c>
      <c r="C334" s="362">
        <v>20</v>
      </c>
      <c r="D334" s="362">
        <v>0</v>
      </c>
      <c r="E334" s="362">
        <f t="shared" si="36"/>
        <v>20</v>
      </c>
      <c r="F334" s="362"/>
      <c r="G334" s="362"/>
      <c r="H334" s="362"/>
      <c r="I334" s="362"/>
      <c r="J334" s="362">
        <f t="shared" si="40"/>
        <v>0</v>
      </c>
      <c r="K334" s="362">
        <f t="shared" si="37"/>
        <v>20</v>
      </c>
      <c r="L334" s="362"/>
      <c r="M334" s="362">
        <f>K334+L334</f>
        <v>20</v>
      </c>
      <c r="N334" s="362">
        <f t="shared" si="38"/>
        <v>0</v>
      </c>
      <c r="O334" s="372"/>
    </row>
    <row r="335" ht="27.95" customHeight="1" spans="1:15">
      <c r="A335" s="360">
        <v>2130135</v>
      </c>
      <c r="B335" s="361" t="s">
        <v>313</v>
      </c>
      <c r="C335" s="362">
        <v>16</v>
      </c>
      <c r="D335" s="362">
        <v>12</v>
      </c>
      <c r="E335" s="362">
        <f t="shared" si="36"/>
        <v>28</v>
      </c>
      <c r="F335" s="362"/>
      <c r="G335" s="362"/>
      <c r="H335" s="362"/>
      <c r="I335" s="362"/>
      <c r="J335" s="362">
        <f t="shared" si="40"/>
        <v>0</v>
      </c>
      <c r="K335" s="362">
        <f t="shared" si="37"/>
        <v>16</v>
      </c>
      <c r="L335" s="362">
        <f>VLOOKUP(A335,[1]Sheet1!$D$1:$E$65536,2,0)</f>
        <v>12</v>
      </c>
      <c r="M335" s="362">
        <f>K335+L335</f>
        <v>28</v>
      </c>
      <c r="N335" s="362">
        <f t="shared" si="38"/>
        <v>0</v>
      </c>
      <c r="O335" s="372"/>
    </row>
    <row r="336" ht="27.95" customHeight="1" spans="1:15">
      <c r="A336" s="373">
        <v>2130148</v>
      </c>
      <c r="B336" s="361" t="s">
        <v>314</v>
      </c>
      <c r="C336" s="362"/>
      <c r="D336" s="362">
        <v>1922.1</v>
      </c>
      <c r="E336" s="362">
        <f t="shared" si="36"/>
        <v>1922.1</v>
      </c>
      <c r="F336" s="362"/>
      <c r="G336" s="362"/>
      <c r="H336" s="362"/>
      <c r="I336" s="362"/>
      <c r="J336" s="362">
        <f t="shared" si="40"/>
        <v>0</v>
      </c>
      <c r="K336" s="362">
        <f t="shared" si="37"/>
        <v>0</v>
      </c>
      <c r="L336" s="362">
        <f>VLOOKUP(A336,[1]Sheet1!$D$1:$E$65536,2,0)</f>
        <v>1922.1</v>
      </c>
      <c r="M336" s="362">
        <f>L336+K336</f>
        <v>1922.1</v>
      </c>
      <c r="N336" s="362">
        <f t="shared" si="38"/>
        <v>0</v>
      </c>
      <c r="O336" s="372"/>
    </row>
    <row r="337" ht="27.95" customHeight="1" spans="1:15">
      <c r="A337" s="360">
        <v>2130152</v>
      </c>
      <c r="B337" s="361" t="s">
        <v>315</v>
      </c>
      <c r="C337" s="362">
        <v>127.44</v>
      </c>
      <c r="D337" s="362">
        <v>13.74775</v>
      </c>
      <c r="E337" s="362">
        <f t="shared" si="36"/>
        <v>141.18775</v>
      </c>
      <c r="F337" s="362"/>
      <c r="G337" s="362"/>
      <c r="H337" s="362"/>
      <c r="I337" s="362"/>
      <c r="J337" s="362">
        <f t="shared" si="40"/>
        <v>0</v>
      </c>
      <c r="K337" s="362">
        <f t="shared" si="37"/>
        <v>127.44</v>
      </c>
      <c r="L337" s="362">
        <f>VLOOKUP(A337,[1]Sheet1!$D$1:$E$65536,2,0)</f>
        <v>13.74775</v>
      </c>
      <c r="M337" s="362">
        <f>K337+L337</f>
        <v>141.18775</v>
      </c>
      <c r="N337" s="362">
        <f t="shared" si="38"/>
        <v>0</v>
      </c>
      <c r="O337" s="372"/>
    </row>
    <row r="338" ht="27.95" customHeight="1" spans="1:15">
      <c r="A338" s="360">
        <v>2130199</v>
      </c>
      <c r="B338" s="361" t="s">
        <v>316</v>
      </c>
      <c r="C338" s="362">
        <v>186.07</v>
      </c>
      <c r="D338" s="362">
        <v>228.2383</v>
      </c>
      <c r="E338" s="362">
        <f t="shared" si="36"/>
        <v>414.3083</v>
      </c>
      <c r="F338" s="362"/>
      <c r="G338" s="362"/>
      <c r="H338" s="362"/>
      <c r="I338" s="362"/>
      <c r="J338" s="362">
        <f t="shared" si="40"/>
        <v>0</v>
      </c>
      <c r="K338" s="362">
        <f t="shared" si="37"/>
        <v>186.07</v>
      </c>
      <c r="L338" s="362">
        <f>VLOOKUP(A338,[1]Sheet1!$D$1:$E$65536,2,0)</f>
        <v>228.2383</v>
      </c>
      <c r="M338" s="362">
        <f>K338+L338</f>
        <v>414.3083</v>
      </c>
      <c r="N338" s="362">
        <f t="shared" si="38"/>
        <v>0</v>
      </c>
      <c r="O338" s="372"/>
    </row>
    <row r="339" ht="27.95" customHeight="1" spans="1:15">
      <c r="A339" s="360">
        <v>21302</v>
      </c>
      <c r="B339" s="361" t="s">
        <v>317</v>
      </c>
      <c r="C339" s="362">
        <v>56.2</v>
      </c>
      <c r="D339" s="362">
        <v>481.9</v>
      </c>
      <c r="E339" s="362">
        <f t="shared" si="36"/>
        <v>538.1</v>
      </c>
      <c r="F339" s="362"/>
      <c r="G339" s="362"/>
      <c r="H339" s="362"/>
      <c r="I339" s="362"/>
      <c r="J339" s="362">
        <f t="shared" si="40"/>
        <v>0</v>
      </c>
      <c r="K339" s="362">
        <f t="shared" si="37"/>
        <v>56.2</v>
      </c>
      <c r="L339" s="362">
        <f>SUM(L340:L346)</f>
        <v>481.9</v>
      </c>
      <c r="M339" s="362">
        <f>K339+L339</f>
        <v>538.1</v>
      </c>
      <c r="N339" s="362">
        <f t="shared" si="38"/>
        <v>0</v>
      </c>
      <c r="O339" s="372"/>
    </row>
    <row r="340" ht="27.95" customHeight="1" spans="1:15">
      <c r="A340" s="360">
        <v>2130205</v>
      </c>
      <c r="B340" s="361" t="s">
        <v>318</v>
      </c>
      <c r="C340" s="362">
        <v>14.2</v>
      </c>
      <c r="D340" s="362">
        <v>136.85</v>
      </c>
      <c r="E340" s="362">
        <f t="shared" si="36"/>
        <v>151.05</v>
      </c>
      <c r="F340" s="362"/>
      <c r="G340" s="362"/>
      <c r="H340" s="362"/>
      <c r="I340" s="362"/>
      <c r="J340" s="362">
        <f t="shared" si="40"/>
        <v>0</v>
      </c>
      <c r="K340" s="362">
        <f t="shared" si="37"/>
        <v>14.2</v>
      </c>
      <c r="L340" s="362">
        <f>VLOOKUP(A340,[1]Sheet1!$D$1:$E$65536,2,0)</f>
        <v>136.85</v>
      </c>
      <c r="M340" s="362">
        <f>K340+L340</f>
        <v>151.05</v>
      </c>
      <c r="N340" s="362">
        <f t="shared" si="38"/>
        <v>0</v>
      </c>
      <c r="O340" s="372"/>
    </row>
    <row r="341" ht="27.95" customHeight="1" spans="1:15">
      <c r="A341" s="360">
        <v>2130209</v>
      </c>
      <c r="B341" s="361" t="s">
        <v>319</v>
      </c>
      <c r="C341" s="362"/>
      <c r="D341" s="362">
        <v>191.85</v>
      </c>
      <c r="E341" s="362">
        <f t="shared" si="36"/>
        <v>191.85</v>
      </c>
      <c r="F341" s="362"/>
      <c r="G341" s="362"/>
      <c r="H341" s="362"/>
      <c r="I341" s="362"/>
      <c r="J341" s="362">
        <f t="shared" si="40"/>
        <v>0</v>
      </c>
      <c r="K341" s="362">
        <f t="shared" si="37"/>
        <v>0</v>
      </c>
      <c r="L341" s="362">
        <v>191.85</v>
      </c>
      <c r="M341" s="362">
        <f>L341+K341</f>
        <v>191.85</v>
      </c>
      <c r="N341" s="362">
        <f t="shared" si="38"/>
        <v>0</v>
      </c>
      <c r="O341" s="372"/>
    </row>
    <row r="342" ht="27.95" customHeight="1" spans="1:15">
      <c r="A342" s="360">
        <v>2130211</v>
      </c>
      <c r="B342" s="361" t="s">
        <v>320</v>
      </c>
      <c r="C342" s="362">
        <v>2</v>
      </c>
      <c r="D342" s="362">
        <v>0</v>
      </c>
      <c r="E342" s="362">
        <f t="shared" ref="E342:E405" si="41">C342+D342</f>
        <v>2</v>
      </c>
      <c r="F342" s="362"/>
      <c r="G342" s="362"/>
      <c r="H342" s="362"/>
      <c r="I342" s="362"/>
      <c r="J342" s="362">
        <f t="shared" si="40"/>
        <v>0</v>
      </c>
      <c r="K342" s="362">
        <f t="shared" ref="K342:K405" si="42">F342+C342</f>
        <v>2</v>
      </c>
      <c r="L342" s="362"/>
      <c r="M342" s="362">
        <f>K342+L342</f>
        <v>2</v>
      </c>
      <c r="N342" s="362">
        <f t="shared" ref="N342:N405" si="43">(M342/E342-1)*100</f>
        <v>0</v>
      </c>
      <c r="O342" s="372"/>
    </row>
    <row r="343" ht="27.95" customHeight="1" spans="1:15">
      <c r="A343" s="360">
        <v>2130212</v>
      </c>
      <c r="B343" s="361" t="s">
        <v>321</v>
      </c>
      <c r="C343" s="362">
        <v>2</v>
      </c>
      <c r="D343" s="362">
        <v>0</v>
      </c>
      <c r="E343" s="362">
        <f t="shared" si="41"/>
        <v>2</v>
      </c>
      <c r="F343" s="362"/>
      <c r="G343" s="362"/>
      <c r="H343" s="362"/>
      <c r="I343" s="362"/>
      <c r="J343" s="362">
        <f t="shared" si="40"/>
        <v>0</v>
      </c>
      <c r="K343" s="362">
        <f t="shared" si="42"/>
        <v>2</v>
      </c>
      <c r="L343" s="362"/>
      <c r="M343" s="362">
        <f>K343+L343</f>
        <v>2</v>
      </c>
      <c r="N343" s="362">
        <f t="shared" si="43"/>
        <v>0</v>
      </c>
      <c r="O343" s="372"/>
    </row>
    <row r="344" ht="27.95" customHeight="1" spans="1:15">
      <c r="A344" s="360">
        <v>2130213</v>
      </c>
      <c r="B344" s="361" t="s">
        <v>322</v>
      </c>
      <c r="C344" s="362">
        <v>2</v>
      </c>
      <c r="D344" s="362">
        <v>0</v>
      </c>
      <c r="E344" s="362">
        <f t="shared" si="41"/>
        <v>2</v>
      </c>
      <c r="F344" s="362"/>
      <c r="G344" s="362"/>
      <c r="H344" s="362"/>
      <c r="I344" s="362"/>
      <c r="J344" s="362">
        <f t="shared" si="40"/>
        <v>0</v>
      </c>
      <c r="K344" s="362">
        <f t="shared" si="42"/>
        <v>2</v>
      </c>
      <c r="L344" s="362"/>
      <c r="M344" s="362">
        <f>K344+L344</f>
        <v>2</v>
      </c>
      <c r="N344" s="362">
        <f t="shared" si="43"/>
        <v>0</v>
      </c>
      <c r="O344" s="372"/>
    </row>
    <row r="345" ht="27.95" customHeight="1" spans="1:15">
      <c r="A345" s="360">
        <v>2130234</v>
      </c>
      <c r="B345" s="361" t="s">
        <v>323</v>
      </c>
      <c r="C345" s="362">
        <v>36</v>
      </c>
      <c r="D345" s="362">
        <v>68</v>
      </c>
      <c r="E345" s="362">
        <f t="shared" si="41"/>
        <v>104</v>
      </c>
      <c r="F345" s="362"/>
      <c r="G345" s="362"/>
      <c r="H345" s="362"/>
      <c r="I345" s="362"/>
      <c r="J345" s="362">
        <f t="shared" si="40"/>
        <v>0</v>
      </c>
      <c r="K345" s="362">
        <f t="shared" si="42"/>
        <v>36</v>
      </c>
      <c r="L345" s="362">
        <f>VLOOKUP(A345,[1]Sheet1!$D$1:$E$65536,2,0)</f>
        <v>68</v>
      </c>
      <c r="M345" s="362">
        <f>K345+L345</f>
        <v>104</v>
      </c>
      <c r="N345" s="362">
        <f t="shared" si="43"/>
        <v>0</v>
      </c>
      <c r="O345" s="372"/>
    </row>
    <row r="346" ht="27.95" customHeight="1" spans="1:15">
      <c r="A346" s="360">
        <v>2130299</v>
      </c>
      <c r="B346" s="361" t="s">
        <v>324</v>
      </c>
      <c r="C346" s="362"/>
      <c r="D346" s="362">
        <v>85.2</v>
      </c>
      <c r="E346" s="362">
        <f t="shared" si="41"/>
        <v>85.2</v>
      </c>
      <c r="F346" s="362"/>
      <c r="G346" s="362"/>
      <c r="H346" s="362"/>
      <c r="I346" s="362"/>
      <c r="J346" s="362">
        <f t="shared" si="40"/>
        <v>0</v>
      </c>
      <c r="K346" s="362">
        <f t="shared" si="42"/>
        <v>0</v>
      </c>
      <c r="L346" s="362">
        <f>VLOOKUP(A346,[1]Sheet1!$D$1:$E$65536,2,0)</f>
        <v>85.2</v>
      </c>
      <c r="M346" s="362">
        <f>L346+K346</f>
        <v>85.2</v>
      </c>
      <c r="N346" s="362">
        <f t="shared" si="43"/>
        <v>0</v>
      </c>
      <c r="O346" s="372"/>
    </row>
    <row r="347" ht="27.95" customHeight="1" spans="1:15">
      <c r="A347" s="360">
        <v>21303</v>
      </c>
      <c r="B347" s="361" t="s">
        <v>325</v>
      </c>
      <c r="C347" s="362">
        <v>1862.2</v>
      </c>
      <c r="D347" s="362">
        <v>6589.41</v>
      </c>
      <c r="E347" s="362">
        <f t="shared" si="41"/>
        <v>8451.61</v>
      </c>
      <c r="F347" s="362">
        <f>F348+F354</f>
        <v>94</v>
      </c>
      <c r="G347" s="362"/>
      <c r="H347" s="362"/>
      <c r="I347" s="362"/>
      <c r="J347" s="362">
        <f t="shared" si="40"/>
        <v>0</v>
      </c>
      <c r="K347" s="362">
        <f t="shared" si="42"/>
        <v>1956.2</v>
      </c>
      <c r="L347" s="362">
        <f>SUM(L348:L360)</f>
        <v>6589.41</v>
      </c>
      <c r="M347" s="362">
        <f t="shared" ref="M347:M358" si="44">K347+L347</f>
        <v>8545.61</v>
      </c>
      <c r="N347" s="362">
        <f t="shared" si="43"/>
        <v>1.1122141225163</v>
      </c>
      <c r="O347" s="372"/>
    </row>
    <row r="348" ht="30" customHeight="1" spans="1:15">
      <c r="A348" s="360">
        <v>2130301</v>
      </c>
      <c r="B348" s="361" t="s">
        <v>46</v>
      </c>
      <c r="C348" s="362">
        <v>350.08</v>
      </c>
      <c r="D348" s="362">
        <v>0</v>
      </c>
      <c r="E348" s="362">
        <f t="shared" si="41"/>
        <v>350.08</v>
      </c>
      <c r="F348" s="362">
        <v>77</v>
      </c>
      <c r="G348" s="362"/>
      <c r="H348" s="362"/>
      <c r="I348" s="362"/>
      <c r="J348" s="362">
        <f t="shared" si="40"/>
        <v>0</v>
      </c>
      <c r="K348" s="362">
        <f t="shared" si="42"/>
        <v>427.08</v>
      </c>
      <c r="L348" s="362"/>
      <c r="M348" s="362">
        <f t="shared" si="44"/>
        <v>427.08</v>
      </c>
      <c r="N348" s="362">
        <f t="shared" si="43"/>
        <v>21.9949725776965</v>
      </c>
      <c r="O348" s="372" t="s">
        <v>47</v>
      </c>
    </row>
    <row r="349" ht="27.95" customHeight="1" spans="1:15">
      <c r="A349" s="360">
        <v>2130304</v>
      </c>
      <c r="B349" s="361" t="s">
        <v>326</v>
      </c>
      <c r="C349" s="362">
        <v>23.2</v>
      </c>
      <c r="D349" s="362">
        <v>0</v>
      </c>
      <c r="E349" s="362">
        <f t="shared" si="41"/>
        <v>23.2</v>
      </c>
      <c r="F349" s="362"/>
      <c r="G349" s="362"/>
      <c r="H349" s="362"/>
      <c r="I349" s="362"/>
      <c r="J349" s="362">
        <f t="shared" si="40"/>
        <v>0</v>
      </c>
      <c r="K349" s="362">
        <f t="shared" si="42"/>
        <v>23.2</v>
      </c>
      <c r="L349" s="362"/>
      <c r="M349" s="362">
        <f t="shared" si="44"/>
        <v>23.2</v>
      </c>
      <c r="N349" s="362">
        <f t="shared" si="43"/>
        <v>0</v>
      </c>
      <c r="O349" s="372"/>
    </row>
    <row r="350" ht="27.95" customHeight="1" spans="1:15">
      <c r="A350" s="360">
        <v>2130305</v>
      </c>
      <c r="B350" s="361" t="s">
        <v>327</v>
      </c>
      <c r="C350" s="362">
        <v>1158</v>
      </c>
      <c r="D350" s="362">
        <v>6139.87</v>
      </c>
      <c r="E350" s="362">
        <f t="shared" si="41"/>
        <v>7297.87</v>
      </c>
      <c r="F350" s="362"/>
      <c r="G350" s="362"/>
      <c r="H350" s="362"/>
      <c r="I350" s="362"/>
      <c r="J350" s="362">
        <f t="shared" si="40"/>
        <v>0</v>
      </c>
      <c r="K350" s="362">
        <f t="shared" si="42"/>
        <v>1158</v>
      </c>
      <c r="L350" s="362">
        <f>VLOOKUP(A350,[1]Sheet1!$D$1:$E$65536,2,0)+5913.87</f>
        <v>6139.87</v>
      </c>
      <c r="M350" s="362">
        <f t="shared" si="44"/>
        <v>7297.87</v>
      </c>
      <c r="N350" s="362">
        <f t="shared" si="43"/>
        <v>0</v>
      </c>
      <c r="O350" s="372"/>
    </row>
    <row r="351" ht="27.95" customHeight="1" spans="1:15">
      <c r="A351" s="360">
        <v>2130306</v>
      </c>
      <c r="B351" s="361" t="s">
        <v>328</v>
      </c>
      <c r="C351" s="362">
        <v>24.2</v>
      </c>
      <c r="D351" s="362">
        <v>57.04</v>
      </c>
      <c r="E351" s="362">
        <f t="shared" si="41"/>
        <v>81.24</v>
      </c>
      <c r="F351" s="362"/>
      <c r="G351" s="362"/>
      <c r="H351" s="362"/>
      <c r="I351" s="362"/>
      <c r="J351" s="362">
        <f t="shared" si="40"/>
        <v>0</v>
      </c>
      <c r="K351" s="362">
        <f t="shared" si="42"/>
        <v>24.2</v>
      </c>
      <c r="L351" s="362">
        <f>VLOOKUP(A351,[1]Sheet1!$D$1:$E$65536,2,0)</f>
        <v>57.04</v>
      </c>
      <c r="M351" s="362">
        <f t="shared" si="44"/>
        <v>81.24</v>
      </c>
      <c r="N351" s="362">
        <f t="shared" si="43"/>
        <v>0</v>
      </c>
      <c r="O351" s="372"/>
    </row>
    <row r="352" ht="27.95" customHeight="1" spans="1:15">
      <c r="A352" s="360">
        <v>2130308</v>
      </c>
      <c r="B352" s="361" t="s">
        <v>329</v>
      </c>
      <c r="C352" s="362">
        <v>95</v>
      </c>
      <c r="D352" s="362">
        <v>0</v>
      </c>
      <c r="E352" s="362">
        <f t="shared" si="41"/>
        <v>95</v>
      </c>
      <c r="F352" s="362"/>
      <c r="G352" s="362"/>
      <c r="H352" s="362"/>
      <c r="I352" s="362"/>
      <c r="J352" s="362">
        <f t="shared" si="40"/>
        <v>0</v>
      </c>
      <c r="K352" s="362">
        <f t="shared" si="42"/>
        <v>95</v>
      </c>
      <c r="L352" s="362"/>
      <c r="M352" s="362">
        <f t="shared" si="44"/>
        <v>95</v>
      </c>
      <c r="N352" s="362">
        <f t="shared" si="43"/>
        <v>0</v>
      </c>
      <c r="O352" s="372"/>
    </row>
    <row r="353" ht="27.95" customHeight="1" spans="1:15">
      <c r="A353" s="360">
        <v>2130310</v>
      </c>
      <c r="B353" s="361" t="s">
        <v>330</v>
      </c>
      <c r="C353" s="362">
        <v>2</v>
      </c>
      <c r="D353" s="362">
        <v>0</v>
      </c>
      <c r="E353" s="362">
        <f t="shared" si="41"/>
        <v>2</v>
      </c>
      <c r="F353" s="362"/>
      <c r="G353" s="362"/>
      <c r="H353" s="362"/>
      <c r="I353" s="362"/>
      <c r="J353" s="362">
        <f t="shared" si="40"/>
        <v>0</v>
      </c>
      <c r="K353" s="362">
        <f t="shared" si="42"/>
        <v>2</v>
      </c>
      <c r="L353" s="362"/>
      <c r="M353" s="362">
        <f t="shared" si="44"/>
        <v>2</v>
      </c>
      <c r="N353" s="362">
        <f t="shared" si="43"/>
        <v>0</v>
      </c>
      <c r="O353" s="372"/>
    </row>
    <row r="354" ht="30" customHeight="1" spans="1:15">
      <c r="A354" s="360">
        <v>2130311</v>
      </c>
      <c r="B354" s="361" t="s">
        <v>331</v>
      </c>
      <c r="C354" s="362">
        <v>109.72</v>
      </c>
      <c r="D354" s="362">
        <v>1.5</v>
      </c>
      <c r="E354" s="362">
        <f t="shared" si="41"/>
        <v>111.22</v>
      </c>
      <c r="F354" s="362">
        <v>17</v>
      </c>
      <c r="G354" s="362"/>
      <c r="H354" s="362"/>
      <c r="I354" s="362"/>
      <c r="J354" s="362">
        <f t="shared" si="40"/>
        <v>0</v>
      </c>
      <c r="K354" s="362">
        <f t="shared" si="42"/>
        <v>126.72</v>
      </c>
      <c r="L354" s="362">
        <v>1.5</v>
      </c>
      <c r="M354" s="362">
        <f t="shared" si="44"/>
        <v>128.22</v>
      </c>
      <c r="N354" s="362">
        <f t="shared" si="43"/>
        <v>15.2850206797339</v>
      </c>
      <c r="O354" s="372" t="s">
        <v>47</v>
      </c>
    </row>
    <row r="355" ht="27.95" customHeight="1" spans="1:15">
      <c r="A355" s="360">
        <v>2130314</v>
      </c>
      <c r="B355" s="361" t="s">
        <v>332</v>
      </c>
      <c r="C355" s="362">
        <v>2</v>
      </c>
      <c r="D355" s="362">
        <v>80</v>
      </c>
      <c r="E355" s="362">
        <f t="shared" si="41"/>
        <v>82</v>
      </c>
      <c r="F355" s="362"/>
      <c r="G355" s="362"/>
      <c r="H355" s="362"/>
      <c r="I355" s="362"/>
      <c r="J355" s="362">
        <f t="shared" si="40"/>
        <v>0</v>
      </c>
      <c r="K355" s="362">
        <f t="shared" si="42"/>
        <v>2</v>
      </c>
      <c r="L355" s="362">
        <f>VLOOKUP(A355,[1]Sheet1!$D$1:$E$65536,2,0)</f>
        <v>80</v>
      </c>
      <c r="M355" s="362">
        <f t="shared" si="44"/>
        <v>82</v>
      </c>
      <c r="N355" s="362">
        <f t="shared" si="43"/>
        <v>0</v>
      </c>
      <c r="O355" s="372"/>
    </row>
    <row r="356" ht="27.95" customHeight="1" spans="1:15">
      <c r="A356" s="360">
        <v>2130315</v>
      </c>
      <c r="B356" s="361" t="s">
        <v>333</v>
      </c>
      <c r="C356" s="362">
        <v>20</v>
      </c>
      <c r="D356" s="362">
        <v>0</v>
      </c>
      <c r="E356" s="362">
        <f t="shared" si="41"/>
        <v>20</v>
      </c>
      <c r="F356" s="362"/>
      <c r="G356" s="362"/>
      <c r="H356" s="362"/>
      <c r="I356" s="362"/>
      <c r="J356" s="362">
        <f t="shared" si="40"/>
        <v>0</v>
      </c>
      <c r="K356" s="362">
        <f t="shared" si="42"/>
        <v>20</v>
      </c>
      <c r="L356" s="362"/>
      <c r="M356" s="362">
        <f t="shared" si="44"/>
        <v>20</v>
      </c>
      <c r="N356" s="362">
        <f t="shared" si="43"/>
        <v>0</v>
      </c>
      <c r="O356" s="372"/>
    </row>
    <row r="357" ht="27.95" customHeight="1" spans="1:15">
      <c r="A357" s="360">
        <v>2130316</v>
      </c>
      <c r="B357" s="361" t="s">
        <v>334</v>
      </c>
      <c r="C357" s="362">
        <v>20</v>
      </c>
      <c r="D357" s="362">
        <v>0</v>
      </c>
      <c r="E357" s="362">
        <f t="shared" si="41"/>
        <v>20</v>
      </c>
      <c r="F357" s="362"/>
      <c r="G357" s="362"/>
      <c r="H357" s="362"/>
      <c r="I357" s="362"/>
      <c r="J357" s="362">
        <f t="shared" si="40"/>
        <v>0</v>
      </c>
      <c r="K357" s="362">
        <f t="shared" si="42"/>
        <v>20</v>
      </c>
      <c r="L357" s="362"/>
      <c r="M357" s="362">
        <f t="shared" si="44"/>
        <v>20</v>
      </c>
      <c r="N357" s="362">
        <f t="shared" si="43"/>
        <v>0</v>
      </c>
      <c r="O357" s="372"/>
    </row>
    <row r="358" ht="27.95" customHeight="1" spans="1:15">
      <c r="A358" s="360">
        <v>2130317</v>
      </c>
      <c r="B358" s="361" t="s">
        <v>335</v>
      </c>
      <c r="C358" s="362">
        <v>6</v>
      </c>
      <c r="D358" s="362">
        <v>0</v>
      </c>
      <c r="E358" s="362">
        <f t="shared" si="41"/>
        <v>6</v>
      </c>
      <c r="F358" s="362"/>
      <c r="G358" s="362"/>
      <c r="H358" s="362"/>
      <c r="I358" s="362"/>
      <c r="J358" s="362">
        <f t="shared" si="40"/>
        <v>0</v>
      </c>
      <c r="K358" s="362">
        <f t="shared" si="42"/>
        <v>6</v>
      </c>
      <c r="L358" s="362"/>
      <c r="M358" s="362">
        <f t="shared" si="44"/>
        <v>6</v>
      </c>
      <c r="N358" s="362">
        <f t="shared" si="43"/>
        <v>0</v>
      </c>
      <c r="O358" s="372"/>
    </row>
    <row r="359" ht="27.95" customHeight="1" spans="1:15">
      <c r="A359" s="360">
        <v>2130322</v>
      </c>
      <c r="B359" s="361" t="s">
        <v>336</v>
      </c>
      <c r="C359" s="362"/>
      <c r="D359" s="362">
        <v>6</v>
      </c>
      <c r="E359" s="362">
        <f t="shared" si="41"/>
        <v>6</v>
      </c>
      <c r="F359" s="362"/>
      <c r="G359" s="362"/>
      <c r="H359" s="362"/>
      <c r="I359" s="362"/>
      <c r="J359" s="362">
        <f t="shared" si="40"/>
        <v>0</v>
      </c>
      <c r="K359" s="362">
        <f t="shared" si="42"/>
        <v>0</v>
      </c>
      <c r="L359" s="362">
        <f>VLOOKUP(A359,[1]Sheet1!$D$1:$E$65536,2,0)</f>
        <v>6</v>
      </c>
      <c r="M359" s="362">
        <f>L359+K359</f>
        <v>6</v>
      </c>
      <c r="N359" s="362">
        <f t="shared" si="43"/>
        <v>0</v>
      </c>
      <c r="O359" s="372"/>
    </row>
    <row r="360" ht="27.95" customHeight="1" spans="1:15">
      <c r="A360" s="360">
        <v>2130399</v>
      </c>
      <c r="B360" s="361" t="s">
        <v>337</v>
      </c>
      <c r="C360" s="362">
        <v>52</v>
      </c>
      <c r="D360" s="362">
        <v>305</v>
      </c>
      <c r="E360" s="362">
        <f t="shared" si="41"/>
        <v>357</v>
      </c>
      <c r="F360" s="362"/>
      <c r="G360" s="362"/>
      <c r="H360" s="362"/>
      <c r="I360" s="362"/>
      <c r="J360" s="362">
        <f t="shared" si="40"/>
        <v>0</v>
      </c>
      <c r="K360" s="362">
        <f t="shared" si="42"/>
        <v>52</v>
      </c>
      <c r="L360" s="362">
        <v>305</v>
      </c>
      <c r="M360" s="362">
        <f t="shared" ref="M360:M375" si="45">K360+L360</f>
        <v>357</v>
      </c>
      <c r="N360" s="362">
        <f t="shared" si="43"/>
        <v>0</v>
      </c>
      <c r="O360" s="372"/>
    </row>
    <row r="361" ht="27.95" customHeight="1" spans="1:15">
      <c r="A361" s="360">
        <v>21305</v>
      </c>
      <c r="B361" s="361" t="s">
        <v>338</v>
      </c>
      <c r="C361" s="362">
        <v>126.42</v>
      </c>
      <c r="D361" s="362">
        <v>1035.48</v>
      </c>
      <c r="E361" s="362">
        <f t="shared" si="41"/>
        <v>1161.9</v>
      </c>
      <c r="F361" s="362"/>
      <c r="G361" s="362"/>
      <c r="H361" s="362"/>
      <c r="I361" s="362"/>
      <c r="J361" s="362">
        <f t="shared" si="40"/>
        <v>0</v>
      </c>
      <c r="K361" s="362">
        <f t="shared" si="42"/>
        <v>126.42</v>
      </c>
      <c r="L361" s="362">
        <f>L362</f>
        <v>1035.48</v>
      </c>
      <c r="M361" s="362">
        <f t="shared" si="45"/>
        <v>1161.9</v>
      </c>
      <c r="N361" s="362">
        <f t="shared" si="43"/>
        <v>0</v>
      </c>
      <c r="O361" s="372"/>
    </row>
    <row r="362" ht="27.95" customHeight="1" spans="1:15">
      <c r="A362" s="360">
        <v>2130599</v>
      </c>
      <c r="B362" s="361" t="s">
        <v>339</v>
      </c>
      <c r="C362" s="362">
        <v>126.42</v>
      </c>
      <c r="D362" s="362">
        <v>1035.48</v>
      </c>
      <c r="E362" s="362">
        <f t="shared" si="41"/>
        <v>1161.9</v>
      </c>
      <c r="F362" s="362"/>
      <c r="G362" s="362"/>
      <c r="H362" s="362"/>
      <c r="I362" s="362"/>
      <c r="J362" s="362">
        <f t="shared" si="40"/>
        <v>0</v>
      </c>
      <c r="K362" s="362">
        <f t="shared" si="42"/>
        <v>126.42</v>
      </c>
      <c r="L362" s="362">
        <f>VLOOKUP(A362,[1]Sheet1!$D$1:$E$65536,2,0)+351</f>
        <v>1035.48</v>
      </c>
      <c r="M362" s="362">
        <f t="shared" si="45"/>
        <v>1161.9</v>
      </c>
      <c r="N362" s="362">
        <f t="shared" si="43"/>
        <v>0</v>
      </c>
      <c r="O362" s="372"/>
    </row>
    <row r="363" ht="27.95" customHeight="1" spans="1:15">
      <c r="A363" s="360">
        <v>21307</v>
      </c>
      <c r="B363" s="361" t="s">
        <v>340</v>
      </c>
      <c r="C363" s="362">
        <v>246.82</v>
      </c>
      <c r="D363" s="362">
        <v>4689.25</v>
      </c>
      <c r="E363" s="362">
        <f t="shared" si="41"/>
        <v>4936.07</v>
      </c>
      <c r="F363" s="362"/>
      <c r="G363" s="362"/>
      <c r="H363" s="362"/>
      <c r="I363" s="362"/>
      <c r="J363" s="362">
        <f t="shared" si="40"/>
        <v>0</v>
      </c>
      <c r="K363" s="362">
        <f t="shared" si="42"/>
        <v>246.82</v>
      </c>
      <c r="L363" s="362">
        <f>L364+L365</f>
        <v>4689.25</v>
      </c>
      <c r="M363" s="362">
        <f t="shared" si="45"/>
        <v>4936.07</v>
      </c>
      <c r="N363" s="362">
        <f t="shared" si="43"/>
        <v>0</v>
      </c>
      <c r="O363" s="372"/>
    </row>
    <row r="364" ht="27.95" customHeight="1" spans="1:15">
      <c r="A364" s="360">
        <v>2130701</v>
      </c>
      <c r="B364" s="361" t="s">
        <v>341</v>
      </c>
      <c r="C364" s="362">
        <v>43.28</v>
      </c>
      <c r="D364" s="362">
        <v>389.25</v>
      </c>
      <c r="E364" s="362">
        <f t="shared" si="41"/>
        <v>432.53</v>
      </c>
      <c r="F364" s="362"/>
      <c r="G364" s="362"/>
      <c r="H364" s="362"/>
      <c r="I364" s="362"/>
      <c r="J364" s="362">
        <f t="shared" si="40"/>
        <v>0</v>
      </c>
      <c r="K364" s="362">
        <f t="shared" si="42"/>
        <v>43.28</v>
      </c>
      <c r="L364" s="362">
        <f>VLOOKUP(A364,[1]Sheet1!$D$1:$E$65536,2,0)-0.25</f>
        <v>389.25</v>
      </c>
      <c r="M364" s="362">
        <f t="shared" si="45"/>
        <v>432.53</v>
      </c>
      <c r="N364" s="362">
        <f t="shared" si="43"/>
        <v>0</v>
      </c>
      <c r="O364" s="372"/>
    </row>
    <row r="365" ht="27.95" customHeight="1" spans="1:15">
      <c r="A365" s="360">
        <v>2130706</v>
      </c>
      <c r="B365" s="361" t="s">
        <v>342</v>
      </c>
      <c r="C365" s="362">
        <v>200</v>
      </c>
      <c r="D365" s="362">
        <v>4300</v>
      </c>
      <c r="E365" s="362">
        <f t="shared" si="41"/>
        <v>4500</v>
      </c>
      <c r="F365" s="362"/>
      <c r="G365" s="362"/>
      <c r="H365" s="362"/>
      <c r="I365" s="362"/>
      <c r="J365" s="362">
        <f t="shared" si="40"/>
        <v>0</v>
      </c>
      <c r="K365" s="362">
        <f t="shared" si="42"/>
        <v>200</v>
      </c>
      <c r="L365" s="362">
        <f>VLOOKUP(A365,[1]Sheet1!$D$1:$E$65536,2,0)</f>
        <v>4300</v>
      </c>
      <c r="M365" s="362">
        <f t="shared" si="45"/>
        <v>4500</v>
      </c>
      <c r="N365" s="362">
        <f t="shared" si="43"/>
        <v>0</v>
      </c>
      <c r="O365" s="372"/>
    </row>
    <row r="366" ht="27.95" customHeight="1" spans="1:15">
      <c r="A366" s="360">
        <v>2130799</v>
      </c>
      <c r="B366" s="361" t="s">
        <v>343</v>
      </c>
      <c r="C366" s="362">
        <v>3.54</v>
      </c>
      <c r="D366" s="362">
        <v>0</v>
      </c>
      <c r="E366" s="362">
        <f t="shared" si="41"/>
        <v>3.54</v>
      </c>
      <c r="F366" s="362"/>
      <c r="G366" s="362"/>
      <c r="H366" s="362"/>
      <c r="I366" s="362"/>
      <c r="J366" s="362">
        <f t="shared" si="40"/>
        <v>0</v>
      </c>
      <c r="K366" s="362">
        <f t="shared" si="42"/>
        <v>3.54</v>
      </c>
      <c r="L366" s="362"/>
      <c r="M366" s="362">
        <f t="shared" si="45"/>
        <v>3.54</v>
      </c>
      <c r="N366" s="362">
        <f t="shared" si="43"/>
        <v>0</v>
      </c>
      <c r="O366" s="372"/>
    </row>
    <row r="367" ht="27.95" customHeight="1" spans="1:15">
      <c r="A367" s="360">
        <v>21308</v>
      </c>
      <c r="B367" s="361" t="s">
        <v>344</v>
      </c>
      <c r="C367" s="362">
        <v>30.8</v>
      </c>
      <c r="D367" s="362">
        <v>0</v>
      </c>
      <c r="E367" s="362">
        <f t="shared" si="41"/>
        <v>30.8</v>
      </c>
      <c r="F367" s="362"/>
      <c r="G367" s="362"/>
      <c r="H367" s="362"/>
      <c r="I367" s="362"/>
      <c r="J367" s="362">
        <f t="shared" si="40"/>
        <v>0</v>
      </c>
      <c r="K367" s="362">
        <f t="shared" si="42"/>
        <v>30.8</v>
      </c>
      <c r="L367" s="362"/>
      <c r="M367" s="362">
        <f t="shared" si="45"/>
        <v>30.8</v>
      </c>
      <c r="N367" s="362">
        <f t="shared" si="43"/>
        <v>0</v>
      </c>
      <c r="O367" s="372"/>
    </row>
    <row r="368" ht="27.95" customHeight="1" spans="1:15">
      <c r="A368" s="360">
        <v>2130803</v>
      </c>
      <c r="B368" s="361" t="s">
        <v>345</v>
      </c>
      <c r="C368" s="362">
        <v>12.8</v>
      </c>
      <c r="D368" s="362">
        <v>0</v>
      </c>
      <c r="E368" s="362">
        <f t="shared" si="41"/>
        <v>12.8</v>
      </c>
      <c r="F368" s="362"/>
      <c r="G368" s="362"/>
      <c r="H368" s="362"/>
      <c r="I368" s="362"/>
      <c r="J368" s="362">
        <f t="shared" ref="J368:J431" si="46">L368-D368</f>
        <v>0</v>
      </c>
      <c r="K368" s="362">
        <f t="shared" si="42"/>
        <v>12.8</v>
      </c>
      <c r="L368" s="362"/>
      <c r="M368" s="362">
        <f t="shared" si="45"/>
        <v>12.8</v>
      </c>
      <c r="N368" s="362">
        <f t="shared" si="43"/>
        <v>0</v>
      </c>
      <c r="O368" s="372"/>
    </row>
    <row r="369" ht="27.95" customHeight="1" spans="1:15">
      <c r="A369" s="360">
        <v>2130804</v>
      </c>
      <c r="B369" s="361" t="s">
        <v>346</v>
      </c>
      <c r="C369" s="362">
        <v>18</v>
      </c>
      <c r="D369" s="362">
        <v>0</v>
      </c>
      <c r="E369" s="362">
        <f t="shared" si="41"/>
        <v>18</v>
      </c>
      <c r="F369" s="362"/>
      <c r="G369" s="362"/>
      <c r="H369" s="362"/>
      <c r="I369" s="362"/>
      <c r="J369" s="362">
        <f t="shared" si="46"/>
        <v>0</v>
      </c>
      <c r="K369" s="362">
        <f t="shared" si="42"/>
        <v>18</v>
      </c>
      <c r="L369" s="362"/>
      <c r="M369" s="362">
        <f t="shared" si="45"/>
        <v>18</v>
      </c>
      <c r="N369" s="362">
        <f t="shared" si="43"/>
        <v>0</v>
      </c>
      <c r="O369" s="372"/>
    </row>
    <row r="370" ht="27.95" customHeight="1" spans="1:15">
      <c r="A370" s="360">
        <v>21399</v>
      </c>
      <c r="B370" s="361" t="s">
        <v>347</v>
      </c>
      <c r="C370" s="362">
        <v>857.3</v>
      </c>
      <c r="D370" s="362">
        <v>1.82</v>
      </c>
      <c r="E370" s="362">
        <f t="shared" si="41"/>
        <v>859.12</v>
      </c>
      <c r="F370" s="362"/>
      <c r="G370" s="362"/>
      <c r="H370" s="362"/>
      <c r="I370" s="362"/>
      <c r="J370" s="362">
        <f t="shared" si="46"/>
        <v>0</v>
      </c>
      <c r="K370" s="362">
        <f t="shared" si="42"/>
        <v>857.3</v>
      </c>
      <c r="L370" s="362">
        <f>L371</f>
        <v>1.82</v>
      </c>
      <c r="M370" s="362">
        <f t="shared" si="45"/>
        <v>859.12</v>
      </c>
      <c r="N370" s="362">
        <f t="shared" si="43"/>
        <v>0</v>
      </c>
      <c r="O370" s="372"/>
    </row>
    <row r="371" ht="27.95" customHeight="1" spans="1:15">
      <c r="A371" s="360">
        <v>2139999</v>
      </c>
      <c r="B371" s="361" t="s">
        <v>347</v>
      </c>
      <c r="C371" s="362">
        <v>857.3</v>
      </c>
      <c r="D371" s="362">
        <v>1.82</v>
      </c>
      <c r="E371" s="362">
        <f t="shared" si="41"/>
        <v>859.12</v>
      </c>
      <c r="F371" s="362"/>
      <c r="G371" s="362"/>
      <c r="H371" s="362"/>
      <c r="I371" s="362"/>
      <c r="J371" s="362">
        <f t="shared" si="46"/>
        <v>0</v>
      </c>
      <c r="K371" s="362">
        <f t="shared" si="42"/>
        <v>857.3</v>
      </c>
      <c r="L371" s="362">
        <f>VLOOKUP(A371,[1]Sheet1!$D$1:$E$65536,2,0)+0.86</f>
        <v>1.82</v>
      </c>
      <c r="M371" s="362">
        <f t="shared" si="45"/>
        <v>859.12</v>
      </c>
      <c r="N371" s="362">
        <f t="shared" si="43"/>
        <v>0</v>
      </c>
      <c r="O371" s="372"/>
    </row>
    <row r="372" ht="27.95" customHeight="1" spans="1:15">
      <c r="A372" s="360">
        <v>214</v>
      </c>
      <c r="B372" s="361" t="s">
        <v>348</v>
      </c>
      <c r="C372" s="362">
        <v>172.42</v>
      </c>
      <c r="D372" s="362">
        <v>214.02</v>
      </c>
      <c r="E372" s="362">
        <f t="shared" si="41"/>
        <v>386.44</v>
      </c>
      <c r="F372" s="362"/>
      <c r="G372" s="362"/>
      <c r="H372" s="362"/>
      <c r="I372" s="362"/>
      <c r="J372" s="362">
        <f t="shared" si="46"/>
        <v>0</v>
      </c>
      <c r="K372" s="362">
        <f t="shared" si="42"/>
        <v>172.42</v>
      </c>
      <c r="L372" s="362">
        <f>L373+L376+L378</f>
        <v>214.02</v>
      </c>
      <c r="M372" s="362">
        <f t="shared" si="45"/>
        <v>386.44</v>
      </c>
      <c r="N372" s="362">
        <f t="shared" si="43"/>
        <v>0</v>
      </c>
      <c r="O372" s="372"/>
    </row>
    <row r="373" ht="27.95" customHeight="1" spans="1:15">
      <c r="A373" s="360">
        <v>21401</v>
      </c>
      <c r="B373" s="361" t="s">
        <v>349</v>
      </c>
      <c r="C373" s="362">
        <v>154.42</v>
      </c>
      <c r="D373" s="362">
        <v>150</v>
      </c>
      <c r="E373" s="362">
        <f t="shared" si="41"/>
        <v>304.42</v>
      </c>
      <c r="F373" s="362"/>
      <c r="G373" s="362"/>
      <c r="H373" s="362"/>
      <c r="I373" s="362"/>
      <c r="J373" s="362">
        <f t="shared" si="46"/>
        <v>0</v>
      </c>
      <c r="K373" s="362">
        <f t="shared" si="42"/>
        <v>154.42</v>
      </c>
      <c r="L373" s="362">
        <f>L374</f>
        <v>150</v>
      </c>
      <c r="M373" s="362">
        <f t="shared" si="45"/>
        <v>304.42</v>
      </c>
      <c r="N373" s="362">
        <f t="shared" si="43"/>
        <v>0</v>
      </c>
      <c r="O373" s="372"/>
    </row>
    <row r="374" ht="27.95" customHeight="1" spans="1:15">
      <c r="A374" s="360">
        <v>2140104</v>
      </c>
      <c r="B374" s="361" t="s">
        <v>350</v>
      </c>
      <c r="C374" s="362">
        <v>100</v>
      </c>
      <c r="D374" s="362">
        <v>150</v>
      </c>
      <c r="E374" s="362">
        <f t="shared" si="41"/>
        <v>250</v>
      </c>
      <c r="F374" s="362"/>
      <c r="G374" s="362"/>
      <c r="H374" s="362"/>
      <c r="I374" s="362"/>
      <c r="J374" s="362">
        <f t="shared" si="46"/>
        <v>0</v>
      </c>
      <c r="K374" s="362">
        <f t="shared" si="42"/>
        <v>100</v>
      </c>
      <c r="L374" s="362">
        <f>VLOOKUP(A374,[1]Sheet1!$D$1:$E$65536,2,0)</f>
        <v>150</v>
      </c>
      <c r="M374" s="362">
        <f t="shared" si="45"/>
        <v>250</v>
      </c>
      <c r="N374" s="362">
        <f t="shared" si="43"/>
        <v>0</v>
      </c>
      <c r="O374" s="372"/>
    </row>
    <row r="375" ht="27.95" customHeight="1" spans="1:15">
      <c r="A375" s="360">
        <v>2140199</v>
      </c>
      <c r="B375" s="361" t="s">
        <v>351</v>
      </c>
      <c r="C375" s="362">
        <v>54.42</v>
      </c>
      <c r="D375" s="362">
        <v>0</v>
      </c>
      <c r="E375" s="362">
        <f t="shared" si="41"/>
        <v>54.42</v>
      </c>
      <c r="F375" s="362">
        <v>0</v>
      </c>
      <c r="G375" s="362"/>
      <c r="H375" s="362"/>
      <c r="I375" s="362"/>
      <c r="J375" s="362">
        <f t="shared" si="46"/>
        <v>0</v>
      </c>
      <c r="K375" s="362">
        <f t="shared" si="42"/>
        <v>54.42</v>
      </c>
      <c r="L375" s="362"/>
      <c r="M375" s="362">
        <f t="shared" si="45"/>
        <v>54.42</v>
      </c>
      <c r="N375" s="362">
        <f t="shared" si="43"/>
        <v>0</v>
      </c>
      <c r="O375" s="372"/>
    </row>
    <row r="376" ht="27.95" customHeight="1" spans="1:15">
      <c r="A376" s="360">
        <v>21404</v>
      </c>
      <c r="B376" s="361" t="s">
        <v>352</v>
      </c>
      <c r="C376" s="362"/>
      <c r="D376" s="362">
        <v>64.02</v>
      </c>
      <c r="E376" s="362">
        <f t="shared" si="41"/>
        <v>64.02</v>
      </c>
      <c r="F376" s="362"/>
      <c r="G376" s="362"/>
      <c r="H376" s="362"/>
      <c r="I376" s="362"/>
      <c r="J376" s="362">
        <f t="shared" si="46"/>
        <v>0</v>
      </c>
      <c r="K376" s="362">
        <f t="shared" si="42"/>
        <v>0</v>
      </c>
      <c r="L376" s="362">
        <f>L377</f>
        <v>64.02</v>
      </c>
      <c r="M376" s="362">
        <f>L376+K376</f>
        <v>64.02</v>
      </c>
      <c r="N376" s="362">
        <f t="shared" si="43"/>
        <v>0</v>
      </c>
      <c r="O376" s="372"/>
    </row>
    <row r="377" ht="27.95" customHeight="1" spans="1:15">
      <c r="A377" s="360">
        <v>2140403</v>
      </c>
      <c r="B377" s="361" t="s">
        <v>353</v>
      </c>
      <c r="C377" s="362"/>
      <c r="D377" s="362">
        <v>64.02</v>
      </c>
      <c r="E377" s="362">
        <f t="shared" si="41"/>
        <v>64.02</v>
      </c>
      <c r="F377" s="362"/>
      <c r="G377" s="362"/>
      <c r="H377" s="362"/>
      <c r="I377" s="362"/>
      <c r="J377" s="362">
        <f t="shared" si="46"/>
        <v>0</v>
      </c>
      <c r="K377" s="362">
        <f t="shared" si="42"/>
        <v>0</v>
      </c>
      <c r="L377" s="362">
        <f>VLOOKUP(A377,[1]Sheet1!$D$1:$E$65536,2,0)</f>
        <v>64.02</v>
      </c>
      <c r="M377" s="362">
        <f>L377+K377</f>
        <v>64.02</v>
      </c>
      <c r="N377" s="362">
        <f t="shared" si="43"/>
        <v>0</v>
      </c>
      <c r="O377" s="372"/>
    </row>
    <row r="378" ht="27.95" customHeight="1" spans="1:15">
      <c r="A378" s="360">
        <v>21499</v>
      </c>
      <c r="B378" s="361"/>
      <c r="C378" s="362">
        <v>18</v>
      </c>
      <c r="D378" s="362">
        <v>0</v>
      </c>
      <c r="E378" s="362">
        <f t="shared" si="41"/>
        <v>18</v>
      </c>
      <c r="F378" s="362"/>
      <c r="G378" s="362"/>
      <c r="H378" s="362"/>
      <c r="I378" s="362"/>
      <c r="J378" s="362">
        <f t="shared" si="46"/>
        <v>0</v>
      </c>
      <c r="K378" s="362">
        <f t="shared" si="42"/>
        <v>18</v>
      </c>
      <c r="L378" s="362"/>
      <c r="M378" s="362">
        <f>K378+L378</f>
        <v>18</v>
      </c>
      <c r="N378" s="362">
        <f t="shared" si="43"/>
        <v>0</v>
      </c>
      <c r="O378" s="372"/>
    </row>
    <row r="379" ht="27.95" customHeight="1" spans="1:15">
      <c r="A379" s="360">
        <v>2149999</v>
      </c>
      <c r="B379" s="361" t="s">
        <v>354</v>
      </c>
      <c r="C379" s="362">
        <v>18</v>
      </c>
      <c r="D379" s="362">
        <v>0</v>
      </c>
      <c r="E379" s="362">
        <f t="shared" si="41"/>
        <v>18</v>
      </c>
      <c r="F379" s="362"/>
      <c r="G379" s="362"/>
      <c r="H379" s="362"/>
      <c r="I379" s="362"/>
      <c r="J379" s="362">
        <f t="shared" si="46"/>
        <v>0</v>
      </c>
      <c r="K379" s="362">
        <f t="shared" si="42"/>
        <v>18</v>
      </c>
      <c r="L379" s="362"/>
      <c r="M379" s="362">
        <f>K379+L379</f>
        <v>18</v>
      </c>
      <c r="N379" s="362">
        <f t="shared" si="43"/>
        <v>0</v>
      </c>
      <c r="O379" s="372"/>
    </row>
    <row r="380" ht="27.95" customHeight="1" spans="1:15">
      <c r="A380" s="360">
        <v>215</v>
      </c>
      <c r="B380" s="361" t="s">
        <v>355</v>
      </c>
      <c r="C380" s="362">
        <v>2047.98</v>
      </c>
      <c r="D380" s="362">
        <v>8290</v>
      </c>
      <c r="E380" s="362">
        <f t="shared" si="41"/>
        <v>10337.98</v>
      </c>
      <c r="F380" s="362">
        <v>22</v>
      </c>
      <c r="G380" s="362"/>
      <c r="H380" s="362"/>
      <c r="I380" s="362"/>
      <c r="J380" s="362">
        <f t="shared" si="46"/>
        <v>0</v>
      </c>
      <c r="K380" s="362">
        <f t="shared" si="42"/>
        <v>2069.98</v>
      </c>
      <c r="L380" s="362">
        <f>L383+L386+L389+L381</f>
        <v>8290</v>
      </c>
      <c r="M380" s="362">
        <f>K380+L380</f>
        <v>10359.98</v>
      </c>
      <c r="N380" s="362">
        <f t="shared" si="43"/>
        <v>0.212807531065073</v>
      </c>
      <c r="O380" s="372"/>
    </row>
    <row r="381" ht="27.95" customHeight="1" spans="1:15">
      <c r="A381" s="360">
        <v>21502</v>
      </c>
      <c r="B381" s="361" t="s">
        <v>356</v>
      </c>
      <c r="C381" s="362"/>
      <c r="D381" s="362">
        <v>1000</v>
      </c>
      <c r="E381" s="362">
        <f t="shared" si="41"/>
        <v>1000</v>
      </c>
      <c r="F381" s="362"/>
      <c r="G381" s="362"/>
      <c r="H381" s="362"/>
      <c r="I381" s="362"/>
      <c r="J381" s="362">
        <f t="shared" si="46"/>
        <v>0</v>
      </c>
      <c r="K381" s="362">
        <f t="shared" si="42"/>
        <v>0</v>
      </c>
      <c r="L381" s="362">
        <v>1000</v>
      </c>
      <c r="M381" s="362">
        <f>L381+K381</f>
        <v>1000</v>
      </c>
      <c r="N381" s="362">
        <f t="shared" si="43"/>
        <v>0</v>
      </c>
      <c r="O381" s="372"/>
    </row>
    <row r="382" ht="27.95" customHeight="1" spans="1:15">
      <c r="A382" s="360">
        <v>2150299</v>
      </c>
      <c r="B382" s="361" t="s">
        <v>357</v>
      </c>
      <c r="C382" s="362"/>
      <c r="D382" s="362">
        <v>1000</v>
      </c>
      <c r="E382" s="362">
        <f t="shared" si="41"/>
        <v>1000</v>
      </c>
      <c r="F382" s="362"/>
      <c r="G382" s="362"/>
      <c r="H382" s="362"/>
      <c r="I382" s="362"/>
      <c r="J382" s="362">
        <f t="shared" si="46"/>
        <v>0</v>
      </c>
      <c r="K382" s="362">
        <f t="shared" si="42"/>
        <v>0</v>
      </c>
      <c r="L382" s="362">
        <v>1000</v>
      </c>
      <c r="M382" s="362">
        <f>L382+K382</f>
        <v>1000</v>
      </c>
      <c r="N382" s="362">
        <f t="shared" si="43"/>
        <v>0</v>
      </c>
      <c r="O382" s="372"/>
    </row>
    <row r="383" ht="27.95" customHeight="1" spans="1:15">
      <c r="A383" s="360">
        <v>21505</v>
      </c>
      <c r="B383" s="361" t="s">
        <v>358</v>
      </c>
      <c r="C383" s="362">
        <v>1766.44</v>
      </c>
      <c r="D383" s="362">
        <v>7220</v>
      </c>
      <c r="E383" s="362">
        <f t="shared" si="41"/>
        <v>8986.44</v>
      </c>
      <c r="F383" s="362">
        <v>22</v>
      </c>
      <c r="G383" s="362"/>
      <c r="H383" s="362"/>
      <c r="I383" s="362"/>
      <c r="J383" s="362">
        <f t="shared" si="46"/>
        <v>0</v>
      </c>
      <c r="K383" s="362">
        <f t="shared" si="42"/>
        <v>1788.44</v>
      </c>
      <c r="L383" s="362">
        <f>L385</f>
        <v>7220</v>
      </c>
      <c r="M383" s="362">
        <f t="shared" ref="M383:M406" si="47">K383+L383</f>
        <v>9008.44</v>
      </c>
      <c r="N383" s="362">
        <f t="shared" si="43"/>
        <v>0.244813296477808</v>
      </c>
      <c r="O383" s="372"/>
    </row>
    <row r="384" ht="30" customHeight="1" spans="1:15">
      <c r="A384" s="360">
        <v>2150501</v>
      </c>
      <c r="B384" s="361" t="s">
        <v>46</v>
      </c>
      <c r="C384" s="362">
        <v>89.44</v>
      </c>
      <c r="D384" s="362">
        <v>0</v>
      </c>
      <c r="E384" s="362">
        <f t="shared" si="41"/>
        <v>89.44</v>
      </c>
      <c r="F384" s="362">
        <v>22</v>
      </c>
      <c r="G384" s="362"/>
      <c r="H384" s="362"/>
      <c r="I384" s="362"/>
      <c r="J384" s="362">
        <f t="shared" si="46"/>
        <v>0</v>
      </c>
      <c r="K384" s="362">
        <f t="shared" si="42"/>
        <v>111.44</v>
      </c>
      <c r="L384" s="362"/>
      <c r="M384" s="362">
        <f t="shared" si="47"/>
        <v>111.44</v>
      </c>
      <c r="N384" s="362">
        <f t="shared" si="43"/>
        <v>24.5974955277281</v>
      </c>
      <c r="O384" s="372" t="s">
        <v>47</v>
      </c>
    </row>
    <row r="385" ht="27.95" customHeight="1" spans="1:15">
      <c r="A385" s="360">
        <v>2150599</v>
      </c>
      <c r="B385" s="361" t="s">
        <v>359</v>
      </c>
      <c r="C385" s="362">
        <v>1677</v>
      </c>
      <c r="D385" s="362">
        <v>7220</v>
      </c>
      <c r="E385" s="362">
        <f t="shared" si="41"/>
        <v>8897</v>
      </c>
      <c r="F385" s="362"/>
      <c r="G385" s="362"/>
      <c r="H385" s="362"/>
      <c r="I385" s="362"/>
      <c r="J385" s="362">
        <f t="shared" si="46"/>
        <v>0</v>
      </c>
      <c r="K385" s="362">
        <f t="shared" si="42"/>
        <v>1677</v>
      </c>
      <c r="L385" s="362">
        <f>VLOOKUP(A385,[1]Sheet1!$D$1:$E$65536,2,0)</f>
        <v>7220</v>
      </c>
      <c r="M385" s="362">
        <f t="shared" si="47"/>
        <v>8897</v>
      </c>
      <c r="N385" s="362">
        <f t="shared" si="43"/>
        <v>0</v>
      </c>
      <c r="O385" s="372"/>
    </row>
    <row r="386" ht="27.95" customHeight="1" spans="1:15">
      <c r="A386" s="360">
        <v>21506</v>
      </c>
      <c r="B386" s="361" t="s">
        <v>360</v>
      </c>
      <c r="C386" s="362">
        <v>116.54</v>
      </c>
      <c r="D386" s="362">
        <v>70</v>
      </c>
      <c r="E386" s="362">
        <f t="shared" si="41"/>
        <v>186.54</v>
      </c>
      <c r="F386" s="362"/>
      <c r="G386" s="362"/>
      <c r="H386" s="362"/>
      <c r="I386" s="362"/>
      <c r="J386" s="362">
        <f t="shared" si="46"/>
        <v>0</v>
      </c>
      <c r="K386" s="362">
        <f t="shared" si="42"/>
        <v>116.54</v>
      </c>
      <c r="L386" s="362">
        <f>L388</f>
        <v>70</v>
      </c>
      <c r="M386" s="362">
        <f t="shared" si="47"/>
        <v>186.54</v>
      </c>
      <c r="N386" s="362">
        <f t="shared" si="43"/>
        <v>0</v>
      </c>
      <c r="O386" s="372"/>
    </row>
    <row r="387" ht="27.95" customHeight="1" spans="1:15">
      <c r="A387" s="360">
        <v>2150605</v>
      </c>
      <c r="B387" s="361" t="s">
        <v>361</v>
      </c>
      <c r="C387" s="362">
        <v>20</v>
      </c>
      <c r="D387" s="362">
        <v>0</v>
      </c>
      <c r="E387" s="362">
        <f t="shared" si="41"/>
        <v>20</v>
      </c>
      <c r="F387" s="362"/>
      <c r="G387" s="362"/>
      <c r="H387" s="362"/>
      <c r="I387" s="362"/>
      <c r="J387" s="362">
        <f t="shared" si="46"/>
        <v>0</v>
      </c>
      <c r="K387" s="362">
        <f t="shared" si="42"/>
        <v>20</v>
      </c>
      <c r="L387" s="362"/>
      <c r="M387" s="362">
        <f t="shared" si="47"/>
        <v>20</v>
      </c>
      <c r="N387" s="362">
        <f t="shared" si="43"/>
        <v>0</v>
      </c>
      <c r="O387" s="372"/>
    </row>
    <row r="388" ht="27.95" customHeight="1" spans="1:15">
      <c r="A388" s="360">
        <v>2150699</v>
      </c>
      <c r="B388" s="361" t="s">
        <v>362</v>
      </c>
      <c r="C388" s="362">
        <v>96.54</v>
      </c>
      <c r="D388" s="362">
        <v>70</v>
      </c>
      <c r="E388" s="362">
        <f t="shared" si="41"/>
        <v>166.54</v>
      </c>
      <c r="F388" s="362"/>
      <c r="G388" s="362"/>
      <c r="H388" s="362"/>
      <c r="I388" s="362"/>
      <c r="J388" s="362">
        <f t="shared" si="46"/>
        <v>0</v>
      </c>
      <c r="K388" s="362">
        <f t="shared" si="42"/>
        <v>96.54</v>
      </c>
      <c r="L388" s="362">
        <f>VLOOKUP(A388,[1]Sheet1!$D$1:$E$65536,2,0)</f>
        <v>70</v>
      </c>
      <c r="M388" s="362">
        <f t="shared" si="47"/>
        <v>166.54</v>
      </c>
      <c r="N388" s="362">
        <f t="shared" si="43"/>
        <v>0</v>
      </c>
      <c r="O388" s="372"/>
    </row>
    <row r="389" ht="27.95" customHeight="1" spans="1:15">
      <c r="A389" s="360">
        <v>21508</v>
      </c>
      <c r="B389" s="361" t="s">
        <v>363</v>
      </c>
      <c r="C389" s="362">
        <v>165</v>
      </c>
      <c r="D389" s="362">
        <v>0</v>
      </c>
      <c r="E389" s="362">
        <f t="shared" si="41"/>
        <v>165</v>
      </c>
      <c r="F389" s="362"/>
      <c r="G389" s="362"/>
      <c r="H389" s="362"/>
      <c r="I389" s="362"/>
      <c r="J389" s="362">
        <f t="shared" si="46"/>
        <v>0</v>
      </c>
      <c r="K389" s="362">
        <f t="shared" si="42"/>
        <v>165</v>
      </c>
      <c r="L389" s="362"/>
      <c r="M389" s="362">
        <f t="shared" si="47"/>
        <v>165</v>
      </c>
      <c r="N389" s="362">
        <f t="shared" si="43"/>
        <v>0</v>
      </c>
      <c r="O389" s="372"/>
    </row>
    <row r="390" ht="27.95" customHeight="1" spans="1:15">
      <c r="A390" s="360">
        <v>2150805</v>
      </c>
      <c r="B390" s="361" t="s">
        <v>364</v>
      </c>
      <c r="C390" s="362">
        <v>165</v>
      </c>
      <c r="D390" s="362">
        <v>0</v>
      </c>
      <c r="E390" s="362">
        <f t="shared" si="41"/>
        <v>165</v>
      </c>
      <c r="F390" s="362"/>
      <c r="G390" s="362"/>
      <c r="H390" s="362"/>
      <c r="I390" s="362"/>
      <c r="J390" s="362">
        <f t="shared" si="46"/>
        <v>0</v>
      </c>
      <c r="K390" s="362">
        <f t="shared" si="42"/>
        <v>165</v>
      </c>
      <c r="L390" s="362"/>
      <c r="M390" s="362">
        <f t="shared" si="47"/>
        <v>165</v>
      </c>
      <c r="N390" s="362">
        <f t="shared" si="43"/>
        <v>0</v>
      </c>
      <c r="O390" s="372"/>
    </row>
    <row r="391" ht="27.95" customHeight="1" spans="1:15">
      <c r="A391" s="360">
        <v>216</v>
      </c>
      <c r="B391" s="361" t="s">
        <v>365</v>
      </c>
      <c r="C391" s="362">
        <v>713.42</v>
      </c>
      <c r="D391" s="362">
        <v>847.02</v>
      </c>
      <c r="E391" s="362">
        <f t="shared" si="41"/>
        <v>1560.44</v>
      </c>
      <c r="F391" s="362">
        <v>10</v>
      </c>
      <c r="G391" s="362"/>
      <c r="H391" s="362"/>
      <c r="I391" s="362"/>
      <c r="J391" s="362">
        <f t="shared" si="46"/>
        <v>0</v>
      </c>
      <c r="K391" s="362">
        <f t="shared" si="42"/>
        <v>723.42</v>
      </c>
      <c r="L391" s="362">
        <f>L392+L394+L397+L399</f>
        <v>847.02</v>
      </c>
      <c r="M391" s="362">
        <f t="shared" si="47"/>
        <v>1570.44</v>
      </c>
      <c r="N391" s="362">
        <f t="shared" si="43"/>
        <v>0.640844889902858</v>
      </c>
      <c r="O391" s="372"/>
    </row>
    <row r="392" ht="27.95" customHeight="1" spans="1:15">
      <c r="A392" s="360">
        <v>21602</v>
      </c>
      <c r="B392" s="361" t="s">
        <v>366</v>
      </c>
      <c r="C392" s="362">
        <v>86.69</v>
      </c>
      <c r="D392" s="362">
        <v>0</v>
      </c>
      <c r="E392" s="362">
        <f t="shared" si="41"/>
        <v>86.69</v>
      </c>
      <c r="F392" s="362">
        <v>10</v>
      </c>
      <c r="G392" s="362"/>
      <c r="H392" s="362"/>
      <c r="I392" s="362"/>
      <c r="J392" s="362">
        <f t="shared" si="46"/>
        <v>0</v>
      </c>
      <c r="K392" s="362">
        <f t="shared" si="42"/>
        <v>96.69</v>
      </c>
      <c r="L392" s="362"/>
      <c r="M392" s="362">
        <f t="shared" si="47"/>
        <v>96.69</v>
      </c>
      <c r="N392" s="362">
        <f t="shared" si="43"/>
        <v>11.5353558657284</v>
      </c>
      <c r="O392" s="372"/>
    </row>
    <row r="393" ht="30" customHeight="1" spans="1:15">
      <c r="A393" s="360">
        <v>2160299</v>
      </c>
      <c r="B393" s="361" t="s">
        <v>367</v>
      </c>
      <c r="C393" s="362">
        <v>86.69</v>
      </c>
      <c r="D393" s="362">
        <v>0</v>
      </c>
      <c r="E393" s="362">
        <f t="shared" si="41"/>
        <v>86.69</v>
      </c>
      <c r="F393" s="362">
        <v>3</v>
      </c>
      <c r="G393" s="362"/>
      <c r="H393" s="362"/>
      <c r="I393" s="362"/>
      <c r="J393" s="362">
        <f t="shared" si="46"/>
        <v>0</v>
      </c>
      <c r="K393" s="362">
        <f t="shared" si="42"/>
        <v>89.69</v>
      </c>
      <c r="L393" s="362"/>
      <c r="M393" s="362">
        <f t="shared" si="47"/>
        <v>89.69</v>
      </c>
      <c r="N393" s="362">
        <f t="shared" si="43"/>
        <v>3.46060675971853</v>
      </c>
      <c r="O393" s="372" t="s">
        <v>47</v>
      </c>
    </row>
    <row r="394" ht="27.95" customHeight="1" spans="1:15">
      <c r="A394" s="360">
        <v>21605</v>
      </c>
      <c r="B394" s="361" t="s">
        <v>368</v>
      </c>
      <c r="C394" s="362">
        <v>206.12</v>
      </c>
      <c r="D394" s="362">
        <v>0</v>
      </c>
      <c r="E394" s="362">
        <f t="shared" si="41"/>
        <v>206.12</v>
      </c>
      <c r="F394" s="362"/>
      <c r="G394" s="362"/>
      <c r="H394" s="362"/>
      <c r="I394" s="362"/>
      <c r="J394" s="362">
        <f t="shared" si="46"/>
        <v>0</v>
      </c>
      <c r="K394" s="362">
        <f t="shared" si="42"/>
        <v>206.12</v>
      </c>
      <c r="L394" s="362"/>
      <c r="M394" s="362">
        <f t="shared" si="47"/>
        <v>206.12</v>
      </c>
      <c r="N394" s="362">
        <f t="shared" si="43"/>
        <v>0</v>
      </c>
      <c r="O394" s="372"/>
    </row>
    <row r="395" ht="27.95" customHeight="1" spans="1:15">
      <c r="A395" s="360">
        <v>2160504</v>
      </c>
      <c r="B395" s="361" t="s">
        <v>369</v>
      </c>
      <c r="C395" s="362">
        <v>6</v>
      </c>
      <c r="D395" s="362">
        <v>0</v>
      </c>
      <c r="E395" s="362">
        <f t="shared" si="41"/>
        <v>6</v>
      </c>
      <c r="F395" s="362"/>
      <c r="G395" s="362"/>
      <c r="H395" s="362"/>
      <c r="I395" s="362"/>
      <c r="J395" s="362">
        <f t="shared" si="46"/>
        <v>0</v>
      </c>
      <c r="K395" s="362">
        <f t="shared" si="42"/>
        <v>6</v>
      </c>
      <c r="L395" s="362"/>
      <c r="M395" s="362">
        <f t="shared" si="47"/>
        <v>6</v>
      </c>
      <c r="N395" s="362">
        <f t="shared" si="43"/>
        <v>0</v>
      </c>
      <c r="O395" s="372"/>
    </row>
    <row r="396" ht="30" customHeight="1" spans="1:15">
      <c r="A396" s="360">
        <v>2160599</v>
      </c>
      <c r="B396" s="361" t="s">
        <v>370</v>
      </c>
      <c r="C396" s="362">
        <v>200.12</v>
      </c>
      <c r="D396" s="362">
        <v>0</v>
      </c>
      <c r="E396" s="362">
        <f t="shared" si="41"/>
        <v>200.12</v>
      </c>
      <c r="F396" s="362">
        <v>7</v>
      </c>
      <c r="G396" s="362"/>
      <c r="H396" s="362"/>
      <c r="I396" s="362"/>
      <c r="J396" s="362">
        <f t="shared" si="46"/>
        <v>0</v>
      </c>
      <c r="K396" s="362">
        <f t="shared" si="42"/>
        <v>207.12</v>
      </c>
      <c r="L396" s="362"/>
      <c r="M396" s="362">
        <f t="shared" si="47"/>
        <v>207.12</v>
      </c>
      <c r="N396" s="362">
        <f t="shared" si="43"/>
        <v>3.49790125924445</v>
      </c>
      <c r="O396" s="372" t="s">
        <v>47</v>
      </c>
    </row>
    <row r="397" ht="27.95" customHeight="1" spans="1:15">
      <c r="A397" s="360">
        <v>21606</v>
      </c>
      <c r="B397" s="361" t="s">
        <v>371</v>
      </c>
      <c r="C397" s="362">
        <v>200.61</v>
      </c>
      <c r="D397" s="362">
        <v>120.02</v>
      </c>
      <c r="E397" s="362">
        <f t="shared" si="41"/>
        <v>320.63</v>
      </c>
      <c r="F397" s="362"/>
      <c r="G397" s="362"/>
      <c r="H397" s="362"/>
      <c r="I397" s="362"/>
      <c r="J397" s="362">
        <f t="shared" si="46"/>
        <v>0</v>
      </c>
      <c r="K397" s="362">
        <f t="shared" si="42"/>
        <v>200.61</v>
      </c>
      <c r="L397" s="362">
        <f>L398</f>
        <v>120.02</v>
      </c>
      <c r="M397" s="362">
        <f t="shared" si="47"/>
        <v>320.63</v>
      </c>
      <c r="N397" s="362">
        <f t="shared" si="43"/>
        <v>0</v>
      </c>
      <c r="O397" s="372"/>
    </row>
    <row r="398" ht="27.95" customHeight="1" spans="1:15">
      <c r="A398" s="360">
        <v>2160699</v>
      </c>
      <c r="B398" s="361" t="s">
        <v>372</v>
      </c>
      <c r="C398" s="362">
        <v>200.61</v>
      </c>
      <c r="D398" s="362">
        <v>120.02</v>
      </c>
      <c r="E398" s="362">
        <f t="shared" si="41"/>
        <v>320.63</v>
      </c>
      <c r="F398" s="362"/>
      <c r="G398" s="362"/>
      <c r="H398" s="362"/>
      <c r="I398" s="362"/>
      <c r="J398" s="362">
        <f t="shared" si="46"/>
        <v>0</v>
      </c>
      <c r="K398" s="362">
        <f t="shared" si="42"/>
        <v>200.61</v>
      </c>
      <c r="L398" s="362">
        <f>VLOOKUP(A398,[1]Sheet1!$D$1:$E$65536,2,0)+39.29</f>
        <v>120.02</v>
      </c>
      <c r="M398" s="362">
        <f t="shared" si="47"/>
        <v>320.63</v>
      </c>
      <c r="N398" s="362">
        <f t="shared" si="43"/>
        <v>0</v>
      </c>
      <c r="O398" s="372"/>
    </row>
    <row r="399" ht="27.95" customHeight="1" spans="1:15">
      <c r="A399" s="360">
        <v>21699</v>
      </c>
      <c r="B399" s="361" t="s">
        <v>373</v>
      </c>
      <c r="C399" s="362">
        <v>220</v>
      </c>
      <c r="D399" s="362">
        <v>727</v>
      </c>
      <c r="E399" s="362">
        <f t="shared" si="41"/>
        <v>947</v>
      </c>
      <c r="F399" s="362"/>
      <c r="G399" s="362"/>
      <c r="H399" s="362"/>
      <c r="I399" s="362"/>
      <c r="J399" s="362">
        <f t="shared" si="46"/>
        <v>0</v>
      </c>
      <c r="K399" s="362">
        <f t="shared" si="42"/>
        <v>220</v>
      </c>
      <c r="L399" s="362">
        <f>L400</f>
        <v>727</v>
      </c>
      <c r="M399" s="362">
        <f t="shared" si="47"/>
        <v>947</v>
      </c>
      <c r="N399" s="362">
        <f t="shared" si="43"/>
        <v>0</v>
      </c>
      <c r="O399" s="372"/>
    </row>
    <row r="400" ht="27.95" customHeight="1" spans="1:15">
      <c r="A400" s="360">
        <v>2169999</v>
      </c>
      <c r="B400" s="361" t="s">
        <v>373</v>
      </c>
      <c r="C400" s="362">
        <v>220</v>
      </c>
      <c r="D400" s="362">
        <v>727</v>
      </c>
      <c r="E400" s="362">
        <f t="shared" si="41"/>
        <v>947</v>
      </c>
      <c r="F400" s="362"/>
      <c r="G400" s="362"/>
      <c r="H400" s="362"/>
      <c r="I400" s="362"/>
      <c r="J400" s="362">
        <f t="shared" si="46"/>
        <v>0</v>
      </c>
      <c r="K400" s="362">
        <f t="shared" si="42"/>
        <v>220</v>
      </c>
      <c r="L400" s="362">
        <f>VLOOKUP(A400,[1]Sheet1!$D$1:$E$65536,2,0)</f>
        <v>727</v>
      </c>
      <c r="M400" s="362">
        <f t="shared" si="47"/>
        <v>947</v>
      </c>
      <c r="N400" s="362">
        <f t="shared" si="43"/>
        <v>0</v>
      </c>
      <c r="O400" s="372"/>
    </row>
    <row r="401" ht="27.95" customHeight="1" spans="1:15">
      <c r="A401" s="360">
        <v>217</v>
      </c>
      <c r="B401" s="361" t="s">
        <v>374</v>
      </c>
      <c r="C401" s="362">
        <v>5</v>
      </c>
      <c r="D401" s="362">
        <v>5</v>
      </c>
      <c r="E401" s="362">
        <f t="shared" si="41"/>
        <v>10</v>
      </c>
      <c r="F401" s="362"/>
      <c r="G401" s="362"/>
      <c r="H401" s="362"/>
      <c r="I401" s="362"/>
      <c r="J401" s="362">
        <f t="shared" si="46"/>
        <v>0</v>
      </c>
      <c r="K401" s="362">
        <f t="shared" si="42"/>
        <v>5</v>
      </c>
      <c r="L401" s="362">
        <f>L402</f>
        <v>5</v>
      </c>
      <c r="M401" s="362">
        <f t="shared" si="47"/>
        <v>10</v>
      </c>
      <c r="N401" s="362">
        <f t="shared" si="43"/>
        <v>0</v>
      </c>
      <c r="O401" s="372"/>
    </row>
    <row r="402" ht="27.95" customHeight="1" spans="1:15">
      <c r="A402" s="360">
        <v>21799</v>
      </c>
      <c r="B402" s="361" t="s">
        <v>375</v>
      </c>
      <c r="C402" s="362">
        <v>5</v>
      </c>
      <c r="D402" s="362">
        <v>5</v>
      </c>
      <c r="E402" s="362">
        <f t="shared" si="41"/>
        <v>10</v>
      </c>
      <c r="F402" s="362"/>
      <c r="G402" s="362"/>
      <c r="H402" s="362"/>
      <c r="I402" s="362"/>
      <c r="J402" s="362">
        <f t="shared" si="46"/>
        <v>0</v>
      </c>
      <c r="K402" s="362">
        <f t="shared" si="42"/>
        <v>5</v>
      </c>
      <c r="L402" s="362">
        <f>L403</f>
        <v>5</v>
      </c>
      <c r="M402" s="362">
        <f t="shared" si="47"/>
        <v>10</v>
      </c>
      <c r="N402" s="362">
        <f t="shared" si="43"/>
        <v>0</v>
      </c>
      <c r="O402" s="372"/>
    </row>
    <row r="403" ht="27.95" customHeight="1" spans="1:15">
      <c r="A403" s="360">
        <v>2179901</v>
      </c>
      <c r="B403" s="361" t="s">
        <v>375</v>
      </c>
      <c r="C403" s="362">
        <v>5</v>
      </c>
      <c r="D403" s="362">
        <v>5</v>
      </c>
      <c r="E403" s="362">
        <f t="shared" si="41"/>
        <v>10</v>
      </c>
      <c r="F403" s="362"/>
      <c r="G403" s="362"/>
      <c r="H403" s="362"/>
      <c r="I403" s="362"/>
      <c r="J403" s="362">
        <f t="shared" si="46"/>
        <v>0</v>
      </c>
      <c r="K403" s="362">
        <f t="shared" si="42"/>
        <v>5</v>
      </c>
      <c r="L403" s="362">
        <f>VLOOKUP(A403,[1]Sheet1!$D$1:$E$65536,2,0)</f>
        <v>5</v>
      </c>
      <c r="M403" s="362">
        <f t="shared" si="47"/>
        <v>10</v>
      </c>
      <c r="N403" s="362">
        <f t="shared" si="43"/>
        <v>0</v>
      </c>
      <c r="O403" s="372"/>
    </row>
    <row r="404" ht="27.95" customHeight="1" spans="1:15">
      <c r="A404" s="360">
        <v>220</v>
      </c>
      <c r="B404" s="361" t="s">
        <v>376</v>
      </c>
      <c r="C404" s="362">
        <v>1141.12</v>
      </c>
      <c r="D404" s="362">
        <v>549.3</v>
      </c>
      <c r="E404" s="362">
        <f t="shared" si="41"/>
        <v>1690.42</v>
      </c>
      <c r="F404" s="362">
        <f>F405</f>
        <v>92</v>
      </c>
      <c r="G404" s="362"/>
      <c r="H404" s="362"/>
      <c r="I404" s="362"/>
      <c r="J404" s="362">
        <f t="shared" si="46"/>
        <v>0</v>
      </c>
      <c r="K404" s="362">
        <f t="shared" si="42"/>
        <v>1233.12</v>
      </c>
      <c r="L404" s="362">
        <f>L405+L411+L415</f>
        <v>549.3</v>
      </c>
      <c r="M404" s="362">
        <f t="shared" si="47"/>
        <v>1782.42</v>
      </c>
      <c r="N404" s="362">
        <f t="shared" si="43"/>
        <v>5.44243442458088</v>
      </c>
      <c r="O404" s="372"/>
    </row>
    <row r="405" ht="27.95" customHeight="1" spans="1:15">
      <c r="A405" s="360">
        <v>22001</v>
      </c>
      <c r="B405" s="361" t="s">
        <v>377</v>
      </c>
      <c r="C405" s="362">
        <v>836.02</v>
      </c>
      <c r="D405" s="362">
        <v>72.3</v>
      </c>
      <c r="E405" s="362">
        <f t="shared" si="41"/>
        <v>908.32</v>
      </c>
      <c r="F405" s="362">
        <f>F406+F410</f>
        <v>92</v>
      </c>
      <c r="G405" s="362"/>
      <c r="H405" s="362"/>
      <c r="I405" s="362"/>
      <c r="J405" s="362">
        <f t="shared" si="46"/>
        <v>0</v>
      </c>
      <c r="K405" s="362">
        <f t="shared" si="42"/>
        <v>928.02</v>
      </c>
      <c r="L405" s="362">
        <f>L407+L408+L410+L409</f>
        <v>72.3</v>
      </c>
      <c r="M405" s="362">
        <f t="shared" si="47"/>
        <v>1000.32</v>
      </c>
      <c r="N405" s="362">
        <f t="shared" si="43"/>
        <v>10.1285890435089</v>
      </c>
      <c r="O405" s="372"/>
    </row>
    <row r="406" ht="30" customHeight="1" spans="1:15">
      <c r="A406" s="360">
        <v>2200101</v>
      </c>
      <c r="B406" s="361" t="s">
        <v>46</v>
      </c>
      <c r="C406" s="362">
        <v>386.84</v>
      </c>
      <c r="D406" s="362">
        <v>0</v>
      </c>
      <c r="E406" s="362">
        <f t="shared" ref="E406:E445" si="48">C406+D406</f>
        <v>386.84</v>
      </c>
      <c r="F406" s="362">
        <v>43</v>
      </c>
      <c r="G406" s="362"/>
      <c r="H406" s="362"/>
      <c r="I406" s="362"/>
      <c r="J406" s="362">
        <f t="shared" si="46"/>
        <v>0</v>
      </c>
      <c r="K406" s="362">
        <f t="shared" ref="K406:K445" si="49">F406+C406</f>
        <v>429.84</v>
      </c>
      <c r="L406" s="362"/>
      <c r="M406" s="362">
        <f t="shared" si="47"/>
        <v>429.84</v>
      </c>
      <c r="N406" s="362">
        <f t="shared" ref="N406:N446" si="50">(M406/E406-1)*100</f>
        <v>11.1157067521456</v>
      </c>
      <c r="O406" s="372" t="s">
        <v>47</v>
      </c>
    </row>
    <row r="407" ht="27.95" customHeight="1" spans="1:15">
      <c r="A407" s="360">
        <v>2200110</v>
      </c>
      <c r="B407" s="361" t="s">
        <v>378</v>
      </c>
      <c r="C407" s="362"/>
      <c r="D407" s="362">
        <v>33.69</v>
      </c>
      <c r="E407" s="362">
        <f t="shared" si="48"/>
        <v>33.69</v>
      </c>
      <c r="F407" s="362"/>
      <c r="G407" s="362"/>
      <c r="H407" s="362"/>
      <c r="I407" s="362"/>
      <c r="J407" s="362">
        <f t="shared" si="46"/>
        <v>0</v>
      </c>
      <c r="K407" s="362">
        <f t="shared" si="49"/>
        <v>0</v>
      </c>
      <c r="L407" s="362">
        <f>VLOOKUP(A407,[1]Sheet1!$D$1:$E$65536,2,0)-1.35</f>
        <v>33.69</v>
      </c>
      <c r="M407" s="362">
        <f>L407+K407</f>
        <v>33.69</v>
      </c>
      <c r="N407" s="362">
        <f t="shared" si="50"/>
        <v>0</v>
      </c>
      <c r="O407" s="372"/>
    </row>
    <row r="408" ht="27.95" customHeight="1" spans="1:15">
      <c r="A408" s="360">
        <v>2200111</v>
      </c>
      <c r="B408" s="361" t="s">
        <v>379</v>
      </c>
      <c r="C408" s="362"/>
      <c r="D408" s="362">
        <v>35.57</v>
      </c>
      <c r="E408" s="362">
        <f t="shared" si="48"/>
        <v>35.57</v>
      </c>
      <c r="F408" s="362"/>
      <c r="G408" s="362"/>
      <c r="H408" s="362"/>
      <c r="I408" s="362"/>
      <c r="J408" s="362">
        <f t="shared" si="46"/>
        <v>0</v>
      </c>
      <c r="K408" s="362">
        <f t="shared" si="49"/>
        <v>0</v>
      </c>
      <c r="L408" s="362">
        <v>35.57</v>
      </c>
      <c r="M408" s="362">
        <f>L408+K408</f>
        <v>35.57</v>
      </c>
      <c r="N408" s="362">
        <f t="shared" si="50"/>
        <v>0</v>
      </c>
      <c r="O408" s="372"/>
    </row>
    <row r="409" ht="27.95" customHeight="1" spans="1:15">
      <c r="A409" s="360">
        <v>2200114</v>
      </c>
      <c r="B409" s="361" t="s">
        <v>380</v>
      </c>
      <c r="C409" s="362">
        <v>27</v>
      </c>
      <c r="D409" s="362">
        <v>0</v>
      </c>
      <c r="E409" s="362">
        <f t="shared" si="48"/>
        <v>27</v>
      </c>
      <c r="F409" s="362"/>
      <c r="G409" s="362"/>
      <c r="H409" s="362"/>
      <c r="I409" s="362"/>
      <c r="J409" s="362">
        <f t="shared" si="46"/>
        <v>0</v>
      </c>
      <c r="K409" s="362">
        <f t="shared" si="49"/>
        <v>27</v>
      </c>
      <c r="L409" s="362"/>
      <c r="M409" s="362">
        <f t="shared" ref="M409:M445" si="51">K409+L409</f>
        <v>27</v>
      </c>
      <c r="N409" s="362">
        <f t="shared" si="50"/>
        <v>0</v>
      </c>
      <c r="O409" s="372"/>
    </row>
    <row r="410" ht="30" customHeight="1" spans="1:15">
      <c r="A410" s="360">
        <v>2200199</v>
      </c>
      <c r="B410" s="361" t="s">
        <v>381</v>
      </c>
      <c r="C410" s="362">
        <v>422.18</v>
      </c>
      <c r="D410" s="362">
        <v>3.04</v>
      </c>
      <c r="E410" s="362">
        <f t="shared" si="48"/>
        <v>425.22</v>
      </c>
      <c r="F410" s="362">
        <v>49</v>
      </c>
      <c r="G410" s="362"/>
      <c r="H410" s="362"/>
      <c r="I410" s="362"/>
      <c r="J410" s="362">
        <f t="shared" si="46"/>
        <v>0</v>
      </c>
      <c r="K410" s="362">
        <f t="shared" si="49"/>
        <v>471.18</v>
      </c>
      <c r="L410" s="362">
        <f>VLOOKUP(A410,[1]Sheet1!$D$1:$E$65536,2,0)</f>
        <v>3.04</v>
      </c>
      <c r="M410" s="362">
        <f t="shared" si="51"/>
        <v>474.22</v>
      </c>
      <c r="N410" s="362">
        <f t="shared" si="50"/>
        <v>11.5234466864211</v>
      </c>
      <c r="O410" s="372" t="s">
        <v>47</v>
      </c>
    </row>
    <row r="411" ht="27.95" customHeight="1" spans="1:15">
      <c r="A411" s="360">
        <v>22002</v>
      </c>
      <c r="B411" s="361" t="s">
        <v>382</v>
      </c>
      <c r="C411" s="362">
        <v>303.1</v>
      </c>
      <c r="D411" s="362">
        <v>477</v>
      </c>
      <c r="E411" s="362">
        <f t="shared" si="48"/>
        <v>780.1</v>
      </c>
      <c r="F411" s="362"/>
      <c r="G411" s="362"/>
      <c r="H411" s="362"/>
      <c r="I411" s="362"/>
      <c r="J411" s="362">
        <f t="shared" si="46"/>
        <v>0</v>
      </c>
      <c r="K411" s="362">
        <f t="shared" si="49"/>
        <v>303.1</v>
      </c>
      <c r="L411" s="362">
        <f>L414</f>
        <v>477</v>
      </c>
      <c r="M411" s="362">
        <f t="shared" si="51"/>
        <v>780.1</v>
      </c>
      <c r="N411" s="362">
        <f t="shared" si="50"/>
        <v>0</v>
      </c>
      <c r="O411" s="372"/>
    </row>
    <row r="412" ht="27.95" customHeight="1" spans="1:15">
      <c r="A412" s="360">
        <v>2200204</v>
      </c>
      <c r="B412" s="361" t="s">
        <v>383</v>
      </c>
      <c r="C412" s="362">
        <v>22</v>
      </c>
      <c r="D412" s="362">
        <v>0</v>
      </c>
      <c r="E412" s="362">
        <f t="shared" si="48"/>
        <v>22</v>
      </c>
      <c r="F412" s="362"/>
      <c r="G412" s="362"/>
      <c r="H412" s="362"/>
      <c r="I412" s="362"/>
      <c r="J412" s="362">
        <f t="shared" si="46"/>
        <v>0</v>
      </c>
      <c r="K412" s="362">
        <f t="shared" si="49"/>
        <v>22</v>
      </c>
      <c r="L412" s="362"/>
      <c r="M412" s="362">
        <f t="shared" si="51"/>
        <v>22</v>
      </c>
      <c r="N412" s="362">
        <f t="shared" si="50"/>
        <v>0</v>
      </c>
      <c r="O412" s="372"/>
    </row>
    <row r="413" ht="27.95" customHeight="1" spans="1:15">
      <c r="A413" s="360">
        <v>2200205</v>
      </c>
      <c r="B413" s="361" t="s">
        <v>384</v>
      </c>
      <c r="C413" s="362">
        <v>275.3</v>
      </c>
      <c r="D413" s="362">
        <v>0</v>
      </c>
      <c r="E413" s="362">
        <f t="shared" si="48"/>
        <v>275.3</v>
      </c>
      <c r="F413" s="362"/>
      <c r="G413" s="362"/>
      <c r="H413" s="362"/>
      <c r="I413" s="362"/>
      <c r="J413" s="362">
        <f t="shared" si="46"/>
        <v>0</v>
      </c>
      <c r="K413" s="362">
        <f t="shared" si="49"/>
        <v>275.3</v>
      </c>
      <c r="L413" s="362"/>
      <c r="M413" s="362">
        <f t="shared" si="51"/>
        <v>275.3</v>
      </c>
      <c r="N413" s="362">
        <f t="shared" si="50"/>
        <v>0</v>
      </c>
      <c r="O413" s="372"/>
    </row>
    <row r="414" ht="27.95" customHeight="1" spans="1:15">
      <c r="A414" s="360">
        <v>2200299</v>
      </c>
      <c r="B414" s="361" t="s">
        <v>385</v>
      </c>
      <c r="C414" s="362">
        <v>5.8</v>
      </c>
      <c r="D414" s="362">
        <v>477</v>
      </c>
      <c r="E414" s="362">
        <f t="shared" si="48"/>
        <v>482.8</v>
      </c>
      <c r="F414" s="362"/>
      <c r="G414" s="362"/>
      <c r="H414" s="362"/>
      <c r="I414" s="362"/>
      <c r="J414" s="362">
        <f t="shared" si="46"/>
        <v>0</v>
      </c>
      <c r="K414" s="362">
        <f t="shared" si="49"/>
        <v>5.8</v>
      </c>
      <c r="L414" s="362">
        <f>VLOOKUP(A414,[1]Sheet1!$D$1:$E$65536,2,0)</f>
        <v>477</v>
      </c>
      <c r="M414" s="362">
        <f t="shared" si="51"/>
        <v>482.8</v>
      </c>
      <c r="N414" s="362">
        <f t="shared" si="50"/>
        <v>0</v>
      </c>
      <c r="O414" s="372"/>
    </row>
    <row r="415" ht="27.95" customHeight="1" spans="1:15">
      <c r="A415" s="360">
        <v>22004</v>
      </c>
      <c r="B415" s="361" t="s">
        <v>386</v>
      </c>
      <c r="C415" s="362">
        <v>2</v>
      </c>
      <c r="D415" s="362">
        <v>0</v>
      </c>
      <c r="E415" s="362">
        <f t="shared" si="48"/>
        <v>2</v>
      </c>
      <c r="F415" s="362"/>
      <c r="G415" s="362"/>
      <c r="H415" s="362"/>
      <c r="I415" s="362"/>
      <c r="J415" s="362">
        <f t="shared" si="46"/>
        <v>0</v>
      </c>
      <c r="K415" s="362">
        <f t="shared" si="49"/>
        <v>2</v>
      </c>
      <c r="L415" s="362"/>
      <c r="M415" s="362">
        <f t="shared" si="51"/>
        <v>2</v>
      </c>
      <c r="N415" s="362">
        <f t="shared" si="50"/>
        <v>0</v>
      </c>
      <c r="O415" s="372"/>
    </row>
    <row r="416" ht="27.95" customHeight="1" spans="1:15">
      <c r="A416" s="360">
        <v>2200499</v>
      </c>
      <c r="B416" s="361" t="s">
        <v>387</v>
      </c>
      <c r="C416" s="362">
        <v>2</v>
      </c>
      <c r="D416" s="362">
        <v>0</v>
      </c>
      <c r="E416" s="362">
        <f t="shared" si="48"/>
        <v>2</v>
      </c>
      <c r="F416" s="362"/>
      <c r="G416" s="362"/>
      <c r="H416" s="362"/>
      <c r="I416" s="362"/>
      <c r="J416" s="362">
        <f t="shared" si="46"/>
        <v>0</v>
      </c>
      <c r="K416" s="362">
        <f t="shared" si="49"/>
        <v>2</v>
      </c>
      <c r="L416" s="362"/>
      <c r="M416" s="362">
        <f t="shared" si="51"/>
        <v>2</v>
      </c>
      <c r="N416" s="362">
        <f t="shared" si="50"/>
        <v>0</v>
      </c>
      <c r="O416" s="372"/>
    </row>
    <row r="417" ht="27.95" customHeight="1" spans="1:15">
      <c r="A417" s="360">
        <v>221</v>
      </c>
      <c r="B417" s="361" t="s">
        <v>388</v>
      </c>
      <c r="C417" s="362">
        <v>3166.85</v>
      </c>
      <c r="D417" s="362">
        <v>110.45</v>
      </c>
      <c r="E417" s="362">
        <f t="shared" si="48"/>
        <v>3277.3</v>
      </c>
      <c r="F417" s="362"/>
      <c r="G417" s="362"/>
      <c r="H417" s="362"/>
      <c r="I417" s="362"/>
      <c r="J417" s="362">
        <f t="shared" si="46"/>
        <v>0</v>
      </c>
      <c r="K417" s="362">
        <f t="shared" si="49"/>
        <v>3166.85</v>
      </c>
      <c r="L417" s="362">
        <f>L418+L423</f>
        <v>110.45</v>
      </c>
      <c r="M417" s="362">
        <f t="shared" si="51"/>
        <v>3277.3</v>
      </c>
      <c r="N417" s="362">
        <f t="shared" si="50"/>
        <v>0</v>
      </c>
      <c r="O417" s="372"/>
    </row>
    <row r="418" ht="27.95" customHeight="1" spans="1:15">
      <c r="A418" s="360">
        <v>22101</v>
      </c>
      <c r="B418" s="361" t="s">
        <v>389</v>
      </c>
      <c r="C418" s="362">
        <v>1686.5</v>
      </c>
      <c r="D418" s="362">
        <v>110.45</v>
      </c>
      <c r="E418" s="362">
        <f t="shared" si="48"/>
        <v>1796.95</v>
      </c>
      <c r="F418" s="362"/>
      <c r="G418" s="362"/>
      <c r="H418" s="362"/>
      <c r="I418" s="362"/>
      <c r="J418" s="362">
        <f t="shared" si="46"/>
        <v>0</v>
      </c>
      <c r="K418" s="362">
        <f t="shared" si="49"/>
        <v>1686.5</v>
      </c>
      <c r="L418" s="362">
        <f>L422</f>
        <v>110.45</v>
      </c>
      <c r="M418" s="362">
        <f t="shared" si="51"/>
        <v>1796.95</v>
      </c>
      <c r="N418" s="362">
        <f t="shared" si="50"/>
        <v>0</v>
      </c>
      <c r="O418" s="372"/>
    </row>
    <row r="419" ht="27.95" customHeight="1" spans="1:15">
      <c r="A419" s="360">
        <v>2210103</v>
      </c>
      <c r="B419" s="361" t="s">
        <v>390</v>
      </c>
      <c r="C419" s="362">
        <v>107</v>
      </c>
      <c r="D419" s="362">
        <v>0</v>
      </c>
      <c r="E419" s="362">
        <f t="shared" si="48"/>
        <v>107</v>
      </c>
      <c r="F419" s="362"/>
      <c r="G419" s="362"/>
      <c r="H419" s="362"/>
      <c r="I419" s="362"/>
      <c r="J419" s="362">
        <f t="shared" si="46"/>
        <v>0</v>
      </c>
      <c r="K419" s="362">
        <f t="shared" si="49"/>
        <v>107</v>
      </c>
      <c r="L419" s="362"/>
      <c r="M419" s="362">
        <f t="shared" si="51"/>
        <v>107</v>
      </c>
      <c r="N419" s="362">
        <f t="shared" si="50"/>
        <v>0</v>
      </c>
      <c r="O419" s="372"/>
    </row>
    <row r="420" ht="27.95" customHeight="1" spans="1:15">
      <c r="A420" s="360">
        <v>2210105</v>
      </c>
      <c r="B420" s="361" t="s">
        <v>391</v>
      </c>
      <c r="C420" s="362">
        <v>0.4</v>
      </c>
      <c r="D420" s="362">
        <v>0</v>
      </c>
      <c r="E420" s="362">
        <f t="shared" si="48"/>
        <v>0.4</v>
      </c>
      <c r="F420" s="362"/>
      <c r="G420" s="362"/>
      <c r="H420" s="362"/>
      <c r="I420" s="362"/>
      <c r="J420" s="362">
        <f t="shared" si="46"/>
        <v>0</v>
      </c>
      <c r="K420" s="362">
        <f t="shared" si="49"/>
        <v>0.4</v>
      </c>
      <c r="L420" s="362"/>
      <c r="M420" s="362">
        <f t="shared" si="51"/>
        <v>0.4</v>
      </c>
      <c r="N420" s="362">
        <f t="shared" si="50"/>
        <v>0</v>
      </c>
      <c r="O420" s="372"/>
    </row>
    <row r="421" ht="27.95" customHeight="1" spans="1:15">
      <c r="A421" s="360">
        <v>2210106</v>
      </c>
      <c r="B421" s="361" t="s">
        <v>392</v>
      </c>
      <c r="C421" s="362">
        <v>1224.1</v>
      </c>
      <c r="D421" s="362">
        <v>0</v>
      </c>
      <c r="E421" s="362">
        <f t="shared" si="48"/>
        <v>1224.1</v>
      </c>
      <c r="F421" s="362"/>
      <c r="G421" s="362"/>
      <c r="H421" s="362"/>
      <c r="I421" s="362"/>
      <c r="J421" s="362">
        <f t="shared" si="46"/>
        <v>0</v>
      </c>
      <c r="K421" s="362">
        <f t="shared" si="49"/>
        <v>1224.1</v>
      </c>
      <c r="L421" s="362"/>
      <c r="M421" s="362">
        <f t="shared" si="51"/>
        <v>1224.1</v>
      </c>
      <c r="N421" s="362">
        <f t="shared" si="50"/>
        <v>0</v>
      </c>
      <c r="O421" s="372"/>
    </row>
    <row r="422" ht="27.95" customHeight="1" spans="1:15">
      <c r="A422" s="360">
        <v>2210107</v>
      </c>
      <c r="B422" s="361" t="s">
        <v>393</v>
      </c>
      <c r="C422" s="362">
        <v>355</v>
      </c>
      <c r="D422" s="362">
        <v>110.45</v>
      </c>
      <c r="E422" s="362">
        <f t="shared" si="48"/>
        <v>465.45</v>
      </c>
      <c r="F422" s="362"/>
      <c r="G422" s="362"/>
      <c r="H422" s="362"/>
      <c r="I422" s="362"/>
      <c r="J422" s="362">
        <f t="shared" si="46"/>
        <v>0</v>
      </c>
      <c r="K422" s="362">
        <f t="shared" si="49"/>
        <v>355</v>
      </c>
      <c r="L422" s="362">
        <f>VLOOKUP(A422,[1]Sheet1!$D$1:$E$65536,2,0)</f>
        <v>110.45</v>
      </c>
      <c r="M422" s="362">
        <f t="shared" si="51"/>
        <v>465.45</v>
      </c>
      <c r="N422" s="362">
        <f t="shared" si="50"/>
        <v>0</v>
      </c>
      <c r="O422" s="372"/>
    </row>
    <row r="423" ht="27.95" customHeight="1" spans="1:15">
      <c r="A423" s="360">
        <v>22102</v>
      </c>
      <c r="B423" s="361" t="s">
        <v>394</v>
      </c>
      <c r="C423" s="362">
        <v>1480.35</v>
      </c>
      <c r="D423" s="362">
        <v>0</v>
      </c>
      <c r="E423" s="362">
        <f t="shared" si="48"/>
        <v>1480.35</v>
      </c>
      <c r="F423" s="362"/>
      <c r="G423" s="362"/>
      <c r="H423" s="362"/>
      <c r="I423" s="362"/>
      <c r="J423" s="362">
        <f t="shared" si="46"/>
        <v>0</v>
      </c>
      <c r="K423" s="362">
        <f t="shared" si="49"/>
        <v>1480.35</v>
      </c>
      <c r="L423" s="362"/>
      <c r="M423" s="362">
        <f t="shared" si="51"/>
        <v>1480.35</v>
      </c>
      <c r="N423" s="362">
        <f t="shared" si="50"/>
        <v>0</v>
      </c>
      <c r="O423" s="372"/>
    </row>
    <row r="424" ht="27.95" customHeight="1" spans="1:15">
      <c r="A424" s="360">
        <v>2210201</v>
      </c>
      <c r="B424" s="361" t="s">
        <v>395</v>
      </c>
      <c r="C424" s="362">
        <v>1480.35</v>
      </c>
      <c r="D424" s="362">
        <v>0</v>
      </c>
      <c r="E424" s="362">
        <f t="shared" si="48"/>
        <v>1480.35</v>
      </c>
      <c r="F424" s="362"/>
      <c r="G424" s="362"/>
      <c r="H424" s="362"/>
      <c r="I424" s="362"/>
      <c r="J424" s="362">
        <f t="shared" si="46"/>
        <v>0</v>
      </c>
      <c r="K424" s="362">
        <f t="shared" si="49"/>
        <v>1480.35</v>
      </c>
      <c r="L424" s="362"/>
      <c r="M424" s="362">
        <f t="shared" si="51"/>
        <v>1480.35</v>
      </c>
      <c r="N424" s="362">
        <f t="shared" si="50"/>
        <v>0</v>
      </c>
      <c r="O424" s="372"/>
    </row>
    <row r="425" ht="27.95" customHeight="1" spans="1:15">
      <c r="A425" s="360">
        <v>222</v>
      </c>
      <c r="B425" s="361" t="s">
        <v>396</v>
      </c>
      <c r="C425" s="362">
        <v>764</v>
      </c>
      <c r="D425" s="362">
        <v>263.404247</v>
      </c>
      <c r="E425" s="362">
        <f t="shared" si="48"/>
        <v>1027.404247</v>
      </c>
      <c r="F425" s="362">
        <v>10</v>
      </c>
      <c r="G425" s="362"/>
      <c r="H425" s="362"/>
      <c r="I425" s="362"/>
      <c r="J425" s="362">
        <f t="shared" si="46"/>
        <v>0</v>
      </c>
      <c r="K425" s="362">
        <f t="shared" si="49"/>
        <v>774</v>
      </c>
      <c r="L425" s="362">
        <f>L426+L429</f>
        <v>263.404247</v>
      </c>
      <c r="M425" s="362">
        <f t="shared" si="51"/>
        <v>1037.404247</v>
      </c>
      <c r="N425" s="362">
        <f t="shared" si="50"/>
        <v>0.973326714309364</v>
      </c>
      <c r="O425" s="372"/>
    </row>
    <row r="426" ht="27.95" customHeight="1" spans="1:15">
      <c r="A426" s="360">
        <v>22201</v>
      </c>
      <c r="B426" s="361" t="s">
        <v>397</v>
      </c>
      <c r="C426" s="362">
        <v>647</v>
      </c>
      <c r="D426" s="362">
        <v>263.404247</v>
      </c>
      <c r="E426" s="362">
        <f t="shared" si="48"/>
        <v>910.404247</v>
      </c>
      <c r="F426" s="362">
        <v>10</v>
      </c>
      <c r="G426" s="362"/>
      <c r="H426" s="362"/>
      <c r="I426" s="362"/>
      <c r="J426" s="362">
        <f t="shared" si="46"/>
        <v>0</v>
      </c>
      <c r="K426" s="362">
        <f t="shared" si="49"/>
        <v>657</v>
      </c>
      <c r="L426" s="362">
        <f>L428</f>
        <v>263.404247</v>
      </c>
      <c r="M426" s="362">
        <f t="shared" si="51"/>
        <v>920.404247</v>
      </c>
      <c r="N426" s="362">
        <f t="shared" si="50"/>
        <v>1.09841315360208</v>
      </c>
      <c r="O426" s="372"/>
    </row>
    <row r="427" ht="27.95" customHeight="1" spans="1:15">
      <c r="A427" s="360">
        <v>2220115</v>
      </c>
      <c r="B427" s="361" t="s">
        <v>398</v>
      </c>
      <c r="C427" s="362">
        <v>434</v>
      </c>
      <c r="D427" s="362">
        <v>0</v>
      </c>
      <c r="E427" s="362">
        <f t="shared" si="48"/>
        <v>434</v>
      </c>
      <c r="F427" s="362"/>
      <c r="G427" s="362"/>
      <c r="H427" s="362"/>
      <c r="I427" s="362"/>
      <c r="J427" s="362">
        <f t="shared" si="46"/>
        <v>0</v>
      </c>
      <c r="K427" s="362">
        <f t="shared" si="49"/>
        <v>434</v>
      </c>
      <c r="L427" s="362"/>
      <c r="M427" s="362">
        <f t="shared" si="51"/>
        <v>434</v>
      </c>
      <c r="N427" s="362">
        <f t="shared" si="50"/>
        <v>0</v>
      </c>
      <c r="O427" s="372"/>
    </row>
    <row r="428" ht="30" customHeight="1" spans="1:15">
      <c r="A428" s="360">
        <v>2220199</v>
      </c>
      <c r="B428" s="361" t="s">
        <v>399</v>
      </c>
      <c r="C428" s="362">
        <v>213</v>
      </c>
      <c r="D428" s="362">
        <v>263.404247</v>
      </c>
      <c r="E428" s="362">
        <f t="shared" si="48"/>
        <v>476.404247</v>
      </c>
      <c r="F428" s="362">
        <v>10</v>
      </c>
      <c r="G428" s="362"/>
      <c r="H428" s="362"/>
      <c r="I428" s="362"/>
      <c r="J428" s="362">
        <f t="shared" si="46"/>
        <v>0</v>
      </c>
      <c r="K428" s="362">
        <f t="shared" si="49"/>
        <v>223</v>
      </c>
      <c r="L428" s="362">
        <f>VLOOKUP(A428,[1]Sheet1!$D$1:$E$65536,2,0)</f>
        <v>263.404247</v>
      </c>
      <c r="M428" s="362">
        <f t="shared" si="51"/>
        <v>486.404247</v>
      </c>
      <c r="N428" s="362">
        <f t="shared" si="50"/>
        <v>2.0990576937489</v>
      </c>
      <c r="O428" s="372" t="s">
        <v>47</v>
      </c>
    </row>
    <row r="429" ht="27.95" customHeight="1" spans="1:15">
      <c r="A429" s="360">
        <v>22204</v>
      </c>
      <c r="B429" s="361" t="s">
        <v>400</v>
      </c>
      <c r="C429" s="362">
        <v>117</v>
      </c>
      <c r="D429" s="362">
        <v>0</v>
      </c>
      <c r="E429" s="362">
        <f t="shared" si="48"/>
        <v>117</v>
      </c>
      <c r="F429" s="362"/>
      <c r="G429" s="362"/>
      <c r="H429" s="362"/>
      <c r="I429" s="362"/>
      <c r="J429" s="362">
        <f t="shared" si="46"/>
        <v>0</v>
      </c>
      <c r="K429" s="362">
        <f t="shared" si="49"/>
        <v>117</v>
      </c>
      <c r="L429" s="362"/>
      <c r="M429" s="362">
        <f t="shared" si="51"/>
        <v>117</v>
      </c>
      <c r="N429" s="362">
        <f t="shared" si="50"/>
        <v>0</v>
      </c>
      <c r="O429" s="372"/>
    </row>
    <row r="430" ht="27.95" customHeight="1" spans="1:15">
      <c r="A430" s="360">
        <v>2220403</v>
      </c>
      <c r="B430" s="361" t="s">
        <v>401</v>
      </c>
      <c r="C430" s="362">
        <v>117</v>
      </c>
      <c r="D430" s="362">
        <v>0</v>
      </c>
      <c r="E430" s="362">
        <f t="shared" si="48"/>
        <v>117</v>
      </c>
      <c r="F430" s="362"/>
      <c r="G430" s="362"/>
      <c r="H430" s="362"/>
      <c r="I430" s="362"/>
      <c r="J430" s="362">
        <f t="shared" si="46"/>
        <v>0</v>
      </c>
      <c r="K430" s="362">
        <f t="shared" si="49"/>
        <v>117</v>
      </c>
      <c r="L430" s="362"/>
      <c r="M430" s="362">
        <f t="shared" si="51"/>
        <v>117</v>
      </c>
      <c r="N430" s="362">
        <f t="shared" si="50"/>
        <v>0</v>
      </c>
      <c r="O430" s="372"/>
    </row>
    <row r="431" ht="27.95" customHeight="1" spans="1:15">
      <c r="A431" s="360">
        <v>227</v>
      </c>
      <c r="B431" s="361" t="s">
        <v>402</v>
      </c>
      <c r="C431" s="362">
        <v>2000</v>
      </c>
      <c r="D431" s="362">
        <v>0</v>
      </c>
      <c r="E431" s="362">
        <f t="shared" si="48"/>
        <v>2000</v>
      </c>
      <c r="F431" s="362"/>
      <c r="G431" s="362"/>
      <c r="H431" s="362"/>
      <c r="I431" s="362"/>
      <c r="J431" s="362">
        <f t="shared" si="46"/>
        <v>0</v>
      </c>
      <c r="K431" s="362">
        <f t="shared" si="49"/>
        <v>2000</v>
      </c>
      <c r="L431" s="362"/>
      <c r="M431" s="362">
        <f t="shared" si="51"/>
        <v>2000</v>
      </c>
      <c r="N431" s="362">
        <f t="shared" si="50"/>
        <v>0</v>
      </c>
      <c r="O431" s="372"/>
    </row>
    <row r="432" ht="27.95" customHeight="1" spans="1:15">
      <c r="A432" s="360">
        <v>229</v>
      </c>
      <c r="B432" s="361" t="s">
        <v>403</v>
      </c>
      <c r="C432" s="362">
        <v>10437.29</v>
      </c>
      <c r="D432" s="362">
        <v>1633.552</v>
      </c>
      <c r="E432" s="362">
        <f t="shared" si="48"/>
        <v>12070.842</v>
      </c>
      <c r="F432" s="362"/>
      <c r="G432" s="362"/>
      <c r="H432" s="362"/>
      <c r="I432" s="362"/>
      <c r="J432" s="362">
        <f t="shared" ref="J432:J445" si="52">L432-D432</f>
        <v>0</v>
      </c>
      <c r="K432" s="362">
        <f t="shared" si="49"/>
        <v>10437.29</v>
      </c>
      <c r="L432" s="362">
        <f>L433</f>
        <v>1633.552</v>
      </c>
      <c r="M432" s="362">
        <f t="shared" si="51"/>
        <v>12070.842</v>
      </c>
      <c r="N432" s="362">
        <f t="shared" si="50"/>
        <v>0</v>
      </c>
      <c r="O432" s="372"/>
    </row>
    <row r="433" ht="27.95" customHeight="1" spans="1:15">
      <c r="A433" s="360">
        <v>22999</v>
      </c>
      <c r="B433" s="361" t="s">
        <v>403</v>
      </c>
      <c r="C433" s="362">
        <v>10437.29</v>
      </c>
      <c r="D433" s="362">
        <v>1633.552</v>
      </c>
      <c r="E433" s="362">
        <f t="shared" si="48"/>
        <v>12070.842</v>
      </c>
      <c r="F433" s="362"/>
      <c r="G433" s="362"/>
      <c r="H433" s="362"/>
      <c r="I433" s="362"/>
      <c r="J433" s="362">
        <f t="shared" si="52"/>
        <v>0</v>
      </c>
      <c r="K433" s="362">
        <f t="shared" si="49"/>
        <v>10437.29</v>
      </c>
      <c r="L433" s="362">
        <f>L434</f>
        <v>1633.552</v>
      </c>
      <c r="M433" s="362">
        <f t="shared" si="51"/>
        <v>12070.842</v>
      </c>
      <c r="N433" s="362">
        <f t="shared" si="50"/>
        <v>0</v>
      </c>
      <c r="O433" s="372"/>
    </row>
    <row r="434" ht="27.95" customHeight="1" spans="1:15">
      <c r="A434" s="360">
        <v>2299901</v>
      </c>
      <c r="B434" s="361" t="s">
        <v>403</v>
      </c>
      <c r="C434" s="362">
        <v>10437.29</v>
      </c>
      <c r="D434" s="362">
        <v>1633.552</v>
      </c>
      <c r="E434" s="362">
        <f t="shared" si="48"/>
        <v>12070.842</v>
      </c>
      <c r="F434" s="362"/>
      <c r="G434" s="362"/>
      <c r="H434" s="362"/>
      <c r="I434" s="362"/>
      <c r="J434" s="362">
        <f t="shared" si="52"/>
        <v>0</v>
      </c>
      <c r="K434" s="362">
        <f t="shared" si="49"/>
        <v>10437.29</v>
      </c>
      <c r="L434" s="362">
        <f>VLOOKUP(A434,[1]Sheet1!$D$1:$E$65536,2,0)+1614.39</f>
        <v>1633.552</v>
      </c>
      <c r="M434" s="362">
        <f t="shared" si="51"/>
        <v>12070.842</v>
      </c>
      <c r="N434" s="362">
        <f t="shared" si="50"/>
        <v>0</v>
      </c>
      <c r="O434" s="372"/>
    </row>
    <row r="435" ht="27.95" customHeight="1" spans="1:15">
      <c r="A435" s="360">
        <v>230</v>
      </c>
      <c r="B435" s="361" t="s">
        <v>404</v>
      </c>
      <c r="C435" s="362">
        <v>2380</v>
      </c>
      <c r="D435" s="362">
        <v>0</v>
      </c>
      <c r="E435" s="362">
        <f t="shared" si="48"/>
        <v>2380</v>
      </c>
      <c r="F435" s="362"/>
      <c r="G435" s="362"/>
      <c r="H435" s="362"/>
      <c r="I435" s="362"/>
      <c r="J435" s="362">
        <f t="shared" si="52"/>
        <v>0</v>
      </c>
      <c r="K435" s="362">
        <f t="shared" si="49"/>
        <v>2380</v>
      </c>
      <c r="L435" s="362">
        <f>L436</f>
        <v>0</v>
      </c>
      <c r="M435" s="362">
        <f t="shared" si="51"/>
        <v>2380</v>
      </c>
      <c r="N435" s="362">
        <f t="shared" si="50"/>
        <v>0</v>
      </c>
      <c r="O435" s="372"/>
    </row>
    <row r="436" ht="27.95" customHeight="1" spans="1:15">
      <c r="A436" s="360">
        <v>23006</v>
      </c>
      <c r="B436" s="361" t="s">
        <v>405</v>
      </c>
      <c r="C436" s="362">
        <v>2380</v>
      </c>
      <c r="D436" s="362">
        <v>0</v>
      </c>
      <c r="E436" s="362">
        <f t="shared" si="48"/>
        <v>2380</v>
      </c>
      <c r="F436" s="362"/>
      <c r="G436" s="362"/>
      <c r="H436" s="362"/>
      <c r="I436" s="362"/>
      <c r="J436" s="362">
        <f t="shared" si="52"/>
        <v>0</v>
      </c>
      <c r="K436" s="362">
        <f t="shared" si="49"/>
        <v>2380</v>
      </c>
      <c r="L436" s="362"/>
      <c r="M436" s="362">
        <f t="shared" si="51"/>
        <v>2380</v>
      </c>
      <c r="N436" s="362">
        <f t="shared" si="50"/>
        <v>0</v>
      </c>
      <c r="O436" s="372"/>
    </row>
    <row r="437" ht="27.95" customHeight="1" spans="1:15">
      <c r="A437" s="360">
        <v>2300602</v>
      </c>
      <c r="B437" s="361" t="s">
        <v>406</v>
      </c>
      <c r="C437" s="362">
        <v>2380</v>
      </c>
      <c r="D437" s="362">
        <v>0</v>
      </c>
      <c r="E437" s="362">
        <f t="shared" si="48"/>
        <v>2380</v>
      </c>
      <c r="F437" s="362"/>
      <c r="G437" s="362"/>
      <c r="H437" s="362"/>
      <c r="I437" s="362"/>
      <c r="J437" s="362">
        <f t="shared" si="52"/>
        <v>0</v>
      </c>
      <c r="K437" s="362">
        <f t="shared" si="49"/>
        <v>2380</v>
      </c>
      <c r="L437" s="362"/>
      <c r="M437" s="362">
        <f t="shared" si="51"/>
        <v>2380</v>
      </c>
      <c r="N437" s="362">
        <f t="shared" si="50"/>
        <v>0</v>
      </c>
      <c r="O437" s="372"/>
    </row>
    <row r="438" ht="27.95" customHeight="1" spans="1:15">
      <c r="A438" s="360">
        <v>231</v>
      </c>
      <c r="B438" s="361" t="s">
        <v>407</v>
      </c>
      <c r="C438" s="362">
        <v>2260.3</v>
      </c>
      <c r="D438" s="362">
        <v>0</v>
      </c>
      <c r="E438" s="362">
        <f t="shared" si="48"/>
        <v>2260.3</v>
      </c>
      <c r="F438" s="362"/>
      <c r="G438" s="362"/>
      <c r="H438" s="362"/>
      <c r="I438" s="362"/>
      <c r="J438" s="362">
        <f t="shared" si="52"/>
        <v>0</v>
      </c>
      <c r="K438" s="362">
        <f t="shared" si="49"/>
        <v>2260.3</v>
      </c>
      <c r="L438" s="362">
        <f>L439</f>
        <v>0</v>
      </c>
      <c r="M438" s="362">
        <f t="shared" si="51"/>
        <v>2260.3</v>
      </c>
      <c r="N438" s="362">
        <f t="shared" si="50"/>
        <v>0</v>
      </c>
      <c r="O438" s="372"/>
    </row>
    <row r="439" ht="27.95" customHeight="1" spans="1:15">
      <c r="A439" s="360">
        <v>23103</v>
      </c>
      <c r="B439" s="361" t="s">
        <v>408</v>
      </c>
      <c r="C439" s="362">
        <v>2260.3</v>
      </c>
      <c r="D439" s="362">
        <v>0</v>
      </c>
      <c r="E439" s="362">
        <f t="shared" si="48"/>
        <v>2260.3</v>
      </c>
      <c r="F439" s="362"/>
      <c r="G439" s="362"/>
      <c r="H439" s="362"/>
      <c r="I439" s="362"/>
      <c r="J439" s="362">
        <f t="shared" si="52"/>
        <v>0</v>
      </c>
      <c r="K439" s="362">
        <f t="shared" si="49"/>
        <v>2260.3</v>
      </c>
      <c r="L439" s="362"/>
      <c r="M439" s="362">
        <f t="shared" si="51"/>
        <v>2260.3</v>
      </c>
      <c r="N439" s="362">
        <f t="shared" si="50"/>
        <v>0</v>
      </c>
      <c r="O439" s="372"/>
    </row>
    <row r="440" ht="27.95" customHeight="1" spans="1:15">
      <c r="A440" s="360">
        <v>2310301</v>
      </c>
      <c r="B440" s="361" t="s">
        <v>409</v>
      </c>
      <c r="C440" s="362">
        <v>2260.3</v>
      </c>
      <c r="D440" s="362">
        <v>0</v>
      </c>
      <c r="E440" s="362">
        <f t="shared" si="48"/>
        <v>2260.3</v>
      </c>
      <c r="F440" s="362"/>
      <c r="G440" s="362"/>
      <c r="H440" s="362"/>
      <c r="I440" s="362"/>
      <c r="J440" s="362">
        <f t="shared" si="52"/>
        <v>0</v>
      </c>
      <c r="K440" s="362">
        <f t="shared" si="49"/>
        <v>2260.3</v>
      </c>
      <c r="L440" s="362"/>
      <c r="M440" s="362">
        <f t="shared" si="51"/>
        <v>2260.3</v>
      </c>
      <c r="N440" s="362">
        <f t="shared" si="50"/>
        <v>0</v>
      </c>
      <c r="O440" s="372"/>
    </row>
    <row r="441" ht="27.95" customHeight="1" spans="1:15">
      <c r="A441" s="360">
        <v>232</v>
      </c>
      <c r="B441" s="361" t="s">
        <v>410</v>
      </c>
      <c r="C441" s="362">
        <v>2054.15</v>
      </c>
      <c r="D441" s="362">
        <v>0</v>
      </c>
      <c r="E441" s="362">
        <f t="shared" si="48"/>
        <v>2054.15</v>
      </c>
      <c r="F441" s="362"/>
      <c r="G441" s="362"/>
      <c r="H441" s="362"/>
      <c r="I441" s="362"/>
      <c r="J441" s="362">
        <f t="shared" si="52"/>
        <v>0</v>
      </c>
      <c r="K441" s="362">
        <f t="shared" si="49"/>
        <v>2054.15</v>
      </c>
      <c r="L441" s="362">
        <f>L442</f>
        <v>0</v>
      </c>
      <c r="M441" s="362">
        <f t="shared" si="51"/>
        <v>2054.15</v>
      </c>
      <c r="N441" s="362">
        <f t="shared" si="50"/>
        <v>0</v>
      </c>
      <c r="O441" s="372"/>
    </row>
    <row r="442" ht="27.95" customHeight="1" spans="1:15">
      <c r="A442" s="360">
        <v>23203</v>
      </c>
      <c r="B442" s="361" t="s">
        <v>411</v>
      </c>
      <c r="C442" s="362">
        <v>2054.15</v>
      </c>
      <c r="D442" s="362">
        <v>0</v>
      </c>
      <c r="E442" s="362">
        <f t="shared" si="48"/>
        <v>2054.15</v>
      </c>
      <c r="F442" s="362"/>
      <c r="G442" s="362"/>
      <c r="H442" s="362"/>
      <c r="I442" s="362"/>
      <c r="J442" s="362">
        <f t="shared" si="52"/>
        <v>0</v>
      </c>
      <c r="K442" s="362">
        <f t="shared" si="49"/>
        <v>2054.15</v>
      </c>
      <c r="L442" s="362"/>
      <c r="M442" s="362">
        <f t="shared" si="51"/>
        <v>2054.15</v>
      </c>
      <c r="N442" s="362">
        <f t="shared" si="50"/>
        <v>0</v>
      </c>
      <c r="O442" s="372"/>
    </row>
    <row r="443" ht="27.95" customHeight="1" spans="1:15">
      <c r="A443" s="360">
        <v>2320301</v>
      </c>
      <c r="B443" s="361" t="s">
        <v>412</v>
      </c>
      <c r="C443" s="362">
        <v>2054.15</v>
      </c>
      <c r="D443" s="362">
        <v>0</v>
      </c>
      <c r="E443" s="362">
        <f t="shared" si="48"/>
        <v>2054.15</v>
      </c>
      <c r="F443" s="362"/>
      <c r="G443" s="362"/>
      <c r="H443" s="362"/>
      <c r="I443" s="362"/>
      <c r="J443" s="362">
        <f t="shared" si="52"/>
        <v>0</v>
      </c>
      <c r="K443" s="362">
        <f t="shared" si="49"/>
        <v>2054.15</v>
      </c>
      <c r="L443" s="362"/>
      <c r="M443" s="362">
        <f t="shared" si="51"/>
        <v>2054.15</v>
      </c>
      <c r="N443" s="362">
        <f t="shared" si="50"/>
        <v>0</v>
      </c>
      <c r="O443" s="372"/>
    </row>
    <row r="444" ht="27.95" customHeight="1" spans="1:15">
      <c r="A444" s="360">
        <v>233</v>
      </c>
      <c r="B444" s="361" t="s">
        <v>413</v>
      </c>
      <c r="C444" s="362">
        <v>0.22</v>
      </c>
      <c r="D444" s="362">
        <v>0</v>
      </c>
      <c r="E444" s="362">
        <f t="shared" si="48"/>
        <v>0.22</v>
      </c>
      <c r="F444" s="362"/>
      <c r="G444" s="362"/>
      <c r="H444" s="362"/>
      <c r="I444" s="362"/>
      <c r="J444" s="362">
        <f t="shared" si="52"/>
        <v>0</v>
      </c>
      <c r="K444" s="362">
        <f t="shared" si="49"/>
        <v>0.22</v>
      </c>
      <c r="L444" s="362">
        <f>L445</f>
        <v>0</v>
      </c>
      <c r="M444" s="362">
        <f t="shared" si="51"/>
        <v>0.22</v>
      </c>
      <c r="N444" s="362">
        <f t="shared" si="50"/>
        <v>0</v>
      </c>
      <c r="O444" s="372"/>
    </row>
    <row r="445" ht="27.95" customHeight="1" spans="1:15">
      <c r="A445" s="360">
        <v>23303</v>
      </c>
      <c r="B445" s="361" t="s">
        <v>414</v>
      </c>
      <c r="C445" s="362">
        <v>0.22</v>
      </c>
      <c r="D445" s="362">
        <v>0</v>
      </c>
      <c r="E445" s="362">
        <f t="shared" si="48"/>
        <v>0.22</v>
      </c>
      <c r="F445" s="362"/>
      <c r="G445" s="362"/>
      <c r="H445" s="362"/>
      <c r="I445" s="362"/>
      <c r="J445" s="362">
        <f t="shared" si="52"/>
        <v>0</v>
      </c>
      <c r="K445" s="362">
        <f t="shared" si="49"/>
        <v>0.22</v>
      </c>
      <c r="L445" s="362"/>
      <c r="M445" s="362">
        <f t="shared" si="51"/>
        <v>0.22</v>
      </c>
      <c r="N445" s="362">
        <f t="shared" si="50"/>
        <v>0</v>
      </c>
      <c r="O445" s="372"/>
    </row>
    <row r="446" ht="27.95" customHeight="1" spans="1:15">
      <c r="A446" s="360" t="s">
        <v>14</v>
      </c>
      <c r="B446" s="361" t="s">
        <v>415</v>
      </c>
      <c r="C446" s="374">
        <v>127565.62</v>
      </c>
      <c r="D446" s="374">
        <v>79122.125614</v>
      </c>
      <c r="E446" s="374">
        <f>E444+E441+E438+E435+E432+E431+E425+E417+E404+E401+E391+E380+E372+E320+E306+E295+E255+E188+E176+E162+E142+E118+E111+E7</f>
        <v>206687.745614</v>
      </c>
      <c r="F446" s="374">
        <f>F444+F441+F438+F435+F432+F431+F425+F417+F404+F401+F391+F380+F372+F320+F306+F295+F255+F188+F176+F162+F142+F118+F111+F7</f>
        <v>4473</v>
      </c>
      <c r="G446" s="374"/>
      <c r="H446" s="374"/>
      <c r="I446" s="374"/>
      <c r="J446" s="374">
        <f>J444+J441+J438+J435+J432+J431+J425+J417+J404+J401+J391+J380+J372+J320+J306+J295+J255+J188+J176+J162+J142+J118+J111+J7</f>
        <v>-1.13686837721616e-13</v>
      </c>
      <c r="K446" s="374">
        <f>K444+K441+K438+K435+K432+K431+K425+K417+K404+K401+K391+K380+K372+K320+K306+K295+K255+K188+K176+K162+K142+K118+K111+K7</f>
        <v>132038.62</v>
      </c>
      <c r="L446" s="374">
        <f>L444+L441+L438+L435+L432+L431+L425+L417+L404+L401+L391+L380+L372+L320+L306+L295+L255+L188+L176+L162+L142+L118+L111+L7</f>
        <v>79122.125614</v>
      </c>
      <c r="M446" s="374">
        <f>M444+M441+M438+M435+M432+M431+M425+M417+M404+M401+M391+M380+M372+M320+M306+M295+M255+M188+M176+M162+M142+M118+M111+M7</f>
        <v>211060.745614</v>
      </c>
      <c r="N446" s="362">
        <f t="shared" si="50"/>
        <v>2.11575194601368</v>
      </c>
      <c r="O446" s="372"/>
    </row>
  </sheetData>
  <autoFilter xmlns:etc="http://www.wps.cn/officeDocument/2017/etCustomData" ref="A6:O446" etc:filterBottomFollowUsedRange="0">
    <extLst/>
  </autoFilter>
  <mergeCells count="15">
    <mergeCell ref="A2:O2"/>
    <mergeCell ref="A3:O3"/>
    <mergeCell ref="C4:E4"/>
    <mergeCell ref="F4:J4"/>
    <mergeCell ref="K4:M4"/>
    <mergeCell ref="F5:I5"/>
    <mergeCell ref="C5:C6"/>
    <mergeCell ref="D5:D6"/>
    <mergeCell ref="E5:E6"/>
    <mergeCell ref="K5:K6"/>
    <mergeCell ref="L5:L6"/>
    <mergeCell ref="M5:M6"/>
    <mergeCell ref="N4:N6"/>
    <mergeCell ref="O4:O6"/>
    <mergeCell ref="A4:B5"/>
  </mergeCells>
  <pageMargins left="0.393055555555556" right="0.275" top="0.393055555555556" bottom="0.590277777777778" header="0.511805555555556" footer="0.511805555555556"/>
  <pageSetup paperSize="9" scale="8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1"/>
  <sheetViews>
    <sheetView view="pageBreakPreview" zoomScaleNormal="100" topLeftCell="A17" workbookViewId="0">
      <selection activeCell="C17" sqref="C17"/>
    </sheetView>
  </sheetViews>
  <sheetFormatPr defaultColWidth="9" defaultRowHeight="14.25"/>
  <cols>
    <col min="1" max="1" width="37.25" style="52" customWidth="1"/>
    <col min="2" max="2" width="8.25" style="52" customWidth="1"/>
    <col min="3" max="6" width="8.875" style="52" customWidth="1"/>
    <col min="7" max="7" width="9" style="52"/>
    <col min="8" max="8" width="10.875" style="52" customWidth="1"/>
    <col min="9" max="9" width="9" style="52"/>
    <col min="10" max="10" width="25.75" style="52" customWidth="1"/>
    <col min="11" max="16384" width="9" style="52"/>
  </cols>
  <sheetData>
    <row r="1" ht="33" customHeight="1" spans="1:1">
      <c r="A1" s="52" t="s">
        <v>416</v>
      </c>
    </row>
    <row r="2" ht="38.25" customHeight="1" spans="1:10">
      <c r="A2" s="55" t="s">
        <v>417</v>
      </c>
      <c r="B2" s="55"/>
      <c r="C2" s="55"/>
      <c r="D2" s="55"/>
      <c r="E2" s="55"/>
      <c r="F2" s="55"/>
      <c r="G2" s="55"/>
      <c r="H2" s="55"/>
      <c r="I2" s="55"/>
      <c r="J2" s="55"/>
    </row>
    <row r="3" s="47" customFormat="1" ht="28.5" customHeight="1" spans="10:10">
      <c r="J3" s="335" t="s">
        <v>30</v>
      </c>
    </row>
    <row r="4" s="312" customFormat="1" ht="23.25" customHeight="1" spans="1:10">
      <c r="A4" s="313" t="s">
        <v>3</v>
      </c>
      <c r="B4" s="314" t="s">
        <v>31</v>
      </c>
      <c r="C4" s="315"/>
      <c r="D4" s="314" t="s">
        <v>418</v>
      </c>
      <c r="E4" s="315"/>
      <c r="F4" s="314" t="s">
        <v>33</v>
      </c>
      <c r="G4" s="315"/>
      <c r="H4" s="314" t="s">
        <v>419</v>
      </c>
      <c r="I4" s="315"/>
      <c r="J4" s="313" t="s">
        <v>11</v>
      </c>
    </row>
    <row r="5" s="312" customFormat="1" customHeight="1" spans="1:10">
      <c r="A5" s="316"/>
      <c r="B5" s="317"/>
      <c r="C5" s="318"/>
      <c r="D5" s="317"/>
      <c r="E5" s="318"/>
      <c r="F5" s="317"/>
      <c r="G5" s="318"/>
      <c r="H5" s="317"/>
      <c r="I5" s="318"/>
      <c r="J5" s="316"/>
    </row>
    <row r="6" s="312" customFormat="1" ht="28.5" customHeight="1" spans="1:10">
      <c r="A6" s="319"/>
      <c r="B6" s="46" t="s">
        <v>420</v>
      </c>
      <c r="C6" s="320" t="s">
        <v>421</v>
      </c>
      <c r="D6" s="46" t="s">
        <v>420</v>
      </c>
      <c r="E6" s="320" t="s">
        <v>421</v>
      </c>
      <c r="F6" s="46" t="s">
        <v>420</v>
      </c>
      <c r="G6" s="320" t="s">
        <v>421</v>
      </c>
      <c r="H6" s="46" t="s">
        <v>420</v>
      </c>
      <c r="I6" s="320" t="s">
        <v>421</v>
      </c>
      <c r="J6" s="319"/>
    </row>
    <row r="7" ht="27" customHeight="1" spans="1:10">
      <c r="A7" s="321" t="s">
        <v>422</v>
      </c>
      <c r="B7" s="322"/>
      <c r="C7" s="322">
        <v>0</v>
      </c>
      <c r="D7" s="322"/>
      <c r="E7" s="322"/>
      <c r="F7" s="322"/>
      <c r="G7" s="322"/>
      <c r="H7" s="323"/>
      <c r="I7" s="323"/>
      <c r="J7" s="87"/>
    </row>
    <row r="8" ht="27" customHeight="1" spans="1:10">
      <c r="A8" s="321" t="s">
        <v>423</v>
      </c>
      <c r="B8" s="322">
        <v>0</v>
      </c>
      <c r="C8" s="322">
        <v>0</v>
      </c>
      <c r="D8" s="322"/>
      <c r="E8" s="322"/>
      <c r="F8" s="322"/>
      <c r="G8" s="322"/>
      <c r="H8" s="323"/>
      <c r="I8" s="323"/>
      <c r="J8" s="87"/>
    </row>
    <row r="9" ht="27" customHeight="1" spans="1:10">
      <c r="A9" s="324" t="s">
        <v>424</v>
      </c>
      <c r="B9" s="322">
        <v>7347</v>
      </c>
      <c r="C9" s="322">
        <v>7347</v>
      </c>
      <c r="D9" s="322"/>
      <c r="E9" s="322"/>
      <c r="F9" s="322">
        <v>7347</v>
      </c>
      <c r="G9" s="322">
        <v>7347</v>
      </c>
      <c r="H9" s="323"/>
      <c r="I9" s="323"/>
      <c r="J9" s="86"/>
    </row>
    <row r="10" ht="27" customHeight="1" spans="1:10">
      <c r="A10" s="321" t="s">
        <v>425</v>
      </c>
      <c r="B10" s="322">
        <v>1000</v>
      </c>
      <c r="C10" s="322">
        <v>1000</v>
      </c>
      <c r="D10" s="322"/>
      <c r="E10" s="322"/>
      <c r="F10" s="322">
        <v>1000</v>
      </c>
      <c r="G10" s="322">
        <v>1000</v>
      </c>
      <c r="H10" s="323"/>
      <c r="I10" s="323"/>
      <c r="J10" s="86"/>
    </row>
    <row r="11" ht="27" customHeight="1" spans="1:10">
      <c r="A11" s="324" t="s">
        <v>426</v>
      </c>
      <c r="B11" s="322">
        <v>140977</v>
      </c>
      <c r="C11" s="322">
        <v>140977</v>
      </c>
      <c r="D11" s="322">
        <v>-3605</v>
      </c>
      <c r="E11" s="325">
        <v>-3605</v>
      </c>
      <c r="F11" s="322">
        <f>B11+D11</f>
        <v>137372</v>
      </c>
      <c r="G11" s="322">
        <f>C11+E11</f>
        <v>137372</v>
      </c>
      <c r="H11" s="326">
        <f>IF(B11=0,IF(F11=0,0,100),100*(F11/B11-1))</f>
        <v>-2.55715471318017</v>
      </c>
      <c r="I11" s="326">
        <f>IF(C11=0,IF(G11=0,0,100),100*(G11/C11-1))</f>
        <v>-2.55715471318017</v>
      </c>
      <c r="J11" s="86"/>
    </row>
    <row r="12" ht="27" customHeight="1" spans="1:10">
      <c r="A12" s="324" t="s">
        <v>427</v>
      </c>
      <c r="B12" s="322">
        <v>0</v>
      </c>
      <c r="C12" s="322">
        <v>0</v>
      </c>
      <c r="D12" s="322"/>
      <c r="E12" s="325"/>
      <c r="F12" s="322"/>
      <c r="G12" s="322"/>
      <c r="H12" s="323"/>
      <c r="I12" s="323"/>
      <c r="J12" s="86"/>
    </row>
    <row r="13" ht="27" customHeight="1" spans="1:10">
      <c r="A13" s="324" t="s">
        <v>428</v>
      </c>
      <c r="B13" s="322">
        <v>15834</v>
      </c>
      <c r="C13" s="322">
        <v>15834</v>
      </c>
      <c r="D13" s="322">
        <v>8078</v>
      </c>
      <c r="E13" s="325">
        <v>8078</v>
      </c>
      <c r="F13" s="322">
        <f>B13+D13</f>
        <v>23912</v>
      </c>
      <c r="G13" s="322">
        <f>C13+E13</f>
        <v>23912</v>
      </c>
      <c r="H13" s="323">
        <f>IF(B13=0,IF(F13=0,0,100),100*(F13/B13-1))</f>
        <v>51.0167992926614</v>
      </c>
      <c r="I13" s="323">
        <f>IF(C13=0,IF(G13=0,0,100),100*(G13/C13-1))</f>
        <v>51.0167992926614</v>
      </c>
      <c r="J13" s="86"/>
    </row>
    <row r="14" ht="27" customHeight="1" spans="1:10">
      <c r="A14" s="324" t="s">
        <v>429</v>
      </c>
      <c r="B14" s="322">
        <v>6164</v>
      </c>
      <c r="C14" s="322">
        <v>6164</v>
      </c>
      <c r="D14" s="322"/>
      <c r="E14" s="325"/>
      <c r="F14" s="322">
        <v>6164</v>
      </c>
      <c r="G14" s="322">
        <v>6164</v>
      </c>
      <c r="H14" s="323"/>
      <c r="I14" s="323"/>
      <c r="J14" s="86"/>
    </row>
    <row r="15" ht="27" customHeight="1" spans="1:10">
      <c r="A15" s="321" t="s">
        <v>430</v>
      </c>
      <c r="B15" s="322">
        <v>0</v>
      </c>
      <c r="C15" s="322"/>
      <c r="D15" s="322"/>
      <c r="E15" s="325"/>
      <c r="F15" s="322"/>
      <c r="G15" s="322"/>
      <c r="H15" s="323"/>
      <c r="I15" s="323"/>
      <c r="J15" s="90"/>
    </row>
    <row r="16" ht="27" customHeight="1" spans="1:10">
      <c r="A16" s="321" t="s">
        <v>431</v>
      </c>
      <c r="B16" s="322">
        <v>0</v>
      </c>
      <c r="C16" s="322"/>
      <c r="D16" s="322"/>
      <c r="E16" s="325"/>
      <c r="F16" s="322"/>
      <c r="G16" s="322"/>
      <c r="H16" s="323"/>
      <c r="I16" s="323"/>
      <c r="J16" s="90"/>
    </row>
    <row r="17" ht="27" customHeight="1" spans="1:10">
      <c r="A17" s="321" t="s">
        <v>432</v>
      </c>
      <c r="B17" s="322">
        <v>-4500</v>
      </c>
      <c r="C17" s="322">
        <v>-4500</v>
      </c>
      <c r="D17" s="322"/>
      <c r="E17" s="325"/>
      <c r="F17" s="322">
        <v>-4500</v>
      </c>
      <c r="G17" s="322">
        <v>-4500</v>
      </c>
      <c r="H17" s="323"/>
      <c r="I17" s="323"/>
      <c r="J17" s="87"/>
    </row>
    <row r="18" ht="27" customHeight="1" spans="1:10">
      <c r="A18" s="321" t="s">
        <v>433</v>
      </c>
      <c r="B18" s="322">
        <v>60</v>
      </c>
      <c r="C18" s="322">
        <v>60</v>
      </c>
      <c r="D18" s="322"/>
      <c r="E18" s="325"/>
      <c r="F18" s="322">
        <v>60</v>
      </c>
      <c r="G18" s="322">
        <v>60</v>
      </c>
      <c r="H18" s="323"/>
      <c r="I18" s="323"/>
      <c r="J18" s="90"/>
    </row>
    <row r="19" ht="27" customHeight="1" spans="1:10">
      <c r="A19" s="321" t="s">
        <v>434</v>
      </c>
      <c r="B19" s="322">
        <v>8000</v>
      </c>
      <c r="C19" s="322">
        <v>8000</v>
      </c>
      <c r="D19" s="322"/>
      <c r="E19" s="325"/>
      <c r="F19" s="322">
        <v>8000</v>
      </c>
      <c r="G19" s="322">
        <v>8000</v>
      </c>
      <c r="H19" s="323"/>
      <c r="I19" s="323"/>
      <c r="J19" s="86"/>
    </row>
    <row r="20" ht="27" customHeight="1" spans="1:254">
      <c r="A20" s="321" t="s">
        <v>435</v>
      </c>
      <c r="B20" s="322">
        <v>0</v>
      </c>
      <c r="C20" s="322">
        <v>0</v>
      </c>
      <c r="D20" s="322"/>
      <c r="E20" s="322"/>
      <c r="F20" s="322"/>
      <c r="G20" s="322"/>
      <c r="H20" s="323"/>
      <c r="I20" s="323"/>
      <c r="J20" s="8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36"/>
      <c r="BV20" s="336"/>
      <c r="BW20" s="336"/>
      <c r="BX20" s="336"/>
      <c r="BY20" s="336"/>
      <c r="BZ20" s="336"/>
      <c r="CA20" s="336"/>
      <c r="CB20" s="336"/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336"/>
      <c r="CU20" s="336"/>
      <c r="CV20" s="336"/>
      <c r="CW20" s="336"/>
      <c r="CX20" s="336"/>
      <c r="CY20" s="336"/>
      <c r="CZ20" s="336"/>
      <c r="DA20" s="336"/>
      <c r="DB20" s="336"/>
      <c r="DC20" s="336"/>
      <c r="DD20" s="336"/>
      <c r="DE20" s="336"/>
      <c r="DF20" s="336"/>
      <c r="DG20" s="336"/>
      <c r="DH20" s="336"/>
      <c r="DI20" s="336"/>
      <c r="DJ20" s="336"/>
      <c r="DK20" s="336"/>
      <c r="DL20" s="336"/>
      <c r="DM20" s="336"/>
      <c r="DN20" s="336"/>
      <c r="DO20" s="336"/>
      <c r="DP20" s="336"/>
      <c r="DQ20" s="336"/>
      <c r="DR20" s="336"/>
      <c r="DS20" s="336"/>
      <c r="DT20" s="336"/>
      <c r="DU20" s="336"/>
      <c r="DV20" s="336"/>
      <c r="DW20" s="336"/>
      <c r="DX20" s="336"/>
      <c r="DY20" s="336"/>
      <c r="DZ20" s="336"/>
      <c r="EA20" s="336"/>
      <c r="EB20" s="336"/>
      <c r="EC20" s="336"/>
      <c r="ED20" s="336"/>
      <c r="EE20" s="336"/>
      <c r="EF20" s="336"/>
      <c r="EG20" s="336"/>
      <c r="EH20" s="336"/>
      <c r="EI20" s="336"/>
      <c r="EJ20" s="336"/>
      <c r="EK20" s="336"/>
      <c r="EL20" s="336"/>
      <c r="EM20" s="336"/>
      <c r="EN20" s="336"/>
      <c r="EO20" s="336"/>
      <c r="EP20" s="336"/>
      <c r="EQ20" s="336"/>
      <c r="ER20" s="336"/>
      <c r="ES20" s="336"/>
      <c r="ET20" s="336"/>
      <c r="EU20" s="336"/>
      <c r="EV20" s="336"/>
      <c r="EW20" s="336"/>
      <c r="EX20" s="336"/>
      <c r="EY20" s="336"/>
      <c r="EZ20" s="336"/>
      <c r="FA20" s="336"/>
      <c r="FB20" s="336"/>
      <c r="FC20" s="336"/>
      <c r="FD20" s="336"/>
      <c r="FE20" s="336"/>
      <c r="FF20" s="336"/>
      <c r="FG20" s="336"/>
      <c r="FH20" s="336"/>
      <c r="FI20" s="336"/>
      <c r="FJ20" s="336"/>
      <c r="FK20" s="336"/>
      <c r="FL20" s="336"/>
      <c r="FM20" s="336"/>
      <c r="FN20" s="336"/>
      <c r="FO20" s="336"/>
      <c r="FP20" s="336"/>
      <c r="FQ20" s="336"/>
      <c r="FR20" s="336"/>
      <c r="FS20" s="336"/>
      <c r="FT20" s="336"/>
      <c r="FU20" s="336"/>
      <c r="FV20" s="336"/>
      <c r="FW20" s="336"/>
      <c r="FX20" s="336"/>
      <c r="FY20" s="336"/>
      <c r="FZ20" s="336"/>
      <c r="GA20" s="336"/>
      <c r="GB20" s="336"/>
      <c r="GC20" s="336"/>
      <c r="GD20" s="336"/>
      <c r="GE20" s="336"/>
      <c r="GF20" s="336"/>
      <c r="GG20" s="336"/>
      <c r="GH20" s="336"/>
      <c r="GI20" s="336"/>
      <c r="GJ20" s="336"/>
      <c r="GK20" s="336"/>
      <c r="GL20" s="336"/>
      <c r="GM20" s="336"/>
      <c r="GN20" s="336"/>
      <c r="GO20" s="336"/>
      <c r="GP20" s="336"/>
      <c r="GQ20" s="336"/>
      <c r="GR20" s="336"/>
      <c r="GS20" s="336"/>
      <c r="GT20" s="336"/>
      <c r="GU20" s="336"/>
      <c r="GV20" s="336"/>
      <c r="GW20" s="336"/>
      <c r="GX20" s="336"/>
      <c r="GY20" s="336"/>
      <c r="GZ20" s="336"/>
      <c r="HA20" s="336"/>
      <c r="HB20" s="336"/>
      <c r="HC20" s="336"/>
      <c r="HD20" s="336"/>
      <c r="HE20" s="336"/>
      <c r="HF20" s="336"/>
      <c r="HG20" s="336"/>
      <c r="HH20" s="336"/>
      <c r="HI20" s="336"/>
      <c r="HJ20" s="336"/>
      <c r="HK20" s="336"/>
      <c r="HL20" s="336"/>
      <c r="HM20" s="336"/>
      <c r="HN20" s="336"/>
      <c r="HO20" s="336"/>
      <c r="HP20" s="336"/>
      <c r="HQ20" s="336"/>
      <c r="HR20" s="336"/>
      <c r="HS20" s="336"/>
      <c r="HT20" s="336"/>
      <c r="HU20" s="336"/>
      <c r="HV20" s="336"/>
      <c r="HW20" s="336"/>
      <c r="HX20" s="336"/>
      <c r="HY20" s="336"/>
      <c r="HZ20" s="336"/>
      <c r="IA20" s="336"/>
      <c r="IB20" s="336"/>
      <c r="IC20" s="336"/>
      <c r="ID20" s="336"/>
      <c r="IE20" s="336"/>
      <c r="IF20" s="336"/>
      <c r="IG20" s="336"/>
      <c r="IH20" s="336"/>
      <c r="II20" s="336"/>
      <c r="IJ20" s="336"/>
      <c r="IK20" s="336"/>
      <c r="IL20" s="336"/>
      <c r="IM20" s="336"/>
      <c r="IN20" s="336"/>
      <c r="IO20" s="336"/>
      <c r="IP20" s="336"/>
      <c r="IQ20" s="336"/>
      <c r="IR20" s="336"/>
      <c r="IS20" s="336"/>
      <c r="IT20" s="336"/>
    </row>
    <row r="21" ht="27" customHeight="1" spans="1:254">
      <c r="A21" s="321" t="s">
        <v>436</v>
      </c>
      <c r="B21" s="322"/>
      <c r="C21" s="322">
        <v>0</v>
      </c>
      <c r="D21" s="322"/>
      <c r="E21" s="322"/>
      <c r="F21" s="322"/>
      <c r="G21" s="322"/>
      <c r="H21" s="323"/>
      <c r="I21" s="323"/>
      <c r="J21" s="8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36"/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336"/>
      <c r="CU21" s="336"/>
      <c r="CV21" s="336"/>
      <c r="CW21" s="336"/>
      <c r="CX21" s="336"/>
      <c r="CY21" s="336"/>
      <c r="CZ21" s="336"/>
      <c r="DA21" s="336"/>
      <c r="DB21" s="336"/>
      <c r="DC21" s="336"/>
      <c r="DD21" s="336"/>
      <c r="DE21" s="336"/>
      <c r="DF21" s="336"/>
      <c r="DG21" s="336"/>
      <c r="DH21" s="336"/>
      <c r="DI21" s="336"/>
      <c r="DJ21" s="336"/>
      <c r="DK21" s="336"/>
      <c r="DL21" s="336"/>
      <c r="DM21" s="336"/>
      <c r="DN21" s="336"/>
      <c r="DO21" s="336"/>
      <c r="DP21" s="336"/>
      <c r="DQ21" s="336"/>
      <c r="DR21" s="336"/>
      <c r="DS21" s="336"/>
      <c r="DT21" s="336"/>
      <c r="DU21" s="336"/>
      <c r="DV21" s="336"/>
      <c r="DW21" s="336"/>
      <c r="DX21" s="336"/>
      <c r="DY21" s="336"/>
      <c r="DZ21" s="336"/>
      <c r="EA21" s="336"/>
      <c r="EB21" s="336"/>
      <c r="EC21" s="336"/>
      <c r="ED21" s="336"/>
      <c r="EE21" s="336"/>
      <c r="EF21" s="336"/>
      <c r="EG21" s="336"/>
      <c r="EH21" s="336"/>
      <c r="EI21" s="336"/>
      <c r="EJ21" s="336"/>
      <c r="EK21" s="336"/>
      <c r="EL21" s="336"/>
      <c r="EM21" s="336"/>
      <c r="EN21" s="336"/>
      <c r="EO21" s="336"/>
      <c r="EP21" s="336"/>
      <c r="EQ21" s="336"/>
      <c r="ER21" s="336"/>
      <c r="ES21" s="336"/>
      <c r="ET21" s="336"/>
      <c r="EU21" s="336"/>
      <c r="EV21" s="336"/>
      <c r="EW21" s="336"/>
      <c r="EX21" s="336"/>
      <c r="EY21" s="336"/>
      <c r="EZ21" s="336"/>
      <c r="FA21" s="336"/>
      <c r="FB21" s="336"/>
      <c r="FC21" s="336"/>
      <c r="FD21" s="336"/>
      <c r="FE21" s="336"/>
      <c r="FF21" s="336"/>
      <c r="FG21" s="336"/>
      <c r="FH21" s="336"/>
      <c r="FI21" s="336"/>
      <c r="FJ21" s="336"/>
      <c r="FK21" s="336"/>
      <c r="FL21" s="336"/>
      <c r="FM21" s="336"/>
      <c r="FN21" s="336"/>
      <c r="FO21" s="336"/>
      <c r="FP21" s="336"/>
      <c r="FQ21" s="336"/>
      <c r="FR21" s="336"/>
      <c r="FS21" s="336"/>
      <c r="FT21" s="336"/>
      <c r="FU21" s="336"/>
      <c r="FV21" s="336"/>
      <c r="FW21" s="336"/>
      <c r="FX21" s="336"/>
      <c r="FY21" s="336"/>
      <c r="FZ21" s="336"/>
      <c r="GA21" s="336"/>
      <c r="GB21" s="336"/>
      <c r="GC21" s="336"/>
      <c r="GD21" s="336"/>
      <c r="GE21" s="336"/>
      <c r="GF21" s="336"/>
      <c r="GG21" s="336"/>
      <c r="GH21" s="336"/>
      <c r="GI21" s="336"/>
      <c r="GJ21" s="336"/>
      <c r="GK21" s="336"/>
      <c r="GL21" s="336"/>
      <c r="GM21" s="336"/>
      <c r="GN21" s="336"/>
      <c r="GO21" s="336"/>
      <c r="GP21" s="336"/>
      <c r="GQ21" s="336"/>
      <c r="GR21" s="336"/>
      <c r="GS21" s="336"/>
      <c r="GT21" s="336"/>
      <c r="GU21" s="336"/>
      <c r="GV21" s="336"/>
      <c r="GW21" s="336"/>
      <c r="GX21" s="336"/>
      <c r="GY21" s="336"/>
      <c r="GZ21" s="336"/>
      <c r="HA21" s="336"/>
      <c r="HB21" s="336"/>
      <c r="HC21" s="336"/>
      <c r="HD21" s="336"/>
      <c r="HE21" s="336"/>
      <c r="HF21" s="336"/>
      <c r="HG21" s="336"/>
      <c r="HH21" s="336"/>
      <c r="HI21" s="336"/>
      <c r="HJ21" s="336"/>
      <c r="HK21" s="336"/>
      <c r="HL21" s="336"/>
      <c r="HM21" s="336"/>
      <c r="HN21" s="336"/>
      <c r="HO21" s="336"/>
      <c r="HP21" s="336"/>
      <c r="HQ21" s="336"/>
      <c r="HR21" s="336"/>
      <c r="HS21" s="336"/>
      <c r="HT21" s="336"/>
      <c r="HU21" s="336"/>
      <c r="HV21" s="336"/>
      <c r="HW21" s="336"/>
      <c r="HX21" s="336"/>
      <c r="HY21" s="336"/>
      <c r="HZ21" s="336"/>
      <c r="IA21" s="336"/>
      <c r="IB21" s="336"/>
      <c r="IC21" s="336"/>
      <c r="ID21" s="336"/>
      <c r="IE21" s="336"/>
      <c r="IF21" s="336"/>
      <c r="IG21" s="336"/>
      <c r="IH21" s="336"/>
      <c r="II21" s="336"/>
      <c r="IJ21" s="336"/>
      <c r="IK21" s="336"/>
      <c r="IL21" s="336"/>
      <c r="IM21" s="336"/>
      <c r="IN21" s="336"/>
      <c r="IO21" s="336"/>
      <c r="IP21" s="336"/>
      <c r="IQ21" s="336"/>
      <c r="IR21" s="336"/>
      <c r="IS21" s="336"/>
      <c r="IT21" s="336"/>
    </row>
    <row r="22" ht="27" customHeight="1" spans="1:10">
      <c r="A22" s="321" t="s">
        <v>437</v>
      </c>
      <c r="B22" s="322"/>
      <c r="C22" s="322">
        <v>0</v>
      </c>
      <c r="D22" s="322"/>
      <c r="E22" s="322"/>
      <c r="F22" s="322"/>
      <c r="G22" s="322"/>
      <c r="H22" s="323"/>
      <c r="I22" s="323"/>
      <c r="J22" s="86"/>
    </row>
    <row r="23" ht="27" customHeight="1" spans="1:10">
      <c r="A23" s="321" t="s">
        <v>438</v>
      </c>
      <c r="B23" s="322"/>
      <c r="C23" s="322">
        <v>0</v>
      </c>
      <c r="D23" s="322"/>
      <c r="E23" s="322"/>
      <c r="F23" s="322"/>
      <c r="G23" s="322"/>
      <c r="H23" s="323"/>
      <c r="I23" s="323"/>
      <c r="J23" s="86"/>
    </row>
    <row r="24" ht="27" customHeight="1" spans="1:10">
      <c r="A24" s="324" t="s">
        <v>439</v>
      </c>
      <c r="B24" s="327">
        <v>0</v>
      </c>
      <c r="C24" s="327">
        <v>0</v>
      </c>
      <c r="D24" s="327"/>
      <c r="E24" s="327"/>
      <c r="F24" s="327"/>
      <c r="G24" s="327"/>
      <c r="H24" s="328"/>
      <c r="I24" s="328"/>
      <c r="J24" s="90"/>
    </row>
    <row r="25" ht="27" customHeight="1" spans="1:10">
      <c r="A25" s="329" t="s">
        <v>440</v>
      </c>
      <c r="B25" s="330">
        <v>174882</v>
      </c>
      <c r="C25" s="330">
        <v>174882</v>
      </c>
      <c r="D25" s="330">
        <f>SUM(D7:D24)</f>
        <v>4473</v>
      </c>
      <c r="E25" s="330">
        <f>SUM(E7:E24)</f>
        <v>4473</v>
      </c>
      <c r="F25" s="330">
        <f>SUM(F7:F24)</f>
        <v>179355</v>
      </c>
      <c r="G25" s="330">
        <f>SUM(G7:G24)</f>
        <v>179355</v>
      </c>
      <c r="H25" s="331">
        <f>IF(B25=0,IF(F25=0,0,100),100*(F25/B25-1))</f>
        <v>2.55772463718393</v>
      </c>
      <c r="I25" s="331">
        <f>IF(C25=0,IF(G25=0,0,100),100*(G25/C25-1))</f>
        <v>2.55772463718393</v>
      </c>
      <c r="J25" s="337"/>
    </row>
    <row r="26" ht="27" customHeight="1" spans="1:10">
      <c r="A26" s="332" t="s">
        <v>441</v>
      </c>
      <c r="B26" s="333">
        <v>64445</v>
      </c>
      <c r="C26" s="333">
        <v>64445</v>
      </c>
      <c r="D26" s="333"/>
      <c r="E26" s="333"/>
      <c r="F26" s="333">
        <v>64445</v>
      </c>
      <c r="G26" s="333">
        <v>64445</v>
      </c>
      <c r="H26" s="334"/>
      <c r="I26" s="338"/>
      <c r="J26" s="89"/>
    </row>
    <row r="27" ht="27" customHeight="1" spans="1:10">
      <c r="A27" s="321" t="s">
        <v>442</v>
      </c>
      <c r="B27" s="322">
        <v>600</v>
      </c>
      <c r="C27" s="322">
        <v>600</v>
      </c>
      <c r="D27" s="322"/>
      <c r="E27" s="322"/>
      <c r="F27" s="322">
        <v>600</v>
      </c>
      <c r="G27" s="322">
        <v>600</v>
      </c>
      <c r="H27" s="323"/>
      <c r="I27" s="323"/>
      <c r="J27" s="86"/>
    </row>
    <row r="28" ht="27" customHeight="1" spans="1:10">
      <c r="A28" s="321" t="s">
        <v>443</v>
      </c>
      <c r="B28" s="322">
        <v>13845</v>
      </c>
      <c r="C28" s="322">
        <v>13845</v>
      </c>
      <c r="D28" s="322"/>
      <c r="E28" s="322"/>
      <c r="F28" s="322">
        <v>13845</v>
      </c>
      <c r="G28" s="322">
        <v>13845</v>
      </c>
      <c r="H28" s="323"/>
      <c r="I28" s="323"/>
      <c r="J28" s="86"/>
    </row>
    <row r="29" ht="27" customHeight="1" spans="1:10">
      <c r="A29" s="321" t="s">
        <v>444</v>
      </c>
      <c r="B29" s="322">
        <v>50000</v>
      </c>
      <c r="C29" s="322">
        <v>50000</v>
      </c>
      <c r="D29" s="322"/>
      <c r="E29" s="322"/>
      <c r="F29" s="322">
        <v>50000</v>
      </c>
      <c r="G29" s="322">
        <v>50000</v>
      </c>
      <c r="H29" s="323"/>
      <c r="I29" s="323"/>
      <c r="J29" s="86"/>
    </row>
    <row r="30" ht="27" customHeight="1" spans="1:10">
      <c r="A30" s="324" t="s">
        <v>445</v>
      </c>
      <c r="B30" s="327"/>
      <c r="C30" s="327"/>
      <c r="D30" s="327"/>
      <c r="E30" s="327"/>
      <c r="F30" s="327"/>
      <c r="G30" s="327"/>
      <c r="H30" s="328"/>
      <c r="I30" s="328"/>
      <c r="J30" s="90"/>
    </row>
    <row r="31" ht="27" customHeight="1" spans="1:10">
      <c r="A31" s="329" t="s">
        <v>446</v>
      </c>
      <c r="B31" s="330">
        <v>239327</v>
      </c>
      <c r="C31" s="330">
        <v>239327</v>
      </c>
      <c r="D31" s="330">
        <f>D26+D25</f>
        <v>4473</v>
      </c>
      <c r="E31" s="330">
        <f>E26+E25</f>
        <v>4473</v>
      </c>
      <c r="F31" s="330">
        <f>F26+F25</f>
        <v>243800</v>
      </c>
      <c r="G31" s="330">
        <f>G26+G25</f>
        <v>243800</v>
      </c>
      <c r="H31" s="331">
        <f>IF(B31=0,IF(F31=0,0,100),100*(F31/B31-1))</f>
        <v>1.86899096215638</v>
      </c>
      <c r="I31" s="331">
        <f>IF(C31=0,IF(G31=0,0,100),100*(G31/C31-1))</f>
        <v>1.86899096215638</v>
      </c>
      <c r="J31" s="337"/>
    </row>
  </sheetData>
  <mergeCells count="7">
    <mergeCell ref="A2:J2"/>
    <mergeCell ref="A4:A6"/>
    <mergeCell ref="J4:J6"/>
    <mergeCell ref="B4:C5"/>
    <mergeCell ref="D4:E5"/>
    <mergeCell ref="F4:G5"/>
    <mergeCell ref="H4:I5"/>
  </mergeCells>
  <pageMargins left="0.679166666666667" right="0.318055555555556" top="0.438888888888889" bottom="0.51875" header="0.188888888888889" footer="0.25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view="pageBreakPreview" zoomScaleNormal="100" topLeftCell="A46" workbookViewId="0">
      <selection activeCell="J47" sqref="J47"/>
    </sheetView>
  </sheetViews>
  <sheetFormatPr defaultColWidth="9" defaultRowHeight="13.5"/>
  <cols>
    <col min="1" max="1" width="7.75" style="200" customWidth="1"/>
    <col min="2" max="2" width="12.875" style="200" customWidth="1"/>
    <col min="3" max="3" width="23.75" style="200" customWidth="1"/>
    <col min="4" max="4" width="22.625" style="201" customWidth="1"/>
    <col min="5" max="5" width="10.25" style="201" customWidth="1"/>
    <col min="6" max="6" width="10.5" style="201" customWidth="1"/>
    <col min="7" max="9" width="10.25" style="201" customWidth="1"/>
    <col min="10" max="10" width="25" style="200" customWidth="1"/>
    <col min="11" max="16384" width="9" style="201"/>
  </cols>
  <sheetData>
    <row r="1" ht="27.75" customHeight="1" spans="1:2">
      <c r="A1" s="202" t="s">
        <v>447</v>
      </c>
      <c r="B1" s="202"/>
    </row>
    <row r="2" ht="10.5" customHeight="1" spans="1:10">
      <c r="A2" s="104" t="s">
        <v>448</v>
      </c>
      <c r="B2" s="104"/>
      <c r="C2" s="104"/>
      <c r="D2" s="105"/>
      <c r="E2" s="105"/>
      <c r="F2" s="105"/>
      <c r="G2" s="105"/>
      <c r="H2" s="105"/>
      <c r="I2" s="105"/>
      <c r="J2" s="105"/>
    </row>
    <row r="3" ht="14.25" customHeight="1" spans="1:10">
      <c r="A3" s="104"/>
      <c r="B3" s="104"/>
      <c r="C3" s="104"/>
      <c r="D3" s="105"/>
      <c r="E3" s="105"/>
      <c r="F3" s="105"/>
      <c r="G3" s="105"/>
      <c r="H3" s="105"/>
      <c r="I3" s="105"/>
      <c r="J3" s="105"/>
    </row>
    <row r="4" ht="12.75" customHeight="1" spans="1:10">
      <c r="A4" s="104"/>
      <c r="B4" s="104"/>
      <c r="C4" s="104"/>
      <c r="D4" s="105"/>
      <c r="E4" s="105"/>
      <c r="F4" s="105"/>
      <c r="G4" s="105"/>
      <c r="H4" s="105"/>
      <c r="I4" s="105"/>
      <c r="J4" s="105"/>
    </row>
    <row r="5" ht="20.25" customHeight="1" spans="10:10">
      <c r="J5" s="271" t="s">
        <v>449</v>
      </c>
    </row>
    <row r="6" s="198" customFormat="1" ht="32.25" customHeight="1" spans="1:11">
      <c r="A6" s="203" t="s">
        <v>450</v>
      </c>
      <c r="B6" s="204" t="s">
        <v>451</v>
      </c>
      <c r="C6" s="204" t="s">
        <v>452</v>
      </c>
      <c r="D6" s="204" t="s">
        <v>453</v>
      </c>
      <c r="E6" s="204" t="s">
        <v>454</v>
      </c>
      <c r="F6" s="205" t="s">
        <v>455</v>
      </c>
      <c r="G6" s="205" t="s">
        <v>456</v>
      </c>
      <c r="H6" s="205" t="s">
        <v>457</v>
      </c>
      <c r="I6" s="272" t="s">
        <v>458</v>
      </c>
      <c r="J6" s="204" t="s">
        <v>11</v>
      </c>
      <c r="K6" s="273" t="s">
        <v>459</v>
      </c>
    </row>
    <row r="7" ht="24" spans="1:11">
      <c r="A7" s="206">
        <v>1</v>
      </c>
      <c r="B7" s="207" t="s">
        <v>460</v>
      </c>
      <c r="C7" s="208" t="s">
        <v>461</v>
      </c>
      <c r="D7" s="209" t="s">
        <v>462</v>
      </c>
      <c r="E7" s="210">
        <v>26.9355</v>
      </c>
      <c r="F7" s="210">
        <v>11400</v>
      </c>
      <c r="G7" s="210">
        <v>11400</v>
      </c>
      <c r="H7" s="210">
        <v>11400</v>
      </c>
      <c r="I7" s="210">
        <f t="shared" ref="I7:I52" si="0">H7-G7</f>
        <v>0</v>
      </c>
      <c r="J7" s="274" t="s">
        <v>463</v>
      </c>
      <c r="K7" s="275" t="s">
        <v>464</v>
      </c>
    </row>
    <row r="8" ht="24" spans="1:11">
      <c r="A8" s="206">
        <v>2</v>
      </c>
      <c r="B8" s="207" t="s">
        <v>460</v>
      </c>
      <c r="C8" s="208" t="s">
        <v>465</v>
      </c>
      <c r="D8" s="209" t="s">
        <v>466</v>
      </c>
      <c r="E8" s="210">
        <v>44</v>
      </c>
      <c r="F8" s="210">
        <v>18800</v>
      </c>
      <c r="G8" s="210">
        <v>18800</v>
      </c>
      <c r="H8" s="210">
        <v>18800</v>
      </c>
      <c r="I8" s="210">
        <f t="shared" si="0"/>
        <v>0</v>
      </c>
      <c r="J8" s="274" t="s">
        <v>467</v>
      </c>
      <c r="K8" s="275" t="s">
        <v>464</v>
      </c>
    </row>
    <row r="9" ht="24" spans="1:11">
      <c r="A9" s="206">
        <v>3</v>
      </c>
      <c r="B9" s="207" t="s">
        <v>460</v>
      </c>
      <c r="C9" s="208" t="s">
        <v>468</v>
      </c>
      <c r="D9" s="209" t="s">
        <v>469</v>
      </c>
      <c r="E9" s="211">
        <v>50</v>
      </c>
      <c r="F9" s="210">
        <v>75100</v>
      </c>
      <c r="G9" s="210">
        <v>75100</v>
      </c>
      <c r="H9" s="210">
        <v>75100</v>
      </c>
      <c r="I9" s="210">
        <f t="shared" si="0"/>
        <v>0</v>
      </c>
      <c r="J9" s="274" t="s">
        <v>470</v>
      </c>
      <c r="K9" s="275" t="s">
        <v>464</v>
      </c>
    </row>
    <row r="10" ht="24" spans="1:11">
      <c r="A10" s="206">
        <v>4</v>
      </c>
      <c r="B10" s="207" t="s">
        <v>460</v>
      </c>
      <c r="C10" s="208" t="s">
        <v>471</v>
      </c>
      <c r="D10" s="209" t="s">
        <v>472</v>
      </c>
      <c r="E10" s="210">
        <v>26.367</v>
      </c>
      <c r="F10" s="210">
        <v>4910</v>
      </c>
      <c r="G10" s="210">
        <v>0</v>
      </c>
      <c r="H10" s="210">
        <v>0</v>
      </c>
      <c r="I10" s="210">
        <f t="shared" si="0"/>
        <v>0</v>
      </c>
      <c r="J10" s="274" t="s">
        <v>473</v>
      </c>
      <c r="K10" s="275" t="s">
        <v>464</v>
      </c>
    </row>
    <row r="11" ht="24" spans="1:11">
      <c r="A11" s="206">
        <v>5</v>
      </c>
      <c r="B11" s="207" t="s">
        <v>460</v>
      </c>
      <c r="C11" s="208" t="s">
        <v>471</v>
      </c>
      <c r="D11" s="209" t="s">
        <v>474</v>
      </c>
      <c r="E11" s="210">
        <v>12.76</v>
      </c>
      <c r="F11" s="210">
        <v>5544</v>
      </c>
      <c r="G11" s="210">
        <v>0</v>
      </c>
      <c r="H11" s="210">
        <v>0</v>
      </c>
      <c r="I11" s="210">
        <f t="shared" si="0"/>
        <v>0</v>
      </c>
      <c r="J11" s="274" t="s">
        <v>475</v>
      </c>
      <c r="K11" s="275" t="s">
        <v>464</v>
      </c>
    </row>
    <row r="12" ht="24.75" spans="1:11">
      <c r="A12" s="206">
        <v>6</v>
      </c>
      <c r="B12" s="207" t="s">
        <v>460</v>
      </c>
      <c r="C12" s="208" t="s">
        <v>471</v>
      </c>
      <c r="D12" s="209" t="s">
        <v>476</v>
      </c>
      <c r="E12" s="210">
        <v>13.46</v>
      </c>
      <c r="F12" s="210">
        <v>4558</v>
      </c>
      <c r="G12" s="212">
        <v>0</v>
      </c>
      <c r="H12" s="212">
        <v>0</v>
      </c>
      <c r="I12" s="212">
        <f t="shared" si="0"/>
        <v>0</v>
      </c>
      <c r="J12" s="276" t="s">
        <v>475</v>
      </c>
      <c r="K12" s="277" t="s">
        <v>464</v>
      </c>
    </row>
    <row r="13" s="199" customFormat="1" ht="21" customHeight="1" spans="1:11">
      <c r="A13" s="213" t="s">
        <v>477</v>
      </c>
      <c r="B13" s="214"/>
      <c r="C13" s="214"/>
      <c r="D13" s="215"/>
      <c r="E13" s="216">
        <f>SUM(E7:E12)</f>
        <v>173.5225</v>
      </c>
      <c r="F13" s="216">
        <f>SUM(F7:F12)</f>
        <v>120312</v>
      </c>
      <c r="G13" s="216">
        <f>SUM(G7:G12)</f>
        <v>105300</v>
      </c>
      <c r="H13" s="216">
        <f>SUM(H7:H12)</f>
        <v>105300</v>
      </c>
      <c r="I13" s="278">
        <f t="shared" si="0"/>
        <v>0</v>
      </c>
      <c r="J13" s="279"/>
      <c r="K13" s="280"/>
    </row>
    <row r="14" ht="37.5" customHeight="1" spans="1:11">
      <c r="A14" s="217">
        <v>1</v>
      </c>
      <c r="B14" s="218" t="s">
        <v>478</v>
      </c>
      <c r="C14" s="219" t="s">
        <v>479</v>
      </c>
      <c r="D14" s="220"/>
      <c r="E14" s="220"/>
      <c r="F14" s="221">
        <v>1921</v>
      </c>
      <c r="G14" s="221">
        <v>0</v>
      </c>
      <c r="H14" s="221">
        <v>0</v>
      </c>
      <c r="I14" s="221">
        <f t="shared" si="0"/>
        <v>0</v>
      </c>
      <c r="J14" s="281" t="s">
        <v>480</v>
      </c>
      <c r="K14" s="282" t="s">
        <v>481</v>
      </c>
    </row>
    <row r="15" ht="24" spans="1:11">
      <c r="A15" s="206">
        <v>2</v>
      </c>
      <c r="B15" s="207" t="s">
        <v>478</v>
      </c>
      <c r="C15" s="208" t="s">
        <v>482</v>
      </c>
      <c r="D15" s="211"/>
      <c r="E15" s="211"/>
      <c r="F15" s="210">
        <v>7374</v>
      </c>
      <c r="G15" s="210">
        <v>15000</v>
      </c>
      <c r="H15" s="222">
        <f>24105-1027</f>
        <v>23078</v>
      </c>
      <c r="I15" s="210">
        <f t="shared" si="0"/>
        <v>8078</v>
      </c>
      <c r="J15" s="283" t="s">
        <v>483</v>
      </c>
      <c r="K15" s="284" t="s">
        <v>484</v>
      </c>
    </row>
    <row r="16" spans="1:11">
      <c r="A16" s="206">
        <v>3</v>
      </c>
      <c r="B16" s="207" t="s">
        <v>478</v>
      </c>
      <c r="C16" s="208" t="s">
        <v>485</v>
      </c>
      <c r="D16" s="208" t="s">
        <v>486</v>
      </c>
      <c r="E16" s="223">
        <v>136.142</v>
      </c>
      <c r="F16" s="223">
        <v>2240</v>
      </c>
      <c r="G16" s="223">
        <v>2240</v>
      </c>
      <c r="H16" s="223">
        <v>2240</v>
      </c>
      <c r="I16" s="210">
        <f t="shared" si="0"/>
        <v>0</v>
      </c>
      <c r="J16" s="274" t="s">
        <v>487</v>
      </c>
      <c r="K16" s="284" t="s">
        <v>464</v>
      </c>
    </row>
    <row r="17" ht="37.5" customHeight="1" spans="1:11">
      <c r="A17" s="217">
        <v>4</v>
      </c>
      <c r="B17" s="207" t="s">
        <v>478</v>
      </c>
      <c r="C17" s="208" t="s">
        <v>488</v>
      </c>
      <c r="D17" s="208" t="s">
        <v>489</v>
      </c>
      <c r="E17" s="223">
        <v>25</v>
      </c>
      <c r="F17" s="223">
        <v>1000</v>
      </c>
      <c r="G17" s="223">
        <v>0</v>
      </c>
      <c r="H17" s="223">
        <v>0</v>
      </c>
      <c r="I17" s="210">
        <f t="shared" si="0"/>
        <v>0</v>
      </c>
      <c r="J17" s="283" t="s">
        <v>490</v>
      </c>
      <c r="K17" s="284" t="s">
        <v>464</v>
      </c>
    </row>
    <row r="18" ht="24" spans="1:11">
      <c r="A18" s="206">
        <v>5</v>
      </c>
      <c r="B18" s="207" t="s">
        <v>478</v>
      </c>
      <c r="C18" s="208" t="s">
        <v>491</v>
      </c>
      <c r="D18" s="208" t="s">
        <v>492</v>
      </c>
      <c r="E18" s="223">
        <v>1.197</v>
      </c>
      <c r="F18" s="223">
        <v>54</v>
      </c>
      <c r="G18" s="223">
        <v>54</v>
      </c>
      <c r="H18" s="223">
        <v>54</v>
      </c>
      <c r="I18" s="210">
        <f t="shared" si="0"/>
        <v>0</v>
      </c>
      <c r="J18" s="283" t="s">
        <v>493</v>
      </c>
      <c r="K18" s="282" t="s">
        <v>481</v>
      </c>
    </row>
    <row r="19" spans="1:11">
      <c r="A19" s="206">
        <v>6</v>
      </c>
      <c r="B19" s="207" t="s">
        <v>478</v>
      </c>
      <c r="C19" s="208" t="s">
        <v>494</v>
      </c>
      <c r="D19" s="208" t="s">
        <v>495</v>
      </c>
      <c r="E19" s="223">
        <v>2.4</v>
      </c>
      <c r="F19" s="223">
        <v>131</v>
      </c>
      <c r="G19" s="223">
        <v>131</v>
      </c>
      <c r="H19" s="223">
        <v>131</v>
      </c>
      <c r="I19" s="210">
        <f t="shared" si="0"/>
        <v>0</v>
      </c>
      <c r="J19" s="274" t="s">
        <v>496</v>
      </c>
      <c r="K19" s="284" t="s">
        <v>464</v>
      </c>
    </row>
    <row r="20" ht="30.75" customHeight="1" spans="1:11">
      <c r="A20" s="206">
        <v>7</v>
      </c>
      <c r="B20" s="207" t="s">
        <v>478</v>
      </c>
      <c r="C20" s="224" t="s">
        <v>497</v>
      </c>
      <c r="D20" s="225" t="s">
        <v>498</v>
      </c>
      <c r="E20" s="223">
        <v>24.7</v>
      </c>
      <c r="F20" s="223"/>
      <c r="G20" s="210">
        <v>812.4075</v>
      </c>
      <c r="H20" s="210">
        <v>812.4075</v>
      </c>
      <c r="I20" s="210">
        <f t="shared" si="0"/>
        <v>0</v>
      </c>
      <c r="J20" s="283"/>
      <c r="K20" s="275" t="s">
        <v>481</v>
      </c>
    </row>
    <row r="21" ht="30.75" customHeight="1" spans="1:11">
      <c r="A21" s="206">
        <v>8</v>
      </c>
      <c r="B21" s="207" t="s">
        <v>478</v>
      </c>
      <c r="C21" s="224" t="s">
        <v>499</v>
      </c>
      <c r="D21" s="225"/>
      <c r="E21" s="223"/>
      <c r="F21" s="223"/>
      <c r="G21" s="210">
        <v>34.3046</v>
      </c>
      <c r="H21" s="210">
        <v>34.3046</v>
      </c>
      <c r="I21" s="210">
        <f t="shared" si="0"/>
        <v>0</v>
      </c>
      <c r="J21" s="283"/>
      <c r="K21" s="275" t="s">
        <v>484</v>
      </c>
    </row>
    <row r="22" ht="30.75" customHeight="1" spans="1:11">
      <c r="A22" s="206">
        <v>9</v>
      </c>
      <c r="B22" s="207" t="s">
        <v>478</v>
      </c>
      <c r="C22" s="207" t="s">
        <v>500</v>
      </c>
      <c r="D22" s="225"/>
      <c r="E22" s="223"/>
      <c r="F22" s="223"/>
      <c r="G22" s="210">
        <v>2268.7</v>
      </c>
      <c r="H22" s="210">
        <v>2268.7</v>
      </c>
      <c r="I22" s="210">
        <f t="shared" si="0"/>
        <v>0</v>
      </c>
      <c r="J22" s="283"/>
      <c r="K22" s="275" t="s">
        <v>501</v>
      </c>
    </row>
    <row r="23" ht="30.75" customHeight="1" spans="1:11">
      <c r="A23" s="206">
        <v>10</v>
      </c>
      <c r="B23" s="207" t="s">
        <v>478</v>
      </c>
      <c r="C23" s="226" t="s">
        <v>502</v>
      </c>
      <c r="D23" s="225"/>
      <c r="E23" s="223"/>
      <c r="F23" s="223"/>
      <c r="G23" s="210">
        <v>361</v>
      </c>
      <c r="H23" s="210">
        <v>361</v>
      </c>
      <c r="I23" s="210">
        <f t="shared" si="0"/>
        <v>0</v>
      </c>
      <c r="J23" s="283"/>
      <c r="K23" s="275" t="s">
        <v>501</v>
      </c>
    </row>
    <row r="24" ht="27" customHeight="1" spans="1:11">
      <c r="A24" s="206">
        <v>11</v>
      </c>
      <c r="B24" s="225" t="s">
        <v>503</v>
      </c>
      <c r="C24" s="225" t="s">
        <v>504</v>
      </c>
      <c r="D24" s="225" t="s">
        <v>505</v>
      </c>
      <c r="E24" s="223">
        <v>24.329</v>
      </c>
      <c r="F24" s="223">
        <v>1047</v>
      </c>
      <c r="G24" s="223">
        <v>0</v>
      </c>
      <c r="H24" s="223">
        <v>0</v>
      </c>
      <c r="I24" s="210">
        <f t="shared" si="0"/>
        <v>0</v>
      </c>
      <c r="J24" s="283" t="s">
        <v>506</v>
      </c>
      <c r="K24" s="284" t="s">
        <v>464</v>
      </c>
    </row>
    <row r="25" ht="27" customHeight="1" spans="1:11">
      <c r="A25" s="206">
        <v>12</v>
      </c>
      <c r="B25" s="225" t="s">
        <v>503</v>
      </c>
      <c r="C25" s="207" t="s">
        <v>507</v>
      </c>
      <c r="D25" s="208" t="s">
        <v>508</v>
      </c>
      <c r="E25" s="223">
        <v>22</v>
      </c>
      <c r="F25" s="227">
        <v>1115</v>
      </c>
      <c r="G25" s="227">
        <v>1115</v>
      </c>
      <c r="H25" s="227">
        <v>1115</v>
      </c>
      <c r="I25" s="210">
        <f t="shared" si="0"/>
        <v>0</v>
      </c>
      <c r="J25" s="283" t="s">
        <v>509</v>
      </c>
      <c r="K25" s="284" t="s">
        <v>464</v>
      </c>
    </row>
    <row r="26" ht="46.5" spans="1:11">
      <c r="A26" s="206">
        <v>13</v>
      </c>
      <c r="B26" s="225" t="s">
        <v>503</v>
      </c>
      <c r="C26" s="225" t="s">
        <v>510</v>
      </c>
      <c r="D26" s="225" t="s">
        <v>511</v>
      </c>
      <c r="E26" s="223">
        <v>35.463</v>
      </c>
      <c r="F26" s="223">
        <v>1680</v>
      </c>
      <c r="G26" s="210">
        <v>5680</v>
      </c>
      <c r="H26" s="210">
        <v>5680</v>
      </c>
      <c r="I26" s="210">
        <f t="shared" si="0"/>
        <v>0</v>
      </c>
      <c r="J26" s="285" t="s">
        <v>512</v>
      </c>
      <c r="K26" s="284" t="s">
        <v>464</v>
      </c>
    </row>
    <row r="27" ht="37.5" customHeight="1" spans="1:11">
      <c r="A27" s="206">
        <v>14</v>
      </c>
      <c r="B27" s="225" t="s">
        <v>503</v>
      </c>
      <c r="C27" s="208" t="s">
        <v>513</v>
      </c>
      <c r="D27" s="208" t="s">
        <v>514</v>
      </c>
      <c r="E27" s="223">
        <v>33</v>
      </c>
      <c r="F27" s="223">
        <v>1795</v>
      </c>
      <c r="G27" s="223">
        <f>150*33</f>
        <v>4950</v>
      </c>
      <c r="H27" s="223">
        <f>150*33</f>
        <v>4950</v>
      </c>
      <c r="I27" s="210">
        <f t="shared" si="0"/>
        <v>0</v>
      </c>
      <c r="J27" s="283" t="s">
        <v>515</v>
      </c>
      <c r="K27" s="284" t="s">
        <v>464</v>
      </c>
    </row>
    <row r="28" ht="36.75" customHeight="1" spans="1:11">
      <c r="A28" s="206">
        <v>15</v>
      </c>
      <c r="B28" s="225" t="s">
        <v>503</v>
      </c>
      <c r="C28" s="225" t="s">
        <v>516</v>
      </c>
      <c r="D28" s="225" t="s">
        <v>517</v>
      </c>
      <c r="E28" s="223">
        <v>30</v>
      </c>
      <c r="F28" s="227">
        <v>1224</v>
      </c>
      <c r="G28" s="227">
        <v>1224</v>
      </c>
      <c r="H28" s="227">
        <v>1224</v>
      </c>
      <c r="I28" s="210">
        <f t="shared" si="0"/>
        <v>0</v>
      </c>
      <c r="J28" s="286" t="s">
        <v>518</v>
      </c>
      <c r="K28" s="284" t="s">
        <v>501</v>
      </c>
    </row>
    <row r="29" ht="30.75" customHeight="1" spans="1:11">
      <c r="A29" s="206">
        <v>16</v>
      </c>
      <c r="B29" s="225" t="s">
        <v>503</v>
      </c>
      <c r="C29" s="207" t="s">
        <v>519</v>
      </c>
      <c r="D29" s="207" t="s">
        <v>520</v>
      </c>
      <c r="E29" s="228">
        <v>7.05</v>
      </c>
      <c r="F29" s="210"/>
      <c r="G29" s="210">
        <v>317.25</v>
      </c>
      <c r="H29" s="210">
        <v>317.25</v>
      </c>
      <c r="I29" s="210">
        <f t="shared" si="0"/>
        <v>0</v>
      </c>
      <c r="J29" s="283" t="s">
        <v>521</v>
      </c>
      <c r="K29" s="284" t="s">
        <v>464</v>
      </c>
    </row>
    <row r="30" ht="24" spans="1:11">
      <c r="A30" s="206">
        <v>17</v>
      </c>
      <c r="B30" s="225" t="s">
        <v>503</v>
      </c>
      <c r="C30" s="207" t="s">
        <v>522</v>
      </c>
      <c r="D30" s="207" t="s">
        <v>523</v>
      </c>
      <c r="E30" s="228">
        <v>15</v>
      </c>
      <c r="F30" s="210"/>
      <c r="G30" s="210">
        <v>2250</v>
      </c>
      <c r="H30" s="210">
        <v>2250</v>
      </c>
      <c r="I30" s="210">
        <f t="shared" si="0"/>
        <v>0</v>
      </c>
      <c r="J30" s="283" t="s">
        <v>524</v>
      </c>
      <c r="K30" s="284" t="s">
        <v>464</v>
      </c>
    </row>
    <row r="31" ht="51.75" customHeight="1" spans="1:11">
      <c r="A31" s="206">
        <v>18</v>
      </c>
      <c r="B31" s="225" t="s">
        <v>525</v>
      </c>
      <c r="C31" s="207" t="s">
        <v>526</v>
      </c>
      <c r="D31" s="229" t="s">
        <v>527</v>
      </c>
      <c r="E31" s="228">
        <v>12</v>
      </c>
      <c r="F31" s="210"/>
      <c r="G31" s="210">
        <v>540</v>
      </c>
      <c r="H31" s="210">
        <v>540</v>
      </c>
      <c r="I31" s="210">
        <f t="shared" si="0"/>
        <v>0</v>
      </c>
      <c r="J31" s="283" t="s">
        <v>528</v>
      </c>
      <c r="K31" s="284" t="s">
        <v>464</v>
      </c>
    </row>
    <row r="32" ht="58.5" customHeight="1" spans="1:11">
      <c r="A32" s="206">
        <v>19</v>
      </c>
      <c r="B32" s="225" t="s">
        <v>525</v>
      </c>
      <c r="C32" s="207" t="s">
        <v>529</v>
      </c>
      <c r="D32" s="229" t="s">
        <v>527</v>
      </c>
      <c r="E32" s="228">
        <v>11</v>
      </c>
      <c r="F32" s="210"/>
      <c r="G32" s="210">
        <v>495</v>
      </c>
      <c r="H32" s="210">
        <v>495</v>
      </c>
      <c r="I32" s="210">
        <f t="shared" si="0"/>
        <v>0</v>
      </c>
      <c r="J32" s="283" t="s">
        <v>528</v>
      </c>
      <c r="K32" s="284" t="s">
        <v>464</v>
      </c>
    </row>
    <row r="33" spans="1:11">
      <c r="A33" s="206">
        <v>20</v>
      </c>
      <c r="B33" s="207" t="s">
        <v>530</v>
      </c>
      <c r="C33" s="207" t="s">
        <v>531</v>
      </c>
      <c r="D33" s="207" t="s">
        <v>532</v>
      </c>
      <c r="E33" s="223">
        <v>14.51</v>
      </c>
      <c r="F33" s="227">
        <v>785</v>
      </c>
      <c r="G33" s="227">
        <v>785</v>
      </c>
      <c r="H33" s="227">
        <v>785</v>
      </c>
      <c r="I33" s="210">
        <f t="shared" si="0"/>
        <v>0</v>
      </c>
      <c r="J33" s="274" t="s">
        <v>496</v>
      </c>
      <c r="K33" s="284" t="s">
        <v>464</v>
      </c>
    </row>
    <row r="34" spans="1:11">
      <c r="A34" s="206">
        <v>21</v>
      </c>
      <c r="B34" s="207" t="s">
        <v>530</v>
      </c>
      <c r="C34" s="207"/>
      <c r="D34" s="207" t="s">
        <v>533</v>
      </c>
      <c r="E34" s="223">
        <v>14.75</v>
      </c>
      <c r="F34" s="227">
        <v>785</v>
      </c>
      <c r="G34" s="227">
        <v>0</v>
      </c>
      <c r="H34" s="227">
        <v>0</v>
      </c>
      <c r="I34" s="210">
        <f t="shared" si="0"/>
        <v>0</v>
      </c>
      <c r="J34" s="283" t="s">
        <v>534</v>
      </c>
      <c r="K34" s="284" t="s">
        <v>464</v>
      </c>
    </row>
    <row r="35" ht="25.5" spans="1:11">
      <c r="A35" s="206">
        <v>22</v>
      </c>
      <c r="B35" s="207" t="s">
        <v>530</v>
      </c>
      <c r="C35" s="207" t="s">
        <v>535</v>
      </c>
      <c r="D35" s="207" t="s">
        <v>536</v>
      </c>
      <c r="E35" s="210">
        <v>79.416</v>
      </c>
      <c r="F35" s="210">
        <v>1759</v>
      </c>
      <c r="G35" s="211">
        <v>1759</v>
      </c>
      <c r="H35" s="211">
        <v>1759</v>
      </c>
      <c r="I35" s="210">
        <f t="shared" si="0"/>
        <v>0</v>
      </c>
      <c r="J35" s="283" t="s">
        <v>537</v>
      </c>
      <c r="K35" s="287" t="s">
        <v>501</v>
      </c>
    </row>
    <row r="36" ht="36" spans="1:11">
      <c r="A36" s="206">
        <v>23</v>
      </c>
      <c r="B36" s="207" t="s">
        <v>530</v>
      </c>
      <c r="C36" s="207" t="s">
        <v>538</v>
      </c>
      <c r="D36" s="230"/>
      <c r="E36" s="223">
        <v>123.559</v>
      </c>
      <c r="F36" s="227">
        <v>3000</v>
      </c>
      <c r="G36" s="227">
        <v>3200</v>
      </c>
      <c r="H36" s="227">
        <v>3200</v>
      </c>
      <c r="I36" s="210">
        <f t="shared" si="0"/>
        <v>0</v>
      </c>
      <c r="J36" s="283" t="s">
        <v>539</v>
      </c>
      <c r="K36" s="284" t="s">
        <v>464</v>
      </c>
    </row>
    <row r="37" ht="24" spans="1:11">
      <c r="A37" s="206">
        <v>24</v>
      </c>
      <c r="B37" s="207" t="s">
        <v>530</v>
      </c>
      <c r="C37" s="231" t="s">
        <v>540</v>
      </c>
      <c r="D37" s="231" t="s">
        <v>541</v>
      </c>
      <c r="E37" s="223">
        <v>11.67</v>
      </c>
      <c r="F37" s="227">
        <v>400</v>
      </c>
      <c r="G37" s="227">
        <v>799</v>
      </c>
      <c r="H37" s="227">
        <v>799</v>
      </c>
      <c r="I37" s="210">
        <f t="shared" si="0"/>
        <v>0</v>
      </c>
      <c r="J37" s="283" t="s">
        <v>542</v>
      </c>
      <c r="K37" s="284" t="s">
        <v>464</v>
      </c>
    </row>
    <row r="38" ht="28.5" customHeight="1" spans="1:11">
      <c r="A38" s="206">
        <v>25</v>
      </c>
      <c r="B38" s="207" t="s">
        <v>530</v>
      </c>
      <c r="C38" s="231" t="s">
        <v>543</v>
      </c>
      <c r="D38" s="207" t="s">
        <v>544</v>
      </c>
      <c r="E38" s="223">
        <v>24.531</v>
      </c>
      <c r="F38" s="227">
        <v>5000</v>
      </c>
      <c r="G38" s="227">
        <v>21155</v>
      </c>
      <c r="H38" s="232">
        <v>0</v>
      </c>
      <c r="I38" s="210">
        <f t="shared" si="0"/>
        <v>-21155</v>
      </c>
      <c r="J38" s="283" t="s">
        <v>545</v>
      </c>
      <c r="K38" s="284" t="s">
        <v>464</v>
      </c>
    </row>
    <row r="39" ht="28.5" customHeight="1" spans="1:11">
      <c r="A39" s="206">
        <v>26</v>
      </c>
      <c r="B39" s="207" t="s">
        <v>530</v>
      </c>
      <c r="C39" s="231" t="s">
        <v>543</v>
      </c>
      <c r="D39" s="207" t="s">
        <v>546</v>
      </c>
      <c r="E39" s="223">
        <v>22.62</v>
      </c>
      <c r="F39" s="227"/>
      <c r="G39" s="232"/>
      <c r="H39" s="232">
        <v>17550</v>
      </c>
      <c r="I39" s="210">
        <f t="shared" si="0"/>
        <v>17550</v>
      </c>
      <c r="J39" s="283"/>
      <c r="K39" s="284" t="s">
        <v>464</v>
      </c>
    </row>
    <row r="40" ht="30" customHeight="1" spans="1:11">
      <c r="A40" s="206">
        <v>27</v>
      </c>
      <c r="B40" s="207" t="s">
        <v>530</v>
      </c>
      <c r="C40" s="231" t="s">
        <v>547</v>
      </c>
      <c r="D40" s="207" t="s">
        <v>548</v>
      </c>
      <c r="E40" s="228">
        <v>80.37</v>
      </c>
      <c r="F40" s="233">
        <v>4450</v>
      </c>
      <c r="G40" s="233">
        <v>0</v>
      </c>
      <c r="H40" s="233">
        <v>0</v>
      </c>
      <c r="I40" s="210">
        <f t="shared" si="0"/>
        <v>0</v>
      </c>
      <c r="J40" s="288" t="s">
        <v>549</v>
      </c>
      <c r="K40" s="287" t="s">
        <v>501</v>
      </c>
    </row>
    <row r="41" ht="32.25" customHeight="1" spans="1:11">
      <c r="A41" s="206">
        <v>28</v>
      </c>
      <c r="B41" s="207" t="s">
        <v>530</v>
      </c>
      <c r="C41" s="207" t="s">
        <v>550</v>
      </c>
      <c r="D41" s="207" t="s">
        <v>551</v>
      </c>
      <c r="E41" s="228">
        <v>2.2</v>
      </c>
      <c r="F41" s="210"/>
      <c r="G41" s="210">
        <v>52.854738</v>
      </c>
      <c r="H41" s="210">
        <v>52.854738</v>
      </c>
      <c r="I41" s="210">
        <f t="shared" si="0"/>
        <v>0</v>
      </c>
      <c r="J41" s="288" t="s">
        <v>552</v>
      </c>
      <c r="K41" s="287" t="s">
        <v>501</v>
      </c>
    </row>
    <row r="42" ht="30.75" customHeight="1" spans="1:11">
      <c r="A42" s="206">
        <v>29</v>
      </c>
      <c r="B42" s="234" t="s">
        <v>553</v>
      </c>
      <c r="C42" s="235" t="s">
        <v>554</v>
      </c>
      <c r="D42" s="225" t="s">
        <v>505</v>
      </c>
      <c r="E42" s="223">
        <v>15</v>
      </c>
      <c r="F42" s="223"/>
      <c r="G42" s="210">
        <v>498.933</v>
      </c>
      <c r="H42" s="210">
        <v>498.933</v>
      </c>
      <c r="I42" s="210">
        <f t="shared" si="0"/>
        <v>0</v>
      </c>
      <c r="J42" s="283" t="s">
        <v>555</v>
      </c>
      <c r="K42" s="284" t="s">
        <v>501</v>
      </c>
    </row>
    <row r="43" ht="26.25" customHeight="1" spans="1:11">
      <c r="A43" s="206">
        <v>30</v>
      </c>
      <c r="B43" s="225" t="s">
        <v>556</v>
      </c>
      <c r="C43" s="225" t="s">
        <v>557</v>
      </c>
      <c r="D43" s="225"/>
      <c r="E43" s="210"/>
      <c r="F43" s="210">
        <v>1000</v>
      </c>
      <c r="G43" s="210">
        <v>800</v>
      </c>
      <c r="H43" s="210">
        <v>800</v>
      </c>
      <c r="I43" s="210">
        <f t="shared" si="0"/>
        <v>0</v>
      </c>
      <c r="J43" s="283"/>
      <c r="K43" s="275" t="s">
        <v>484</v>
      </c>
    </row>
    <row r="44" ht="27" customHeight="1" spans="1:11">
      <c r="A44" s="236">
        <v>31</v>
      </c>
      <c r="B44" s="237" t="s">
        <v>556</v>
      </c>
      <c r="C44" s="237" t="s">
        <v>558</v>
      </c>
      <c r="D44" s="237"/>
      <c r="E44" s="238"/>
      <c r="F44" s="238">
        <v>-5000</v>
      </c>
      <c r="G44" s="238">
        <v>-5000</v>
      </c>
      <c r="H44" s="238">
        <v>-5000</v>
      </c>
      <c r="I44" s="212">
        <f t="shared" si="0"/>
        <v>0</v>
      </c>
      <c r="J44" s="289"/>
      <c r="K44" s="290"/>
    </row>
    <row r="45" ht="32.25" customHeight="1" spans="1:11">
      <c r="A45" s="239" t="s">
        <v>559</v>
      </c>
      <c r="B45" s="240"/>
      <c r="C45" s="240"/>
      <c r="D45" s="241"/>
      <c r="E45" s="242">
        <f>SUM(E14:E44)</f>
        <v>767.907</v>
      </c>
      <c r="F45" s="242">
        <f>SUM(F14:F44)</f>
        <v>31760</v>
      </c>
      <c r="G45" s="242">
        <f>SUM(G14:G44)</f>
        <v>61522.449838</v>
      </c>
      <c r="H45" s="242">
        <f>SUM(H14:H44)</f>
        <v>65995.449838</v>
      </c>
      <c r="I45" s="278">
        <f t="shared" si="0"/>
        <v>4473</v>
      </c>
      <c r="J45" s="291"/>
      <c r="K45" s="292"/>
    </row>
    <row r="46" ht="32.25" customHeight="1" spans="1:11">
      <c r="A46" s="243" t="s">
        <v>560</v>
      </c>
      <c r="B46" s="244"/>
      <c r="C46" s="244"/>
      <c r="D46" s="245"/>
      <c r="E46" s="246">
        <f>E45+E13</f>
        <v>941.4295</v>
      </c>
      <c r="F46" s="246">
        <f>F45+F13</f>
        <v>152072</v>
      </c>
      <c r="G46" s="246">
        <f>G45+G13</f>
        <v>166822.449838</v>
      </c>
      <c r="H46" s="246">
        <f>H45+H13</f>
        <v>171295.449838</v>
      </c>
      <c r="I46" s="293">
        <f t="shared" si="0"/>
        <v>4473</v>
      </c>
      <c r="J46" s="294"/>
      <c r="K46" s="295"/>
    </row>
    <row r="47" s="199" customFormat="1" ht="32.25" customHeight="1" spans="1:11">
      <c r="A47" s="247" t="s">
        <v>561</v>
      </c>
      <c r="B47" s="248"/>
      <c r="C47" s="248"/>
      <c r="D47" s="249"/>
      <c r="E47" s="250"/>
      <c r="F47" s="251">
        <v>6000</v>
      </c>
      <c r="G47" s="251">
        <v>8000</v>
      </c>
      <c r="H47" s="251">
        <v>8000</v>
      </c>
      <c r="I47" s="222">
        <f t="shared" si="0"/>
        <v>0</v>
      </c>
      <c r="J47" s="296"/>
      <c r="K47" s="297"/>
    </row>
    <row r="48" ht="32.25" customHeight="1" spans="1:11">
      <c r="A48" s="247" t="s">
        <v>562</v>
      </c>
      <c r="B48" s="252"/>
      <c r="C48" s="252"/>
      <c r="D48" s="253"/>
      <c r="E48" s="254"/>
      <c r="F48" s="251">
        <v>60</v>
      </c>
      <c r="G48" s="251">
        <v>60</v>
      </c>
      <c r="H48" s="251">
        <v>60</v>
      </c>
      <c r="I48" s="222">
        <f t="shared" si="0"/>
        <v>0</v>
      </c>
      <c r="J48" s="298"/>
      <c r="K48" s="299"/>
    </row>
    <row r="49" ht="32.25" customHeight="1" spans="1:11">
      <c r="A49" s="255" t="s">
        <v>563</v>
      </c>
      <c r="B49" s="256"/>
      <c r="C49" s="256"/>
      <c r="D49" s="257"/>
      <c r="E49" s="258">
        <f>E46+E47+E48</f>
        <v>941.4295</v>
      </c>
      <c r="F49" s="258">
        <f>F46+F47+F48</f>
        <v>158132</v>
      </c>
      <c r="G49" s="258">
        <f>G46+G47+G48</f>
        <v>174882.449838</v>
      </c>
      <c r="H49" s="258">
        <f>H46+H47+H48</f>
        <v>179355.449838</v>
      </c>
      <c r="I49" s="300">
        <f t="shared" si="0"/>
        <v>4473</v>
      </c>
      <c r="J49" s="301"/>
      <c r="K49" s="302"/>
    </row>
    <row r="50" ht="50.25" customHeight="1" spans="1:11">
      <c r="A50" s="243" t="s">
        <v>564</v>
      </c>
      <c r="B50" s="244"/>
      <c r="C50" s="244"/>
      <c r="D50" s="245"/>
      <c r="E50" s="259"/>
      <c r="F50" s="260">
        <v>9410</v>
      </c>
      <c r="G50" s="260">
        <v>13052.916828</v>
      </c>
      <c r="H50" s="260">
        <v>13052.916828</v>
      </c>
      <c r="I50" s="303">
        <f t="shared" si="0"/>
        <v>0</v>
      </c>
      <c r="J50" s="304" t="s">
        <v>565</v>
      </c>
      <c r="K50" s="295"/>
    </row>
    <row r="51" ht="45.75" customHeight="1" spans="1:11">
      <c r="A51" s="261" t="s">
        <v>566</v>
      </c>
      <c r="B51" s="262"/>
      <c r="C51" s="262"/>
      <c r="D51" s="263"/>
      <c r="E51" s="264">
        <f>E49+E50</f>
        <v>941.4295</v>
      </c>
      <c r="F51" s="264">
        <f>F49+F50</f>
        <v>167542</v>
      </c>
      <c r="G51" s="264">
        <f>G49+G50</f>
        <v>187935.366666</v>
      </c>
      <c r="H51" s="264">
        <f>H49+H50</f>
        <v>192408.366666</v>
      </c>
      <c r="I51" s="305">
        <f t="shared" si="0"/>
        <v>4473</v>
      </c>
      <c r="J51" s="306"/>
      <c r="K51" s="307"/>
    </row>
    <row r="52" ht="30" customHeight="1" spans="1:11">
      <c r="A52" s="265" t="s">
        <v>567</v>
      </c>
      <c r="B52" s="266"/>
      <c r="C52" s="266"/>
      <c r="D52" s="266"/>
      <c r="E52" s="267">
        <f>E51-E13</f>
        <v>767.907</v>
      </c>
      <c r="F52" s="267">
        <f>F51-F13</f>
        <v>47230</v>
      </c>
      <c r="G52" s="267">
        <f>G51-G13</f>
        <v>82635.366666</v>
      </c>
      <c r="H52" s="267">
        <f>H51-H13</f>
        <v>87108.366666</v>
      </c>
      <c r="I52" s="308">
        <f t="shared" si="0"/>
        <v>4473</v>
      </c>
      <c r="J52" s="309"/>
      <c r="K52" s="310"/>
    </row>
    <row r="53" spans="6:10">
      <c r="F53" s="268"/>
      <c r="G53" s="269"/>
      <c r="H53" s="269"/>
      <c r="I53" s="269"/>
      <c r="J53" s="311"/>
    </row>
    <row r="54" spans="6:10">
      <c r="F54" s="270"/>
      <c r="G54" s="270"/>
      <c r="H54" s="270"/>
      <c r="I54" s="270"/>
      <c r="J54" s="311"/>
    </row>
    <row r="55" spans="6:10">
      <c r="F55" s="270"/>
      <c r="G55" s="270"/>
      <c r="H55" s="270"/>
      <c r="I55" s="270"/>
      <c r="J55" s="311"/>
    </row>
  </sheetData>
  <autoFilter xmlns:etc="http://www.wps.cn/officeDocument/2017/etCustomData" ref="A6:K52" etc:filterBottomFollowUsedRange="0">
    <extLst/>
  </autoFilter>
  <mergeCells count="13">
    <mergeCell ref="A1:B1"/>
    <mergeCell ref="A13:D13"/>
    <mergeCell ref="C44:D44"/>
    <mergeCell ref="A45:D45"/>
    <mergeCell ref="A46:D46"/>
    <mergeCell ref="A47:D47"/>
    <mergeCell ref="A48:D48"/>
    <mergeCell ref="A49:D49"/>
    <mergeCell ref="A50:D50"/>
    <mergeCell ref="A51:D51"/>
    <mergeCell ref="A52:D52"/>
    <mergeCell ref="C33:C34"/>
    <mergeCell ref="A2:J4"/>
  </mergeCells>
  <printOptions horizontalCentered="1" verticalCentered="1"/>
  <pageMargins left="0.313888888888889" right="0.313888888888889" top="0.354166666666667" bottom="0.15625" header="0.313888888888889" footer="0.313888888888889"/>
  <pageSetup paperSize="9" scale="94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C11" sqref="C11"/>
    </sheetView>
  </sheetViews>
  <sheetFormatPr defaultColWidth="9" defaultRowHeight="13.5"/>
  <cols>
    <col min="1" max="1" width="7.75" style="99" customWidth="1"/>
    <col min="2" max="2" width="12.875" style="99" customWidth="1"/>
    <col min="3" max="3" width="23.75" style="100" customWidth="1"/>
    <col min="4" max="4" width="18.625" style="101" customWidth="1"/>
    <col min="5" max="5" width="10.25" style="102" customWidth="1"/>
    <col min="6" max="6" width="10.5" style="102" customWidth="1"/>
    <col min="7" max="7" width="10.5" style="102" hidden="1" customWidth="1"/>
    <col min="8" max="8" width="9" style="102" hidden="1" customWidth="1"/>
    <col min="9" max="10" width="10.25" style="102" customWidth="1"/>
    <col min="11" max="11" width="22.625" style="100" customWidth="1"/>
    <col min="12" max="16384" width="9" style="102"/>
  </cols>
  <sheetData>
    <row r="1" ht="27.75" customHeight="1" spans="1:2">
      <c r="A1" s="103" t="s">
        <v>568</v>
      </c>
      <c r="B1" s="103"/>
    </row>
    <row r="2" ht="10.5" customHeight="1" spans="1:11">
      <c r="A2" s="104" t="s">
        <v>448</v>
      </c>
      <c r="B2" s="104"/>
      <c r="C2" s="104"/>
      <c r="D2" s="105"/>
      <c r="E2" s="105"/>
      <c r="F2" s="105"/>
      <c r="G2" s="105"/>
      <c r="H2" s="105"/>
      <c r="I2" s="105"/>
      <c r="J2" s="105"/>
      <c r="K2" s="105"/>
    </row>
    <row r="3" ht="14.25" customHeight="1" spans="1:11">
      <c r="A3" s="104"/>
      <c r="B3" s="104"/>
      <c r="C3" s="104"/>
      <c r="D3" s="105"/>
      <c r="E3" s="105"/>
      <c r="F3" s="105"/>
      <c r="G3" s="105"/>
      <c r="H3" s="105"/>
      <c r="I3" s="105"/>
      <c r="J3" s="105"/>
      <c r="K3" s="105"/>
    </row>
    <row r="4" ht="12.75" customHeight="1" spans="1:11">
      <c r="A4" s="104"/>
      <c r="B4" s="104"/>
      <c r="C4" s="104"/>
      <c r="D4" s="105"/>
      <c r="E4" s="105"/>
      <c r="F4" s="105"/>
      <c r="G4" s="105"/>
      <c r="H4" s="105"/>
      <c r="I4" s="105"/>
      <c r="J4" s="105"/>
      <c r="K4" s="105"/>
    </row>
    <row r="5" ht="20.25" customHeight="1" spans="11:12">
      <c r="K5" s="170" t="s">
        <v>449</v>
      </c>
      <c r="L5" s="170"/>
    </row>
    <row r="6" s="97" customFormat="1" ht="32.25" customHeight="1" spans="1:12">
      <c r="A6" s="106" t="s">
        <v>450</v>
      </c>
      <c r="B6" s="107" t="s">
        <v>451</v>
      </c>
      <c r="C6" s="107" t="s">
        <v>452</v>
      </c>
      <c r="D6" s="107" t="s">
        <v>453</v>
      </c>
      <c r="E6" s="107" t="s">
        <v>454</v>
      </c>
      <c r="F6" s="108" t="s">
        <v>569</v>
      </c>
      <c r="G6" s="108" t="s">
        <v>570</v>
      </c>
      <c r="H6" s="109" t="s">
        <v>571</v>
      </c>
      <c r="I6" s="171" t="s">
        <v>572</v>
      </c>
      <c r="J6" s="171" t="s">
        <v>458</v>
      </c>
      <c r="K6" s="107" t="s">
        <v>11</v>
      </c>
      <c r="L6" s="172" t="s">
        <v>459</v>
      </c>
    </row>
    <row r="7" spans="1:12">
      <c r="A7" s="110">
        <v>1</v>
      </c>
      <c r="B7" s="111"/>
      <c r="C7" s="112"/>
      <c r="D7" s="113"/>
      <c r="E7" s="114"/>
      <c r="F7" s="114"/>
      <c r="G7" s="115"/>
      <c r="H7" s="114"/>
      <c r="I7" s="114"/>
      <c r="J7" s="114"/>
      <c r="K7" s="173"/>
      <c r="L7" s="174"/>
    </row>
    <row r="8" spans="1:12">
      <c r="A8" s="110">
        <v>2</v>
      </c>
      <c r="B8" s="111"/>
      <c r="C8" s="112"/>
      <c r="D8" s="113"/>
      <c r="E8" s="114"/>
      <c r="F8" s="114"/>
      <c r="G8" s="115"/>
      <c r="H8" s="114"/>
      <c r="I8" s="114"/>
      <c r="J8" s="114"/>
      <c r="K8" s="173"/>
      <c r="L8" s="174"/>
    </row>
    <row r="9" ht="35.1" customHeight="1" spans="1:12">
      <c r="A9" s="110">
        <v>3</v>
      </c>
      <c r="B9" s="111"/>
      <c r="C9" s="112"/>
      <c r="D9" s="113"/>
      <c r="E9" s="116"/>
      <c r="F9" s="114"/>
      <c r="G9" s="115"/>
      <c r="H9" s="114"/>
      <c r="I9" s="114"/>
      <c r="J9" s="114"/>
      <c r="K9" s="173"/>
      <c r="L9" s="174"/>
    </row>
    <row r="10" ht="33" customHeight="1" spans="1:12">
      <c r="A10" s="110">
        <v>4</v>
      </c>
      <c r="B10" s="111"/>
      <c r="C10" s="112"/>
      <c r="D10" s="113"/>
      <c r="E10" s="114"/>
      <c r="F10" s="114"/>
      <c r="G10" s="114"/>
      <c r="H10" s="114"/>
      <c r="I10" s="114"/>
      <c r="J10" s="114"/>
      <c r="K10" s="173"/>
      <c r="L10" s="174"/>
    </row>
    <row r="11" ht="30.95" customHeight="1" spans="1:12">
      <c r="A11" s="110">
        <v>5</v>
      </c>
      <c r="B11" s="111"/>
      <c r="C11" s="112"/>
      <c r="D11" s="113"/>
      <c r="E11" s="114"/>
      <c r="F11" s="114"/>
      <c r="G11" s="114"/>
      <c r="H11" s="114"/>
      <c r="I11" s="114"/>
      <c r="J11" s="114"/>
      <c r="K11" s="173"/>
      <c r="L11" s="174"/>
    </row>
    <row r="12" ht="14.25" spans="1:12">
      <c r="A12" s="110" t="s">
        <v>573</v>
      </c>
      <c r="B12" s="111"/>
      <c r="C12" s="112"/>
      <c r="D12" s="113"/>
      <c r="E12" s="114"/>
      <c r="F12" s="114"/>
      <c r="G12" s="114"/>
      <c r="H12" s="114"/>
      <c r="I12" s="114"/>
      <c r="J12" s="114"/>
      <c r="K12" s="173"/>
      <c r="L12" s="174"/>
    </row>
    <row r="13" s="98" customFormat="1" ht="21" customHeight="1" spans="1:12">
      <c r="A13" s="117" t="s">
        <v>477</v>
      </c>
      <c r="B13" s="118"/>
      <c r="C13" s="118"/>
      <c r="D13" s="119"/>
      <c r="E13" s="120">
        <f>SUM(E7:E12)</f>
        <v>0</v>
      </c>
      <c r="F13" s="120">
        <f>SUM(F7:F12)</f>
        <v>0</v>
      </c>
      <c r="G13" s="120">
        <f>SUM(G7:G12)</f>
        <v>0</v>
      </c>
      <c r="H13" s="120">
        <f>SUM(H7:H12)</f>
        <v>0</v>
      </c>
      <c r="I13" s="120">
        <f>SUM(I7:I12)</f>
        <v>0</v>
      </c>
      <c r="J13" s="120">
        <f>I13-F13</f>
        <v>0</v>
      </c>
      <c r="K13" s="175"/>
      <c r="L13" s="176"/>
    </row>
    <row r="14" ht="48.95" customHeight="1" spans="1:12">
      <c r="A14" s="121">
        <v>1</v>
      </c>
      <c r="B14" s="122"/>
      <c r="C14" s="123"/>
      <c r="D14" s="124"/>
      <c r="E14" s="124"/>
      <c r="F14" s="125"/>
      <c r="G14" s="125"/>
      <c r="H14" s="125"/>
      <c r="I14" s="125"/>
      <c r="J14" s="114"/>
      <c r="K14" s="177"/>
      <c r="L14" s="178"/>
    </row>
    <row r="15" ht="48.95" customHeight="1" spans="1:12">
      <c r="A15" s="126">
        <v>2</v>
      </c>
      <c r="B15" s="127"/>
      <c r="C15" s="112"/>
      <c r="D15" s="116"/>
      <c r="E15" s="116"/>
      <c r="F15" s="114"/>
      <c r="G15" s="114"/>
      <c r="H15" s="115"/>
      <c r="I15" s="114"/>
      <c r="J15" s="114"/>
      <c r="K15" s="179"/>
      <c r="L15" s="180"/>
    </row>
    <row r="16" ht="33" customHeight="1" spans="1:12">
      <c r="A16" s="126">
        <v>3</v>
      </c>
      <c r="B16" s="127"/>
      <c r="C16" s="112"/>
      <c r="D16" s="112"/>
      <c r="E16" s="128"/>
      <c r="F16" s="128"/>
      <c r="G16" s="115"/>
      <c r="H16" s="128"/>
      <c r="I16" s="128"/>
      <c r="J16" s="114"/>
      <c r="K16" s="173"/>
      <c r="L16" s="180"/>
    </row>
    <row r="17" ht="45" customHeight="1" spans="1:12">
      <c r="A17" s="121">
        <v>4</v>
      </c>
      <c r="B17" s="127"/>
      <c r="C17" s="112"/>
      <c r="D17" s="112"/>
      <c r="E17" s="128"/>
      <c r="F17" s="128"/>
      <c r="G17" s="115"/>
      <c r="H17" s="128"/>
      <c r="I17" s="128"/>
      <c r="J17" s="114"/>
      <c r="K17" s="179"/>
      <c r="L17" s="180"/>
    </row>
    <row r="18" ht="45" customHeight="1" spans="1:12">
      <c r="A18" s="126">
        <v>5</v>
      </c>
      <c r="B18" s="127"/>
      <c r="C18" s="112"/>
      <c r="D18" s="112"/>
      <c r="E18" s="128"/>
      <c r="F18" s="128"/>
      <c r="G18" s="115"/>
      <c r="H18" s="128"/>
      <c r="I18" s="128"/>
      <c r="J18" s="114"/>
      <c r="K18" s="179"/>
      <c r="L18" s="178"/>
    </row>
    <row r="19" ht="36" customHeight="1" spans="1:12">
      <c r="A19" s="126">
        <v>6</v>
      </c>
      <c r="B19" s="127"/>
      <c r="C19" s="112"/>
      <c r="D19" s="112"/>
      <c r="E19" s="128"/>
      <c r="F19" s="128"/>
      <c r="G19" s="115"/>
      <c r="H19" s="128"/>
      <c r="I19" s="128"/>
      <c r="J19" s="114"/>
      <c r="K19" s="173"/>
      <c r="L19" s="180"/>
    </row>
    <row r="20" ht="27" customHeight="1" spans="1:12">
      <c r="A20" s="129" t="s">
        <v>573</v>
      </c>
      <c r="B20" s="130"/>
      <c r="C20" s="130"/>
      <c r="D20" s="130"/>
      <c r="E20" s="131"/>
      <c r="F20" s="131"/>
      <c r="G20" s="132"/>
      <c r="H20" s="131"/>
      <c r="I20" s="131"/>
      <c r="J20" s="131"/>
      <c r="K20" s="181"/>
      <c r="L20" s="182"/>
    </row>
    <row r="21" ht="32.25" customHeight="1" spans="1:12">
      <c r="A21" s="133" t="s">
        <v>559</v>
      </c>
      <c r="B21" s="134"/>
      <c r="C21" s="134"/>
      <c r="D21" s="135"/>
      <c r="E21" s="136"/>
      <c r="F21" s="136"/>
      <c r="G21" s="137"/>
      <c r="H21" s="137"/>
      <c r="I21" s="136"/>
      <c r="J21" s="136"/>
      <c r="K21" s="183"/>
      <c r="L21" s="184"/>
    </row>
    <row r="22" ht="32.25" customHeight="1" spans="1:12">
      <c r="A22" s="138" t="s">
        <v>560</v>
      </c>
      <c r="B22" s="139"/>
      <c r="C22" s="140"/>
      <c r="D22" s="141"/>
      <c r="E22" s="142"/>
      <c r="F22" s="142"/>
      <c r="G22" s="142"/>
      <c r="H22" s="142"/>
      <c r="I22" s="142"/>
      <c r="J22" s="142"/>
      <c r="K22" s="185"/>
      <c r="L22" s="186"/>
    </row>
    <row r="23" s="98" customFormat="1" ht="32.25" customHeight="1" spans="1:12">
      <c r="A23" s="143" t="s">
        <v>561</v>
      </c>
      <c r="B23" s="144"/>
      <c r="C23" s="145"/>
      <c r="D23" s="146"/>
      <c r="E23" s="147"/>
      <c r="F23" s="148"/>
      <c r="G23" s="149"/>
      <c r="H23" s="148"/>
      <c r="I23" s="148"/>
      <c r="J23" s="148"/>
      <c r="K23" s="187"/>
      <c r="L23" s="188"/>
    </row>
    <row r="24" ht="32.25" customHeight="1" spans="1:12">
      <c r="A24" s="143" t="s">
        <v>562</v>
      </c>
      <c r="B24" s="150"/>
      <c r="C24" s="151"/>
      <c r="D24" s="152"/>
      <c r="E24" s="153"/>
      <c r="F24" s="148"/>
      <c r="G24" s="149"/>
      <c r="H24" s="148"/>
      <c r="I24" s="148"/>
      <c r="J24" s="148"/>
      <c r="K24" s="189"/>
      <c r="L24" s="190"/>
    </row>
    <row r="25" ht="32.25" customHeight="1" spans="1:12">
      <c r="A25" s="154" t="s">
        <v>563</v>
      </c>
      <c r="B25" s="155"/>
      <c r="C25" s="156"/>
      <c r="D25" s="157"/>
      <c r="E25" s="158"/>
      <c r="F25" s="158"/>
      <c r="G25" s="158"/>
      <c r="H25" s="158"/>
      <c r="I25" s="158"/>
      <c r="J25" s="158"/>
      <c r="K25" s="191"/>
      <c r="L25" s="192"/>
    </row>
    <row r="26" ht="57" customHeight="1" spans="1:12">
      <c r="A26" s="138" t="s">
        <v>564</v>
      </c>
      <c r="B26" s="139"/>
      <c r="C26" s="140"/>
      <c r="D26" s="141"/>
      <c r="E26" s="159"/>
      <c r="F26" s="160"/>
      <c r="G26" s="160"/>
      <c r="H26" s="160"/>
      <c r="I26" s="160"/>
      <c r="J26" s="160"/>
      <c r="K26" s="193"/>
      <c r="L26" s="186"/>
    </row>
    <row r="27" ht="32.1" customHeight="1" spans="1:12">
      <c r="A27" s="161" t="s">
        <v>566</v>
      </c>
      <c r="B27" s="162"/>
      <c r="C27" s="163"/>
      <c r="D27" s="164"/>
      <c r="E27" s="165"/>
      <c r="F27" s="165"/>
      <c r="G27" s="165"/>
      <c r="H27" s="165"/>
      <c r="I27" s="165"/>
      <c r="J27" s="165"/>
      <c r="K27" s="194"/>
      <c r="L27" s="195"/>
    </row>
    <row r="28" ht="30" customHeight="1" spans="1:12">
      <c r="A28" s="166" t="s">
        <v>567</v>
      </c>
      <c r="B28" s="167"/>
      <c r="C28" s="167"/>
      <c r="D28" s="167"/>
      <c r="E28" s="168"/>
      <c r="F28" s="168"/>
      <c r="G28" s="168"/>
      <c r="H28" s="168"/>
      <c r="I28" s="168"/>
      <c r="J28" s="168"/>
      <c r="K28" s="167"/>
      <c r="L28" s="196"/>
    </row>
    <row r="29" spans="6:10">
      <c r="F29" s="169"/>
      <c r="G29" s="169"/>
      <c r="H29" s="169"/>
      <c r="I29" s="197"/>
      <c r="J29" s="197"/>
    </row>
  </sheetData>
  <mergeCells count="13">
    <mergeCell ref="A1:B1"/>
    <mergeCell ref="K5:L5"/>
    <mergeCell ref="A13:D13"/>
    <mergeCell ref="C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K4"/>
  </mergeCells>
  <pageMargins left="0.75" right="0.75" top="1" bottom="1" header="0.509027777777778" footer="0.509027777777778"/>
  <pageSetup paperSize="9" scale="8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98"/>
  <sheetViews>
    <sheetView showZeros="0" view="pageBreakPreview" zoomScaleNormal="100" workbookViewId="0">
      <pane xSplit="3" ySplit="5" topLeftCell="F6" activePane="bottomRight" state="frozen"/>
      <selection/>
      <selection pane="topRight"/>
      <selection pane="bottomLeft"/>
      <selection pane="bottomRight" activeCell="G4" sqref="G4:O5"/>
    </sheetView>
  </sheetViews>
  <sheetFormatPr defaultColWidth="9" defaultRowHeight="14.25"/>
  <cols>
    <col min="1" max="1" width="8" style="50" customWidth="1"/>
    <col min="2" max="2" width="6" style="51" hidden="1" customWidth="1"/>
    <col min="3" max="3" width="34.25" style="52" customWidth="1"/>
    <col min="4" max="4" width="11.375" style="52" customWidth="1"/>
    <col min="5" max="5" width="12.375" style="52" customWidth="1"/>
    <col min="6" max="6" width="11.875" style="52" customWidth="1"/>
    <col min="7" max="7" width="9.75" style="52" customWidth="1"/>
    <col min="8" max="8" width="7.875" style="52" customWidth="1"/>
    <col min="9" max="9" width="7.125" style="52" customWidth="1"/>
    <col min="10" max="10" width="7.875" style="52" customWidth="1"/>
    <col min="11" max="11" width="8" style="52" customWidth="1"/>
    <col min="12" max="12" width="13.25" style="52" customWidth="1"/>
    <col min="13" max="13" width="13" style="52" customWidth="1"/>
    <col min="14" max="14" width="13.125" style="52" customWidth="1"/>
    <col min="15" max="15" width="10.625" style="52" customWidth="1"/>
    <col min="16" max="16" width="7.375" style="53" customWidth="1"/>
    <col min="17" max="17" width="15.75" style="52" customWidth="1"/>
    <col min="18" max="16384" width="9" style="52"/>
  </cols>
  <sheetData>
    <row r="1" ht="22.5" customHeight="1" spans="1:2">
      <c r="A1" s="54" t="s">
        <v>574</v>
      </c>
      <c r="B1" s="54"/>
    </row>
    <row r="2" ht="27.75" customHeight="1" spans="1:17">
      <c r="A2" s="55" t="s">
        <v>575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="47" customFormat="1" ht="28.5" customHeight="1" spans="1:17">
      <c r="A3" s="56"/>
      <c r="B3" s="57"/>
      <c r="P3" s="79"/>
      <c r="Q3" s="52" t="s">
        <v>30</v>
      </c>
    </row>
    <row r="4" s="48" customFormat="1" ht="32.1" customHeight="1" spans="1:17">
      <c r="A4" s="58" t="s">
        <v>576</v>
      </c>
      <c r="B4" s="59"/>
      <c r="C4" s="60" t="s">
        <v>3</v>
      </c>
      <c r="D4" s="61" t="s">
        <v>31</v>
      </c>
      <c r="E4" s="62"/>
      <c r="F4" s="63"/>
      <c r="G4" s="64" t="s">
        <v>32</v>
      </c>
      <c r="H4" s="64"/>
      <c r="I4" s="64"/>
      <c r="J4" s="64"/>
      <c r="K4" s="64"/>
      <c r="L4" s="64"/>
      <c r="M4" s="80" t="s">
        <v>33</v>
      </c>
      <c r="N4" s="81"/>
      <c r="O4" s="82"/>
      <c r="P4" s="83" t="s">
        <v>577</v>
      </c>
      <c r="Q4" s="64" t="s">
        <v>11</v>
      </c>
    </row>
    <row r="5" s="48" customFormat="1" ht="65.1" customHeight="1" spans="1:17">
      <c r="A5" s="65"/>
      <c r="B5" s="66"/>
      <c r="C5" s="67"/>
      <c r="D5" s="68" t="s">
        <v>14</v>
      </c>
      <c r="E5" s="68" t="s">
        <v>35</v>
      </c>
      <c r="F5" s="64" t="s">
        <v>36</v>
      </c>
      <c r="G5" s="68" t="s">
        <v>578</v>
      </c>
      <c r="H5" s="68" t="s">
        <v>579</v>
      </c>
      <c r="I5" s="68" t="s">
        <v>580</v>
      </c>
      <c r="J5" s="68" t="s">
        <v>581</v>
      </c>
      <c r="K5" s="68" t="s">
        <v>582</v>
      </c>
      <c r="L5" s="68" t="s">
        <v>36</v>
      </c>
      <c r="M5" s="60" t="s">
        <v>35</v>
      </c>
      <c r="N5" s="60" t="s">
        <v>36</v>
      </c>
      <c r="O5" s="64" t="s">
        <v>14</v>
      </c>
      <c r="P5" s="84"/>
      <c r="Q5" s="64"/>
    </row>
    <row r="6" s="48" customFormat="1" ht="21.75" hidden="1" customHeight="1" spans="1:17">
      <c r="A6" s="69" t="s">
        <v>583</v>
      </c>
      <c r="B6" s="70"/>
      <c r="C6" s="71" t="s">
        <v>584</v>
      </c>
      <c r="D6" s="72"/>
      <c r="E6" s="72">
        <f t="shared" ref="E6:K6" si="0">E7</f>
        <v>0</v>
      </c>
      <c r="F6" s="72"/>
      <c r="G6" s="72">
        <f t="shared" si="0"/>
        <v>0</v>
      </c>
      <c r="H6" s="72">
        <f t="shared" si="0"/>
        <v>0</v>
      </c>
      <c r="I6" s="72">
        <f t="shared" si="0"/>
        <v>0</v>
      </c>
      <c r="J6" s="72">
        <f t="shared" si="0"/>
        <v>0</v>
      </c>
      <c r="K6" s="72">
        <f t="shared" si="0"/>
        <v>0</v>
      </c>
      <c r="L6" s="72"/>
      <c r="M6" s="72">
        <f>E6+G6+H6+I6+J6+K6</f>
        <v>0</v>
      </c>
      <c r="N6" s="72"/>
      <c r="O6" s="72"/>
      <c r="P6" s="85">
        <f>IF(E6=0,IF(M6=0,0,100),100*(M6/E6-1))</f>
        <v>0</v>
      </c>
      <c r="Q6" s="86"/>
    </row>
    <row r="7" s="48" customFormat="1" ht="21.75" hidden="1" customHeight="1" spans="1:17">
      <c r="A7" s="69" t="s">
        <v>585</v>
      </c>
      <c r="B7" s="70"/>
      <c r="C7" s="71" t="s">
        <v>586</v>
      </c>
      <c r="D7" s="72"/>
      <c r="E7" s="72">
        <f t="shared" ref="E7:K7" si="1">SUM(E8:E9)</f>
        <v>0</v>
      </c>
      <c r="F7" s="72"/>
      <c r="G7" s="72">
        <f t="shared" si="1"/>
        <v>0</v>
      </c>
      <c r="H7" s="72">
        <f t="shared" si="1"/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72"/>
      <c r="M7" s="72">
        <f>E7+G7+H7+I7+J7+K7</f>
        <v>0</v>
      </c>
      <c r="N7" s="72"/>
      <c r="O7" s="72"/>
      <c r="P7" s="85">
        <f>IF(E7=0,IF(M7=0,0,100),100*(M7/E7-1))</f>
        <v>0</v>
      </c>
      <c r="Q7" s="86"/>
    </row>
    <row r="8" s="48" customFormat="1" ht="21.75" hidden="1" customHeight="1" spans="1:17">
      <c r="A8" s="69" t="s">
        <v>587</v>
      </c>
      <c r="B8" s="70"/>
      <c r="C8" s="71" t="s">
        <v>588</v>
      </c>
      <c r="D8" s="72"/>
      <c r="E8" s="72"/>
      <c r="F8" s="72"/>
      <c r="G8" s="72"/>
      <c r="H8" s="72"/>
      <c r="I8" s="72"/>
      <c r="J8" s="72"/>
      <c r="K8" s="72"/>
      <c r="L8" s="72"/>
      <c r="M8" s="72">
        <f>E8+G8+H8+I8+J8+K8</f>
        <v>0</v>
      </c>
      <c r="N8" s="72"/>
      <c r="O8" s="72"/>
      <c r="P8" s="85">
        <f>IF(E8=0,IF(M8=0,0,100),100*(M8/E8-1))</f>
        <v>0</v>
      </c>
      <c r="Q8" s="86"/>
    </row>
    <row r="9" s="48" customFormat="1" ht="21.75" hidden="1" customHeight="1" spans="1:17">
      <c r="A9" s="69" t="s">
        <v>589</v>
      </c>
      <c r="B9" s="70"/>
      <c r="C9" s="71" t="s">
        <v>590</v>
      </c>
      <c r="D9" s="72"/>
      <c r="E9" s="72"/>
      <c r="F9" s="72"/>
      <c r="G9" s="72"/>
      <c r="H9" s="72"/>
      <c r="I9" s="72"/>
      <c r="J9" s="72"/>
      <c r="K9" s="72"/>
      <c r="L9" s="72"/>
      <c r="M9" s="72">
        <f>E9+G9+H9+I9+J9+K9</f>
        <v>0</v>
      </c>
      <c r="N9" s="72"/>
      <c r="O9" s="72"/>
      <c r="P9" s="85">
        <f>IF(E9=0,IF(M9=0,0,100),100*(M9/E9-1))</f>
        <v>0</v>
      </c>
      <c r="Q9" s="86"/>
    </row>
    <row r="10" ht="21.75" hidden="1" customHeight="1" spans="1:17">
      <c r="A10" s="73" t="s">
        <v>591</v>
      </c>
      <c r="B10" s="74"/>
      <c r="C10" s="75" t="s">
        <v>592</v>
      </c>
      <c r="D10" s="72"/>
      <c r="E10" s="72">
        <f t="shared" ref="E10:K10" si="2">E13</f>
        <v>0</v>
      </c>
      <c r="F10" s="72"/>
      <c r="G10" s="72">
        <f t="shared" si="2"/>
        <v>0</v>
      </c>
      <c r="H10" s="72">
        <f t="shared" si="2"/>
        <v>0</v>
      </c>
      <c r="I10" s="72">
        <f t="shared" si="2"/>
        <v>0</v>
      </c>
      <c r="J10" s="72">
        <f t="shared" si="2"/>
        <v>0</v>
      </c>
      <c r="K10" s="72">
        <f t="shared" si="2"/>
        <v>0</v>
      </c>
      <c r="L10" s="72"/>
      <c r="M10" s="72">
        <f>E10+G10+H10+I10+J10+K10</f>
        <v>0</v>
      </c>
      <c r="N10" s="72"/>
      <c r="O10" s="72"/>
      <c r="P10" s="85">
        <f>IF(E10=0,IF(M10=0,0,100),100*(M10/E10-1))</f>
        <v>0</v>
      </c>
      <c r="Q10" s="87"/>
    </row>
    <row r="11" ht="21.75" hidden="1" customHeight="1" spans="1:17">
      <c r="A11" s="73" t="s">
        <v>593</v>
      </c>
      <c r="B11" s="74"/>
      <c r="C11" s="75" t="s">
        <v>594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85"/>
      <c r="Q11" s="87"/>
    </row>
    <row r="12" ht="21.75" hidden="1" customHeight="1" spans="1:17">
      <c r="A12" s="73" t="s">
        <v>595</v>
      </c>
      <c r="B12" s="74"/>
      <c r="C12" s="75" t="s">
        <v>596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85"/>
      <c r="Q12" s="87"/>
    </row>
    <row r="13" ht="21.75" hidden="1" customHeight="1" spans="1:17">
      <c r="A13" s="73" t="s">
        <v>597</v>
      </c>
      <c r="B13" s="74"/>
      <c r="C13" s="75" t="s">
        <v>598</v>
      </c>
      <c r="D13" s="72"/>
      <c r="E13" s="72">
        <f t="shared" ref="E13:K13" si="3">E14</f>
        <v>0</v>
      </c>
      <c r="F13" s="72"/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72">
        <f t="shared" si="3"/>
        <v>0</v>
      </c>
      <c r="L13" s="72"/>
      <c r="M13" s="72">
        <f t="shared" ref="M13:M20" si="4">E13+G13+H13+I13+J13+K13</f>
        <v>0</v>
      </c>
      <c r="N13" s="72"/>
      <c r="O13" s="72"/>
      <c r="P13" s="85">
        <f t="shared" ref="P13:P20" si="5">IF(E13=0,IF(M13=0,0,100),100*(M13/E13-1))</f>
        <v>0</v>
      </c>
      <c r="Q13" s="86"/>
    </row>
    <row r="14" ht="21.75" hidden="1" customHeight="1" spans="1:17">
      <c r="A14" s="73">
        <v>2079901</v>
      </c>
      <c r="B14" s="74"/>
      <c r="C14" s="75" t="s">
        <v>599</v>
      </c>
      <c r="D14" s="72"/>
      <c r="E14" s="72"/>
      <c r="F14" s="72"/>
      <c r="G14" s="72"/>
      <c r="H14" s="72"/>
      <c r="I14" s="72"/>
      <c r="J14" s="72"/>
      <c r="K14" s="72"/>
      <c r="L14" s="72"/>
      <c r="M14" s="72">
        <f t="shared" si="4"/>
        <v>0</v>
      </c>
      <c r="N14" s="72"/>
      <c r="O14" s="72"/>
      <c r="P14" s="85">
        <f t="shared" si="5"/>
        <v>0</v>
      </c>
      <c r="Q14" s="86"/>
    </row>
    <row r="15" ht="21.75" hidden="1" customHeight="1" spans="1:17">
      <c r="A15" s="73" t="s">
        <v>600</v>
      </c>
      <c r="B15" s="74"/>
      <c r="C15" s="75" t="s">
        <v>601</v>
      </c>
      <c r="D15" s="72"/>
      <c r="E15" s="72">
        <f t="shared" ref="E15:K15" si="6">E16+E19</f>
        <v>0</v>
      </c>
      <c r="F15" s="72"/>
      <c r="G15" s="72">
        <f t="shared" si="6"/>
        <v>0</v>
      </c>
      <c r="H15" s="72">
        <f t="shared" si="6"/>
        <v>0</v>
      </c>
      <c r="I15" s="72">
        <f t="shared" si="6"/>
        <v>0</v>
      </c>
      <c r="J15" s="72">
        <f t="shared" si="6"/>
        <v>0</v>
      </c>
      <c r="K15" s="72">
        <f t="shared" si="6"/>
        <v>0</v>
      </c>
      <c r="L15" s="72"/>
      <c r="M15" s="72">
        <f t="shared" si="4"/>
        <v>0</v>
      </c>
      <c r="N15" s="72"/>
      <c r="O15" s="72"/>
      <c r="P15" s="85">
        <f t="shared" si="5"/>
        <v>0</v>
      </c>
      <c r="Q15" s="86"/>
    </row>
    <row r="16" ht="21.75" hidden="1" customHeight="1" spans="1:17">
      <c r="A16" s="73" t="s">
        <v>602</v>
      </c>
      <c r="B16" s="74"/>
      <c r="C16" s="75" t="s">
        <v>603</v>
      </c>
      <c r="D16" s="72"/>
      <c r="E16" s="72">
        <f t="shared" ref="E16:K16" si="7">SUM(E17:E18)</f>
        <v>0</v>
      </c>
      <c r="F16" s="72"/>
      <c r="G16" s="72">
        <f t="shared" si="7"/>
        <v>0</v>
      </c>
      <c r="H16" s="72">
        <f t="shared" si="7"/>
        <v>0</v>
      </c>
      <c r="I16" s="72">
        <f t="shared" si="7"/>
        <v>0</v>
      </c>
      <c r="J16" s="72">
        <f t="shared" si="7"/>
        <v>0</v>
      </c>
      <c r="K16" s="72">
        <f t="shared" si="7"/>
        <v>0</v>
      </c>
      <c r="L16" s="72"/>
      <c r="M16" s="72">
        <f t="shared" si="4"/>
        <v>0</v>
      </c>
      <c r="N16" s="72"/>
      <c r="O16" s="72"/>
      <c r="P16" s="85">
        <f t="shared" si="5"/>
        <v>0</v>
      </c>
      <c r="Q16" s="86"/>
    </row>
    <row r="17" ht="21.75" hidden="1" customHeight="1" spans="1:17">
      <c r="A17" s="73">
        <v>2081107</v>
      </c>
      <c r="B17" s="74"/>
      <c r="C17" s="75" t="s">
        <v>604</v>
      </c>
      <c r="D17" s="72"/>
      <c r="E17" s="72"/>
      <c r="F17" s="72"/>
      <c r="G17" s="72"/>
      <c r="H17" s="72"/>
      <c r="I17" s="72"/>
      <c r="J17" s="72"/>
      <c r="K17" s="72"/>
      <c r="L17" s="72"/>
      <c r="M17" s="72">
        <f t="shared" si="4"/>
        <v>0</v>
      </c>
      <c r="N17" s="72"/>
      <c r="O17" s="72"/>
      <c r="P17" s="85">
        <f t="shared" si="5"/>
        <v>0</v>
      </c>
      <c r="Q17" s="86"/>
    </row>
    <row r="18" ht="21.75" hidden="1" customHeight="1" spans="1:17">
      <c r="A18" s="73">
        <v>2081199</v>
      </c>
      <c r="B18" s="74"/>
      <c r="C18" s="75" t="s">
        <v>605</v>
      </c>
      <c r="D18" s="72"/>
      <c r="E18" s="72"/>
      <c r="F18" s="72"/>
      <c r="G18" s="72"/>
      <c r="H18" s="72"/>
      <c r="I18" s="72"/>
      <c r="J18" s="72"/>
      <c r="K18" s="72"/>
      <c r="L18" s="72"/>
      <c r="M18" s="72">
        <f t="shared" si="4"/>
        <v>0</v>
      </c>
      <c r="N18" s="72"/>
      <c r="O18" s="72"/>
      <c r="P18" s="85">
        <f t="shared" si="5"/>
        <v>0</v>
      </c>
      <c r="Q18" s="86"/>
    </row>
    <row r="19" ht="21.75" hidden="1" customHeight="1" spans="1:17">
      <c r="A19" s="73" t="s">
        <v>606</v>
      </c>
      <c r="B19" s="74"/>
      <c r="C19" s="75" t="s">
        <v>607</v>
      </c>
      <c r="D19" s="72"/>
      <c r="E19" s="72">
        <f t="shared" ref="E19:K19" si="8">E20</f>
        <v>0</v>
      </c>
      <c r="F19" s="72"/>
      <c r="G19" s="72">
        <f t="shared" si="8"/>
        <v>0</v>
      </c>
      <c r="H19" s="72">
        <f t="shared" si="8"/>
        <v>0</v>
      </c>
      <c r="I19" s="72">
        <f t="shared" si="8"/>
        <v>0</v>
      </c>
      <c r="J19" s="72">
        <f t="shared" si="8"/>
        <v>0</v>
      </c>
      <c r="K19" s="72">
        <f t="shared" si="8"/>
        <v>0</v>
      </c>
      <c r="L19" s="72"/>
      <c r="M19" s="72">
        <f t="shared" si="4"/>
        <v>0</v>
      </c>
      <c r="N19" s="72"/>
      <c r="O19" s="72"/>
      <c r="P19" s="85">
        <f t="shared" si="5"/>
        <v>0</v>
      </c>
      <c r="Q19" s="86"/>
    </row>
    <row r="20" ht="21.75" hidden="1" customHeight="1" spans="1:17">
      <c r="A20" s="73">
        <v>2086099</v>
      </c>
      <c r="B20" s="74"/>
      <c r="C20" s="75" t="s">
        <v>608</v>
      </c>
      <c r="D20" s="72"/>
      <c r="E20" s="72"/>
      <c r="F20" s="72"/>
      <c r="G20" s="72"/>
      <c r="H20" s="72"/>
      <c r="I20" s="72"/>
      <c r="J20" s="72"/>
      <c r="K20" s="72"/>
      <c r="L20" s="72"/>
      <c r="M20" s="72">
        <f t="shared" si="4"/>
        <v>0</v>
      </c>
      <c r="N20" s="72"/>
      <c r="O20" s="72"/>
      <c r="P20" s="85">
        <f t="shared" si="5"/>
        <v>0</v>
      </c>
      <c r="Q20" s="86"/>
    </row>
    <row r="21" ht="21.75" customHeight="1" spans="1:17">
      <c r="A21" s="73" t="s">
        <v>609</v>
      </c>
      <c r="B21" s="74"/>
      <c r="C21" s="75" t="s">
        <v>610</v>
      </c>
      <c r="D21" s="72">
        <f t="shared" ref="D21:D37" si="9">E21+F21</f>
        <v>211666.983222</v>
      </c>
      <c r="E21" s="72">
        <v>211066.983222</v>
      </c>
      <c r="F21" s="72">
        <v>600</v>
      </c>
      <c r="G21" s="72"/>
      <c r="H21" s="72"/>
      <c r="I21" s="72"/>
      <c r="J21" s="72"/>
      <c r="K21" s="72"/>
      <c r="L21" s="72"/>
      <c r="M21" s="72">
        <v>211066.983222</v>
      </c>
      <c r="N21" s="72">
        <v>600</v>
      </c>
      <c r="O21" s="72">
        <f>M21+N21</f>
        <v>211666.983222</v>
      </c>
      <c r="P21" s="85">
        <f>IF(D21=0,IF(O21=0,0,100),100*(O21/D21-1))</f>
        <v>0</v>
      </c>
      <c r="Q21" s="86"/>
    </row>
    <row r="22" ht="21.75" customHeight="1" spans="1:17">
      <c r="A22" s="73" t="s">
        <v>611</v>
      </c>
      <c r="B22" s="74"/>
      <c r="C22" s="75" t="s">
        <v>612</v>
      </c>
      <c r="D22" s="72">
        <f t="shared" si="9"/>
        <v>0</v>
      </c>
      <c r="E22" s="72">
        <v>0</v>
      </c>
      <c r="F22" s="72">
        <v>0</v>
      </c>
      <c r="G22" s="72"/>
      <c r="H22" s="72"/>
      <c r="I22" s="72"/>
      <c r="J22" s="72"/>
      <c r="K22" s="72"/>
      <c r="L22" s="72"/>
      <c r="M22" s="72">
        <v>0</v>
      </c>
      <c r="N22" s="72">
        <v>0</v>
      </c>
      <c r="O22" s="72">
        <f t="shared" ref="O22:O53" si="10">M22+N22</f>
        <v>0</v>
      </c>
      <c r="P22" s="85">
        <f t="shared" ref="P22:P53" si="11">IF(D22=0,IF(O22=0,0,100),100*(O22/D22-1))</f>
        <v>0</v>
      </c>
      <c r="Q22" s="86"/>
    </row>
    <row r="23" ht="21.75" customHeight="1" spans="1:17">
      <c r="A23" s="73">
        <v>2120705</v>
      </c>
      <c r="B23" s="74"/>
      <c r="C23" s="75" t="s">
        <v>613</v>
      </c>
      <c r="D23" s="72"/>
      <c r="E23" s="72">
        <v>0</v>
      </c>
      <c r="F23" s="72">
        <v>0</v>
      </c>
      <c r="G23" s="72"/>
      <c r="H23" s="72"/>
      <c r="I23" s="72"/>
      <c r="J23" s="72"/>
      <c r="K23" s="72"/>
      <c r="L23" s="72"/>
      <c r="M23" s="72">
        <v>0</v>
      </c>
      <c r="N23" s="72">
        <v>0</v>
      </c>
      <c r="O23" s="72">
        <f t="shared" si="10"/>
        <v>0</v>
      </c>
      <c r="P23" s="85">
        <f t="shared" si="11"/>
        <v>0</v>
      </c>
      <c r="Q23" s="86"/>
    </row>
    <row r="24" ht="20.25" customHeight="1" spans="1:17">
      <c r="A24" s="73" t="s">
        <v>614</v>
      </c>
      <c r="B24" s="74"/>
      <c r="C24" s="75" t="s">
        <v>615</v>
      </c>
      <c r="D24" s="72">
        <f t="shared" si="9"/>
        <v>182158.983222</v>
      </c>
      <c r="E24" s="72">
        <v>181558.983222</v>
      </c>
      <c r="F24" s="72">
        <v>600</v>
      </c>
      <c r="G24" s="72"/>
      <c r="H24" s="72"/>
      <c r="I24" s="72"/>
      <c r="J24" s="72"/>
      <c r="K24" s="72"/>
      <c r="L24" s="72"/>
      <c r="M24" s="72">
        <v>181558.983222</v>
      </c>
      <c r="N24" s="72">
        <v>600</v>
      </c>
      <c r="O24" s="72">
        <f t="shared" si="10"/>
        <v>182158.983222</v>
      </c>
      <c r="P24" s="85">
        <f t="shared" si="11"/>
        <v>0</v>
      </c>
      <c r="Q24" s="88"/>
    </row>
    <row r="25" ht="22.5" customHeight="1" spans="1:17">
      <c r="A25" s="73">
        <v>2120801</v>
      </c>
      <c r="B25" s="74"/>
      <c r="C25" s="76" t="s">
        <v>616</v>
      </c>
      <c r="D25" s="72">
        <f t="shared" si="9"/>
        <v>36739.7</v>
      </c>
      <c r="E25" s="77">
        <v>36739.7</v>
      </c>
      <c r="F25" s="77">
        <v>0</v>
      </c>
      <c r="G25" s="72"/>
      <c r="H25" s="72"/>
      <c r="I25" s="72"/>
      <c r="J25" s="72"/>
      <c r="K25" s="72"/>
      <c r="L25" s="77"/>
      <c r="M25" s="77">
        <v>36739.7</v>
      </c>
      <c r="N25" s="77">
        <v>0</v>
      </c>
      <c r="O25" s="72">
        <f t="shared" si="10"/>
        <v>36739.7</v>
      </c>
      <c r="P25" s="85">
        <f t="shared" si="11"/>
        <v>0</v>
      </c>
      <c r="Q25" s="86"/>
    </row>
    <row r="26" ht="21.75" customHeight="1" spans="1:17">
      <c r="A26" s="73">
        <v>2120802</v>
      </c>
      <c r="B26" s="74"/>
      <c r="C26" s="76" t="s">
        <v>617</v>
      </c>
      <c r="D26" s="72">
        <f t="shared" si="9"/>
        <v>99992</v>
      </c>
      <c r="E26" s="77">
        <v>99992</v>
      </c>
      <c r="F26" s="77">
        <v>0</v>
      </c>
      <c r="G26" s="72"/>
      <c r="H26" s="72"/>
      <c r="I26" s="72"/>
      <c r="J26" s="72"/>
      <c r="K26" s="72"/>
      <c r="L26" s="77"/>
      <c r="M26" s="77">
        <v>99992</v>
      </c>
      <c r="N26" s="77">
        <v>0</v>
      </c>
      <c r="O26" s="72">
        <f t="shared" si="10"/>
        <v>99992</v>
      </c>
      <c r="P26" s="85">
        <f t="shared" si="11"/>
        <v>0</v>
      </c>
      <c r="Q26" s="86"/>
    </row>
    <row r="27" ht="21.75" customHeight="1" spans="1:17">
      <c r="A27" s="73">
        <v>2120803</v>
      </c>
      <c r="B27" s="74"/>
      <c r="C27" s="75" t="s">
        <v>618</v>
      </c>
      <c r="D27" s="72">
        <f t="shared" si="9"/>
        <v>25099.04</v>
      </c>
      <c r="E27" s="77">
        <v>25099.04</v>
      </c>
      <c r="F27" s="77">
        <v>0</v>
      </c>
      <c r="G27" s="72"/>
      <c r="H27" s="72"/>
      <c r="I27" s="72"/>
      <c r="J27" s="72"/>
      <c r="K27" s="72"/>
      <c r="L27" s="77"/>
      <c r="M27" s="77">
        <v>25099.04</v>
      </c>
      <c r="N27" s="77">
        <v>0</v>
      </c>
      <c r="O27" s="72">
        <f t="shared" si="10"/>
        <v>25099.04</v>
      </c>
      <c r="P27" s="85">
        <f t="shared" si="11"/>
        <v>0</v>
      </c>
      <c r="Q27" s="86"/>
    </row>
    <row r="28" ht="21.75" customHeight="1" spans="1:17">
      <c r="A28" s="73">
        <v>2120804</v>
      </c>
      <c r="B28" s="74"/>
      <c r="C28" s="76" t="s">
        <v>619</v>
      </c>
      <c r="D28" s="72">
        <f t="shared" si="9"/>
        <v>0</v>
      </c>
      <c r="E28" s="77">
        <v>0</v>
      </c>
      <c r="F28" s="77"/>
      <c r="G28" s="72"/>
      <c r="H28" s="72"/>
      <c r="I28" s="72"/>
      <c r="J28" s="72"/>
      <c r="K28" s="72"/>
      <c r="L28" s="77"/>
      <c r="M28" s="77">
        <v>0</v>
      </c>
      <c r="N28" s="77"/>
      <c r="O28" s="72">
        <f t="shared" si="10"/>
        <v>0</v>
      </c>
      <c r="P28" s="85">
        <f t="shared" si="11"/>
        <v>0</v>
      </c>
      <c r="Q28" s="86"/>
    </row>
    <row r="29" ht="21.75" customHeight="1" spans="1:17">
      <c r="A29" s="73">
        <v>2120805</v>
      </c>
      <c r="B29" s="74"/>
      <c r="C29" s="75" t="s">
        <v>620</v>
      </c>
      <c r="D29" s="72">
        <f t="shared" si="9"/>
        <v>822.3</v>
      </c>
      <c r="E29" s="77">
        <v>822.3</v>
      </c>
      <c r="F29" s="77">
        <v>0</v>
      </c>
      <c r="G29" s="72"/>
      <c r="H29" s="72"/>
      <c r="I29" s="72"/>
      <c r="J29" s="72"/>
      <c r="K29" s="72"/>
      <c r="L29" s="77"/>
      <c r="M29" s="77">
        <v>822.3</v>
      </c>
      <c r="N29" s="77">
        <v>0</v>
      </c>
      <c r="O29" s="72">
        <f t="shared" si="10"/>
        <v>822.3</v>
      </c>
      <c r="P29" s="85">
        <f t="shared" si="11"/>
        <v>0</v>
      </c>
      <c r="Q29" s="86"/>
    </row>
    <row r="30" ht="21.75" customHeight="1" spans="1:17">
      <c r="A30" s="73">
        <v>2120806</v>
      </c>
      <c r="B30" s="74"/>
      <c r="C30" s="76" t="s">
        <v>621</v>
      </c>
      <c r="D30" s="72">
        <f t="shared" si="9"/>
        <v>1731</v>
      </c>
      <c r="E30" s="77">
        <v>1731</v>
      </c>
      <c r="F30" s="77">
        <v>0</v>
      </c>
      <c r="G30" s="72"/>
      <c r="H30" s="72"/>
      <c r="I30" s="72"/>
      <c r="J30" s="72"/>
      <c r="K30" s="72"/>
      <c r="L30" s="77"/>
      <c r="M30" s="77">
        <v>1731</v>
      </c>
      <c r="N30" s="77">
        <v>0</v>
      </c>
      <c r="O30" s="72">
        <f t="shared" si="10"/>
        <v>1731</v>
      </c>
      <c r="P30" s="85">
        <f t="shared" si="11"/>
        <v>0</v>
      </c>
      <c r="Q30" s="86"/>
    </row>
    <row r="31" ht="21.75" customHeight="1" spans="1:17">
      <c r="A31" s="73">
        <v>2120807</v>
      </c>
      <c r="B31" s="74"/>
      <c r="C31" s="76" t="s">
        <v>622</v>
      </c>
      <c r="D31" s="72">
        <f t="shared" si="9"/>
        <v>0</v>
      </c>
      <c r="E31" s="77">
        <v>0</v>
      </c>
      <c r="F31" s="77">
        <v>0</v>
      </c>
      <c r="G31" s="72"/>
      <c r="H31" s="72"/>
      <c r="I31" s="72"/>
      <c r="J31" s="72"/>
      <c r="K31" s="72"/>
      <c r="L31" s="77"/>
      <c r="M31" s="77">
        <v>0</v>
      </c>
      <c r="N31" s="77">
        <v>0</v>
      </c>
      <c r="O31" s="72">
        <f t="shared" si="10"/>
        <v>0</v>
      </c>
      <c r="P31" s="85">
        <f t="shared" si="11"/>
        <v>0</v>
      </c>
      <c r="Q31" s="86"/>
    </row>
    <row r="32" ht="21.75" customHeight="1" spans="1:17">
      <c r="A32" s="73">
        <v>2120808</v>
      </c>
      <c r="B32" s="74"/>
      <c r="C32" s="75" t="s">
        <v>623</v>
      </c>
      <c r="D32" s="72">
        <f t="shared" si="9"/>
        <v>0</v>
      </c>
      <c r="E32" s="77">
        <v>0</v>
      </c>
      <c r="F32" s="77">
        <v>0</v>
      </c>
      <c r="G32" s="72"/>
      <c r="H32" s="72"/>
      <c r="I32" s="72"/>
      <c r="J32" s="72"/>
      <c r="K32" s="72"/>
      <c r="L32" s="77"/>
      <c r="M32" s="77">
        <v>0</v>
      </c>
      <c r="N32" s="77">
        <v>0</v>
      </c>
      <c r="O32" s="72">
        <f t="shared" si="10"/>
        <v>0</v>
      </c>
      <c r="P32" s="85">
        <f t="shared" si="11"/>
        <v>0</v>
      </c>
      <c r="Q32" s="86"/>
    </row>
    <row r="33" ht="21.75" customHeight="1" spans="1:17">
      <c r="A33" s="73" t="s">
        <v>624</v>
      </c>
      <c r="B33" s="74"/>
      <c r="C33" s="75" t="s">
        <v>625</v>
      </c>
      <c r="D33" s="72">
        <f t="shared" si="9"/>
        <v>0</v>
      </c>
      <c r="E33" s="77">
        <v>0</v>
      </c>
      <c r="F33" s="77">
        <v>0</v>
      </c>
      <c r="G33" s="72"/>
      <c r="H33" s="72"/>
      <c r="I33" s="72"/>
      <c r="J33" s="72"/>
      <c r="K33" s="72"/>
      <c r="L33" s="77"/>
      <c r="M33" s="77">
        <v>0</v>
      </c>
      <c r="N33" s="77">
        <v>0</v>
      </c>
      <c r="O33" s="72">
        <f t="shared" si="10"/>
        <v>0</v>
      </c>
      <c r="P33" s="85">
        <f t="shared" si="11"/>
        <v>0</v>
      </c>
      <c r="Q33" s="86"/>
    </row>
    <row r="34" ht="21.75" customHeight="1" spans="1:17">
      <c r="A34" s="73">
        <v>2120811</v>
      </c>
      <c r="B34" s="74"/>
      <c r="C34" s="75" t="s">
        <v>626</v>
      </c>
      <c r="D34" s="72">
        <f t="shared" si="9"/>
        <v>783</v>
      </c>
      <c r="E34" s="77">
        <v>783</v>
      </c>
      <c r="F34" s="77">
        <v>0</v>
      </c>
      <c r="G34" s="72"/>
      <c r="H34" s="72"/>
      <c r="I34" s="72"/>
      <c r="J34" s="72"/>
      <c r="K34" s="72"/>
      <c r="L34" s="77"/>
      <c r="M34" s="77">
        <v>783</v>
      </c>
      <c r="N34" s="77">
        <v>0</v>
      </c>
      <c r="O34" s="72">
        <f t="shared" si="10"/>
        <v>783</v>
      </c>
      <c r="P34" s="85">
        <f t="shared" si="11"/>
        <v>0</v>
      </c>
      <c r="Q34" s="86"/>
    </row>
    <row r="35" ht="21.75" hidden="1" customHeight="1" spans="1:17">
      <c r="A35" s="73">
        <v>2120812</v>
      </c>
      <c r="B35" s="74"/>
      <c r="C35" s="75" t="s">
        <v>627</v>
      </c>
      <c r="D35" s="72">
        <f t="shared" si="9"/>
        <v>0</v>
      </c>
      <c r="E35" s="77">
        <v>0</v>
      </c>
      <c r="F35" s="77">
        <v>0</v>
      </c>
      <c r="G35" s="72"/>
      <c r="H35" s="72"/>
      <c r="I35" s="72"/>
      <c r="J35" s="72"/>
      <c r="K35" s="72"/>
      <c r="L35" s="77"/>
      <c r="M35" s="77">
        <v>0</v>
      </c>
      <c r="N35" s="77">
        <v>0</v>
      </c>
      <c r="O35" s="72">
        <f t="shared" si="10"/>
        <v>0</v>
      </c>
      <c r="P35" s="85">
        <f t="shared" si="11"/>
        <v>0</v>
      </c>
      <c r="Q35" s="86"/>
    </row>
    <row r="36" s="48" customFormat="1" ht="33.95" customHeight="1" spans="1:40">
      <c r="A36" s="69">
        <v>2120899</v>
      </c>
      <c r="B36" s="70"/>
      <c r="C36" s="78" t="s">
        <v>628</v>
      </c>
      <c r="D36" s="72">
        <f t="shared" si="9"/>
        <v>16991.943222</v>
      </c>
      <c r="E36" s="77">
        <v>16391.943222</v>
      </c>
      <c r="F36" s="77">
        <v>600</v>
      </c>
      <c r="G36" s="72"/>
      <c r="H36" s="72"/>
      <c r="I36" s="72"/>
      <c r="J36" s="72"/>
      <c r="K36" s="72"/>
      <c r="L36" s="77"/>
      <c r="M36" s="77">
        <v>16391.943222</v>
      </c>
      <c r="N36" s="77">
        <v>600</v>
      </c>
      <c r="O36" s="72">
        <f t="shared" si="10"/>
        <v>16991.943222</v>
      </c>
      <c r="P36" s="85">
        <f t="shared" si="11"/>
        <v>0</v>
      </c>
      <c r="Q36" s="8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</row>
    <row r="37" ht="21.75" customHeight="1" spans="1:17">
      <c r="A37" s="73" t="s">
        <v>629</v>
      </c>
      <c r="B37" s="74"/>
      <c r="C37" s="75" t="s">
        <v>630</v>
      </c>
      <c r="D37" s="72">
        <f t="shared" si="9"/>
        <v>0</v>
      </c>
      <c r="E37" s="72">
        <v>0</v>
      </c>
      <c r="F37" s="72">
        <v>0</v>
      </c>
      <c r="G37" s="72"/>
      <c r="H37" s="72"/>
      <c r="I37" s="72"/>
      <c r="J37" s="72"/>
      <c r="K37" s="72"/>
      <c r="L37" s="72"/>
      <c r="M37" s="72">
        <v>0</v>
      </c>
      <c r="N37" s="72">
        <v>0</v>
      </c>
      <c r="O37" s="72">
        <f t="shared" si="10"/>
        <v>0</v>
      </c>
      <c r="P37" s="85">
        <f t="shared" si="11"/>
        <v>0</v>
      </c>
      <c r="Q37" s="86"/>
    </row>
    <row r="38" ht="21.75" customHeight="1" spans="1:17">
      <c r="A38" s="73" t="s">
        <v>631</v>
      </c>
      <c r="B38" s="74"/>
      <c r="C38" s="75" t="s">
        <v>632</v>
      </c>
      <c r="D38" s="72"/>
      <c r="E38" s="77">
        <v>0</v>
      </c>
      <c r="F38" s="77">
        <v>0</v>
      </c>
      <c r="G38" s="72"/>
      <c r="H38" s="72"/>
      <c r="I38" s="72"/>
      <c r="J38" s="72"/>
      <c r="K38" s="72"/>
      <c r="L38" s="77"/>
      <c r="M38" s="77">
        <v>0</v>
      </c>
      <c r="N38" s="77">
        <v>0</v>
      </c>
      <c r="O38" s="72">
        <f t="shared" si="10"/>
        <v>0</v>
      </c>
      <c r="P38" s="85">
        <f t="shared" si="11"/>
        <v>0</v>
      </c>
      <c r="Q38" s="86"/>
    </row>
    <row r="39" s="48" customFormat="1" ht="33.95" customHeight="1" spans="1:40">
      <c r="A39" s="69" t="s">
        <v>633</v>
      </c>
      <c r="B39" s="70"/>
      <c r="C39" s="78" t="s">
        <v>634</v>
      </c>
      <c r="D39" s="72"/>
      <c r="E39" s="77">
        <v>0</v>
      </c>
      <c r="F39" s="77">
        <v>0</v>
      </c>
      <c r="G39" s="72"/>
      <c r="H39" s="72"/>
      <c r="I39" s="72"/>
      <c r="J39" s="72"/>
      <c r="K39" s="72"/>
      <c r="L39" s="77"/>
      <c r="M39" s="77">
        <v>0</v>
      </c>
      <c r="N39" s="77">
        <v>0</v>
      </c>
      <c r="O39" s="72">
        <f t="shared" si="10"/>
        <v>0</v>
      </c>
      <c r="P39" s="85">
        <f t="shared" si="11"/>
        <v>0</v>
      </c>
      <c r="Q39" s="86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</row>
    <row r="40" ht="21.75" customHeight="1" spans="1:17">
      <c r="A40" s="73">
        <v>2120999</v>
      </c>
      <c r="B40" s="74"/>
      <c r="C40" s="75" t="s">
        <v>635</v>
      </c>
      <c r="D40" s="72"/>
      <c r="E40" s="77">
        <v>0</v>
      </c>
      <c r="F40" s="77">
        <v>0</v>
      </c>
      <c r="G40" s="72"/>
      <c r="H40" s="72"/>
      <c r="I40" s="72"/>
      <c r="J40" s="72"/>
      <c r="K40" s="72"/>
      <c r="L40" s="77"/>
      <c r="M40" s="77">
        <v>0</v>
      </c>
      <c r="N40" s="77">
        <v>0</v>
      </c>
      <c r="O40" s="72">
        <f t="shared" si="10"/>
        <v>0</v>
      </c>
      <c r="P40" s="85">
        <f t="shared" si="11"/>
        <v>0</v>
      </c>
      <c r="Q40" s="86"/>
    </row>
    <row r="41" ht="21.75" customHeight="1" spans="1:17">
      <c r="A41" s="73" t="s">
        <v>636</v>
      </c>
      <c r="B41" s="74"/>
      <c r="C41" s="75" t="s">
        <v>637</v>
      </c>
      <c r="D41" s="72">
        <f>E41+F41</f>
        <v>8200</v>
      </c>
      <c r="E41" s="72">
        <v>8200</v>
      </c>
      <c r="F41" s="72">
        <v>0</v>
      </c>
      <c r="G41" s="72"/>
      <c r="H41" s="72"/>
      <c r="I41" s="72"/>
      <c r="J41" s="72"/>
      <c r="K41" s="72"/>
      <c r="L41" s="72"/>
      <c r="M41" s="72">
        <v>8200</v>
      </c>
      <c r="N41" s="72">
        <v>0</v>
      </c>
      <c r="O41" s="72">
        <f t="shared" si="10"/>
        <v>8200</v>
      </c>
      <c r="P41" s="85">
        <f t="shared" si="11"/>
        <v>0</v>
      </c>
      <c r="Q41" s="86"/>
    </row>
    <row r="42" ht="28.5" customHeight="1" spans="1:17">
      <c r="A42" s="73">
        <v>2121001</v>
      </c>
      <c r="B42" s="74"/>
      <c r="C42" s="75" t="s">
        <v>638</v>
      </c>
      <c r="D42" s="72">
        <f>E42+F42</f>
        <v>8200</v>
      </c>
      <c r="E42" s="77">
        <v>8200</v>
      </c>
      <c r="F42" s="77">
        <v>0</v>
      </c>
      <c r="G42" s="72"/>
      <c r="H42" s="72"/>
      <c r="I42" s="72"/>
      <c r="J42" s="72"/>
      <c r="K42" s="72"/>
      <c r="L42" s="77"/>
      <c r="M42" s="77">
        <v>8200</v>
      </c>
      <c r="N42" s="77">
        <v>0</v>
      </c>
      <c r="O42" s="72">
        <f t="shared" si="10"/>
        <v>8200</v>
      </c>
      <c r="P42" s="85">
        <f t="shared" si="11"/>
        <v>0</v>
      </c>
      <c r="Q42" s="88"/>
    </row>
    <row r="43" ht="26.25" customHeight="1" spans="1:17">
      <c r="A43" s="73">
        <v>2121002</v>
      </c>
      <c r="B43" s="74"/>
      <c r="C43" s="75" t="s">
        <v>639</v>
      </c>
      <c r="D43" s="72">
        <f>E43+F43</f>
        <v>0</v>
      </c>
      <c r="E43" s="77">
        <v>0</v>
      </c>
      <c r="F43" s="77">
        <v>0</v>
      </c>
      <c r="G43" s="72"/>
      <c r="H43" s="72"/>
      <c r="I43" s="72"/>
      <c r="J43" s="72"/>
      <c r="K43" s="72"/>
      <c r="L43" s="77"/>
      <c r="M43" s="77">
        <v>0</v>
      </c>
      <c r="N43" s="77">
        <v>0</v>
      </c>
      <c r="O43" s="72">
        <f t="shared" si="10"/>
        <v>0</v>
      </c>
      <c r="P43" s="85">
        <f t="shared" si="11"/>
        <v>0</v>
      </c>
      <c r="Q43" s="88"/>
    </row>
    <row r="44" ht="21.75" customHeight="1" spans="1:17">
      <c r="A44" s="73">
        <v>2121099</v>
      </c>
      <c r="B44" s="74"/>
      <c r="C44" s="75" t="s">
        <v>640</v>
      </c>
      <c r="D44" s="72"/>
      <c r="E44" s="77">
        <v>0</v>
      </c>
      <c r="F44" s="77">
        <v>0</v>
      </c>
      <c r="G44" s="72"/>
      <c r="H44" s="72"/>
      <c r="I44" s="72"/>
      <c r="J44" s="72"/>
      <c r="K44" s="72"/>
      <c r="L44" s="77"/>
      <c r="M44" s="77">
        <v>0</v>
      </c>
      <c r="N44" s="77">
        <v>0</v>
      </c>
      <c r="O44" s="72">
        <f t="shared" si="10"/>
        <v>0</v>
      </c>
      <c r="P44" s="85">
        <f t="shared" si="11"/>
        <v>0</v>
      </c>
      <c r="Q44" s="86"/>
    </row>
    <row r="45" ht="26.25" customHeight="1" spans="1:17">
      <c r="A45" s="73" t="s">
        <v>641</v>
      </c>
      <c r="B45" s="74"/>
      <c r="C45" s="75" t="s">
        <v>642</v>
      </c>
      <c r="D45" s="72">
        <f t="shared" ref="D45:D54" si="12">E45+F45</f>
        <v>524</v>
      </c>
      <c r="E45" s="77">
        <v>524</v>
      </c>
      <c r="F45" s="77"/>
      <c r="G45" s="72"/>
      <c r="H45" s="72"/>
      <c r="I45" s="72"/>
      <c r="J45" s="72"/>
      <c r="K45" s="72"/>
      <c r="L45" s="72"/>
      <c r="M45" s="77">
        <v>524</v>
      </c>
      <c r="N45" s="77"/>
      <c r="O45" s="72">
        <f t="shared" si="10"/>
        <v>524</v>
      </c>
      <c r="P45" s="85">
        <f t="shared" si="11"/>
        <v>0</v>
      </c>
      <c r="Q45" s="86"/>
    </row>
    <row r="46" s="48" customFormat="1" ht="33.95" customHeight="1" spans="1:40">
      <c r="A46" s="69" t="s">
        <v>643</v>
      </c>
      <c r="B46" s="70"/>
      <c r="C46" s="78" t="s">
        <v>644</v>
      </c>
      <c r="D46" s="72">
        <f t="shared" si="12"/>
        <v>0</v>
      </c>
      <c r="E46" s="77">
        <v>0</v>
      </c>
      <c r="F46" s="77">
        <v>0</v>
      </c>
      <c r="G46" s="72"/>
      <c r="H46" s="72"/>
      <c r="I46" s="72"/>
      <c r="J46" s="72"/>
      <c r="K46" s="72"/>
      <c r="L46" s="77"/>
      <c r="M46" s="77">
        <v>0</v>
      </c>
      <c r="N46" s="77">
        <v>0</v>
      </c>
      <c r="O46" s="72">
        <f t="shared" si="10"/>
        <v>0</v>
      </c>
      <c r="P46" s="85">
        <f t="shared" si="11"/>
        <v>0</v>
      </c>
      <c r="Q46" s="86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</row>
    <row r="47" ht="21.75" customHeight="1" spans="1:17">
      <c r="A47" s="73">
        <v>2121202</v>
      </c>
      <c r="B47" s="74"/>
      <c r="C47" s="75" t="s">
        <v>645</v>
      </c>
      <c r="D47" s="72">
        <f t="shared" si="12"/>
        <v>0</v>
      </c>
      <c r="E47" s="77">
        <v>0</v>
      </c>
      <c r="F47" s="77">
        <v>0</v>
      </c>
      <c r="G47" s="72"/>
      <c r="H47" s="72"/>
      <c r="I47" s="72"/>
      <c r="J47" s="72"/>
      <c r="K47" s="72"/>
      <c r="L47" s="77"/>
      <c r="M47" s="77">
        <v>0</v>
      </c>
      <c r="N47" s="77">
        <v>0</v>
      </c>
      <c r="O47" s="72">
        <f t="shared" si="10"/>
        <v>0</v>
      </c>
      <c r="P47" s="85">
        <f t="shared" si="11"/>
        <v>0</v>
      </c>
      <c r="Q47" s="86"/>
    </row>
    <row r="48" ht="21.75" customHeight="1" spans="1:17">
      <c r="A48" s="73">
        <v>2121203</v>
      </c>
      <c r="B48" s="74"/>
      <c r="C48" s="75" t="s">
        <v>646</v>
      </c>
      <c r="D48" s="72">
        <f t="shared" si="12"/>
        <v>0</v>
      </c>
      <c r="E48" s="77">
        <v>0</v>
      </c>
      <c r="F48" s="72">
        <v>0</v>
      </c>
      <c r="G48" s="72"/>
      <c r="H48" s="72"/>
      <c r="I48" s="72"/>
      <c r="J48" s="72"/>
      <c r="K48" s="72"/>
      <c r="L48" s="77"/>
      <c r="M48" s="77">
        <v>0</v>
      </c>
      <c r="N48" s="72">
        <v>0</v>
      </c>
      <c r="O48" s="72">
        <f t="shared" si="10"/>
        <v>0</v>
      </c>
      <c r="P48" s="85">
        <f t="shared" si="11"/>
        <v>0</v>
      </c>
      <c r="Q48" s="86"/>
    </row>
    <row r="49" ht="21.75" customHeight="1" spans="1:17">
      <c r="A49" s="73" t="s">
        <v>647</v>
      </c>
      <c r="B49" s="74"/>
      <c r="C49" s="75" t="s">
        <v>648</v>
      </c>
      <c r="D49" s="72">
        <f t="shared" si="12"/>
        <v>20784</v>
      </c>
      <c r="E49" s="72">
        <v>20784</v>
      </c>
      <c r="F49" s="72">
        <v>0</v>
      </c>
      <c r="G49" s="72"/>
      <c r="H49" s="72"/>
      <c r="I49" s="72"/>
      <c r="J49" s="72"/>
      <c r="K49" s="72"/>
      <c r="L49" s="72"/>
      <c r="M49" s="72">
        <v>20784</v>
      </c>
      <c r="N49" s="72">
        <v>0</v>
      </c>
      <c r="O49" s="72">
        <f t="shared" si="10"/>
        <v>20784</v>
      </c>
      <c r="P49" s="85">
        <f t="shared" si="11"/>
        <v>0</v>
      </c>
      <c r="Q49" s="86"/>
    </row>
    <row r="50" ht="21.75" customHeight="1" spans="1:17">
      <c r="A50" s="73" t="s">
        <v>649</v>
      </c>
      <c r="B50" s="74"/>
      <c r="C50" s="75" t="s">
        <v>632</v>
      </c>
      <c r="D50" s="72">
        <f t="shared" si="12"/>
        <v>663</v>
      </c>
      <c r="E50" s="77">
        <v>663</v>
      </c>
      <c r="F50" s="77">
        <v>0</v>
      </c>
      <c r="G50" s="72"/>
      <c r="H50" s="72"/>
      <c r="I50" s="72"/>
      <c r="J50" s="72"/>
      <c r="K50" s="72"/>
      <c r="L50" s="77"/>
      <c r="M50" s="77">
        <v>663</v>
      </c>
      <c r="N50" s="77">
        <v>0</v>
      </c>
      <c r="O50" s="72">
        <f t="shared" si="10"/>
        <v>663</v>
      </c>
      <c r="P50" s="85">
        <f t="shared" si="11"/>
        <v>0</v>
      </c>
      <c r="Q50" s="86"/>
    </row>
    <row r="51" ht="21.75" customHeight="1" spans="1:40">
      <c r="A51" s="73" t="s">
        <v>650</v>
      </c>
      <c r="B51" s="74"/>
      <c r="C51" s="75" t="s">
        <v>651</v>
      </c>
      <c r="D51" s="72">
        <f t="shared" si="12"/>
        <v>4055</v>
      </c>
      <c r="E51" s="77">
        <v>4055</v>
      </c>
      <c r="F51" s="77">
        <v>0</v>
      </c>
      <c r="G51" s="72"/>
      <c r="H51" s="72"/>
      <c r="I51" s="72"/>
      <c r="J51" s="72"/>
      <c r="K51" s="72"/>
      <c r="L51" s="77"/>
      <c r="M51" s="77">
        <v>4055</v>
      </c>
      <c r="N51" s="77">
        <v>0</v>
      </c>
      <c r="O51" s="72">
        <f t="shared" si="10"/>
        <v>4055</v>
      </c>
      <c r="P51" s="85">
        <f t="shared" si="11"/>
        <v>0</v>
      </c>
      <c r="Q51" s="86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</row>
    <row r="52" ht="21.75" customHeight="1" spans="1:40">
      <c r="A52" s="73">
        <v>2121399</v>
      </c>
      <c r="B52" s="74"/>
      <c r="C52" s="75" t="s">
        <v>652</v>
      </c>
      <c r="D52" s="72">
        <f t="shared" si="12"/>
        <v>16066</v>
      </c>
      <c r="E52" s="77">
        <v>16066</v>
      </c>
      <c r="F52" s="77">
        <v>0</v>
      </c>
      <c r="G52" s="72"/>
      <c r="H52" s="72"/>
      <c r="I52" s="72"/>
      <c r="J52" s="72"/>
      <c r="K52" s="72"/>
      <c r="L52" s="77"/>
      <c r="M52" s="77">
        <v>16066</v>
      </c>
      <c r="N52" s="77">
        <v>0</v>
      </c>
      <c r="O52" s="72">
        <f t="shared" si="10"/>
        <v>16066</v>
      </c>
      <c r="P52" s="85">
        <f t="shared" si="11"/>
        <v>0</v>
      </c>
      <c r="Q52" s="8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</row>
    <row r="53" ht="21.75" hidden="1" customHeight="1" spans="1:40">
      <c r="A53" s="73" t="s">
        <v>653</v>
      </c>
      <c r="B53" s="74"/>
      <c r="C53" s="75" t="s">
        <v>654</v>
      </c>
      <c r="D53" s="72">
        <f t="shared" si="12"/>
        <v>0</v>
      </c>
      <c r="E53" s="72">
        <v>0</v>
      </c>
      <c r="F53" s="72">
        <v>0</v>
      </c>
      <c r="G53" s="72"/>
      <c r="H53" s="72"/>
      <c r="I53" s="72"/>
      <c r="J53" s="72"/>
      <c r="K53" s="72"/>
      <c r="L53" s="72"/>
      <c r="M53" s="72">
        <v>0</v>
      </c>
      <c r="N53" s="72">
        <v>0</v>
      </c>
      <c r="O53" s="72">
        <f t="shared" si="10"/>
        <v>0</v>
      </c>
      <c r="P53" s="85">
        <f t="shared" si="11"/>
        <v>0</v>
      </c>
      <c r="Q53" s="86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</row>
    <row r="54" ht="21.75" hidden="1" customHeight="1" spans="1:40">
      <c r="A54" s="73" t="s">
        <v>655</v>
      </c>
      <c r="B54" s="74"/>
      <c r="C54" s="75" t="s">
        <v>656</v>
      </c>
      <c r="D54" s="72">
        <f t="shared" si="12"/>
        <v>0</v>
      </c>
      <c r="E54" s="72">
        <v>0</v>
      </c>
      <c r="F54" s="72">
        <v>0</v>
      </c>
      <c r="G54" s="72"/>
      <c r="H54" s="72"/>
      <c r="I54" s="72"/>
      <c r="J54" s="72"/>
      <c r="K54" s="72"/>
      <c r="L54" s="72"/>
      <c r="M54" s="72">
        <v>0</v>
      </c>
      <c r="N54" s="72">
        <v>0</v>
      </c>
      <c r="O54" s="72">
        <f t="shared" ref="O54:O94" si="13">M54+N54</f>
        <v>0</v>
      </c>
      <c r="P54" s="85">
        <f t="shared" ref="P54:P94" si="14">IF(D54=0,IF(O54=0,0,100),100*(O54/D54-1))</f>
        <v>0</v>
      </c>
      <c r="Q54" s="86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  <row r="55" ht="21.75" hidden="1" customHeight="1" spans="1:40">
      <c r="A55" s="73">
        <v>2136203</v>
      </c>
      <c r="B55" s="74"/>
      <c r="C55" s="75" t="s">
        <v>657</v>
      </c>
      <c r="D55" s="72"/>
      <c r="E55" s="72">
        <v>0</v>
      </c>
      <c r="F55" s="72">
        <v>0</v>
      </c>
      <c r="G55" s="72"/>
      <c r="H55" s="72"/>
      <c r="I55" s="72"/>
      <c r="J55" s="72"/>
      <c r="K55" s="72"/>
      <c r="L55" s="77"/>
      <c r="M55" s="72">
        <v>0</v>
      </c>
      <c r="N55" s="72">
        <v>0</v>
      </c>
      <c r="O55" s="72">
        <f t="shared" si="13"/>
        <v>0</v>
      </c>
      <c r="P55" s="85">
        <f t="shared" si="14"/>
        <v>0</v>
      </c>
      <c r="Q55" s="86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</row>
    <row r="56" ht="21.75" hidden="1" customHeight="1" spans="1:40">
      <c r="A56" s="73">
        <v>2136299</v>
      </c>
      <c r="B56" s="74"/>
      <c r="C56" s="75" t="s">
        <v>658</v>
      </c>
      <c r="D56" s="72"/>
      <c r="E56" s="72">
        <v>0</v>
      </c>
      <c r="F56" s="72">
        <v>0</v>
      </c>
      <c r="G56" s="72"/>
      <c r="H56" s="72"/>
      <c r="I56" s="72"/>
      <c r="J56" s="72"/>
      <c r="K56" s="72"/>
      <c r="L56" s="77"/>
      <c r="M56" s="72">
        <v>0</v>
      </c>
      <c r="N56" s="72">
        <v>0</v>
      </c>
      <c r="O56" s="72">
        <f t="shared" si="13"/>
        <v>0</v>
      </c>
      <c r="P56" s="85">
        <f t="shared" si="14"/>
        <v>0</v>
      </c>
      <c r="Q56" s="86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</row>
    <row r="57" ht="21.75" hidden="1" customHeight="1" spans="1:40">
      <c r="A57" s="73" t="s">
        <v>659</v>
      </c>
      <c r="B57" s="74"/>
      <c r="C57" s="75" t="s">
        <v>660</v>
      </c>
      <c r="D57" s="72">
        <f t="shared" ref="D57:D62" si="15">E57+F57</f>
        <v>0</v>
      </c>
      <c r="E57" s="72">
        <v>0</v>
      </c>
      <c r="F57" s="72">
        <v>0</v>
      </c>
      <c r="G57" s="72"/>
      <c r="H57" s="72"/>
      <c r="I57" s="72"/>
      <c r="J57" s="72"/>
      <c r="K57" s="72"/>
      <c r="L57" s="72"/>
      <c r="M57" s="72">
        <v>0</v>
      </c>
      <c r="N57" s="72">
        <v>0</v>
      </c>
      <c r="O57" s="72">
        <f t="shared" si="13"/>
        <v>0</v>
      </c>
      <c r="P57" s="85">
        <f t="shared" si="14"/>
        <v>0</v>
      </c>
      <c r="Q57" s="86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</row>
    <row r="58" ht="21.75" hidden="1" customHeight="1" spans="1:40">
      <c r="A58" s="73">
        <v>2136499</v>
      </c>
      <c r="B58" s="74"/>
      <c r="C58" s="75" t="s">
        <v>661</v>
      </c>
      <c r="D58" s="72"/>
      <c r="E58" s="72">
        <v>0</v>
      </c>
      <c r="F58" s="72">
        <v>0</v>
      </c>
      <c r="G58" s="72"/>
      <c r="H58" s="72"/>
      <c r="I58" s="72"/>
      <c r="J58" s="72"/>
      <c r="K58" s="72"/>
      <c r="L58" s="77"/>
      <c r="M58" s="72">
        <v>0</v>
      </c>
      <c r="N58" s="72">
        <v>0</v>
      </c>
      <c r="O58" s="72">
        <f t="shared" si="13"/>
        <v>0</v>
      </c>
      <c r="P58" s="85">
        <f t="shared" si="14"/>
        <v>0</v>
      </c>
      <c r="Q58" s="86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</row>
    <row r="59" ht="21.75" hidden="1" customHeight="1" spans="1:40">
      <c r="A59" s="73" t="s">
        <v>662</v>
      </c>
      <c r="B59" s="74"/>
      <c r="C59" s="75" t="s">
        <v>663</v>
      </c>
      <c r="D59" s="72">
        <f t="shared" si="15"/>
        <v>0</v>
      </c>
      <c r="E59" s="72">
        <v>0</v>
      </c>
      <c r="F59" s="72">
        <v>0</v>
      </c>
      <c r="G59" s="72"/>
      <c r="H59" s="72"/>
      <c r="I59" s="72"/>
      <c r="J59" s="72"/>
      <c r="K59" s="72"/>
      <c r="L59" s="72"/>
      <c r="M59" s="72">
        <v>0</v>
      </c>
      <c r="N59" s="72">
        <v>0</v>
      </c>
      <c r="O59" s="72">
        <f t="shared" si="13"/>
        <v>0</v>
      </c>
      <c r="P59" s="85">
        <f t="shared" si="14"/>
        <v>0</v>
      </c>
      <c r="Q59" s="89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</row>
    <row r="60" ht="21.75" hidden="1" customHeight="1" spans="1:40">
      <c r="A60" s="73" t="s">
        <v>664</v>
      </c>
      <c r="B60" s="74"/>
      <c r="C60" s="75" t="s">
        <v>665</v>
      </c>
      <c r="D60" s="72"/>
      <c r="E60" s="72">
        <v>0</v>
      </c>
      <c r="F60" s="72">
        <v>0</v>
      </c>
      <c r="G60" s="72"/>
      <c r="H60" s="72"/>
      <c r="I60" s="72"/>
      <c r="J60" s="72"/>
      <c r="K60" s="72"/>
      <c r="L60" s="77"/>
      <c r="M60" s="72">
        <v>0</v>
      </c>
      <c r="N60" s="72">
        <v>0</v>
      </c>
      <c r="O60" s="72">
        <f t="shared" si="13"/>
        <v>0</v>
      </c>
      <c r="P60" s="85">
        <f t="shared" si="14"/>
        <v>0</v>
      </c>
      <c r="Q60" s="89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</row>
    <row r="61" ht="21.75" hidden="1" customHeight="1" spans="1:40">
      <c r="A61" s="73" t="s">
        <v>666</v>
      </c>
      <c r="B61" s="74"/>
      <c r="C61" s="75" t="s">
        <v>667</v>
      </c>
      <c r="D61" s="72">
        <f t="shared" si="15"/>
        <v>0</v>
      </c>
      <c r="E61" s="72">
        <v>0</v>
      </c>
      <c r="F61" s="72">
        <v>0</v>
      </c>
      <c r="G61" s="72"/>
      <c r="H61" s="72"/>
      <c r="I61" s="72"/>
      <c r="J61" s="72"/>
      <c r="K61" s="72"/>
      <c r="L61" s="72"/>
      <c r="M61" s="72">
        <v>0</v>
      </c>
      <c r="N61" s="72">
        <v>0</v>
      </c>
      <c r="O61" s="72">
        <f t="shared" si="13"/>
        <v>0</v>
      </c>
      <c r="P61" s="85">
        <f t="shared" si="14"/>
        <v>0</v>
      </c>
      <c r="Q61" s="89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</row>
    <row r="62" ht="21.75" hidden="1" customHeight="1" spans="1:40">
      <c r="A62" s="73" t="s">
        <v>668</v>
      </c>
      <c r="B62" s="74"/>
      <c r="C62" s="75" t="s">
        <v>669</v>
      </c>
      <c r="D62" s="72">
        <f t="shared" si="15"/>
        <v>0</v>
      </c>
      <c r="E62" s="72">
        <v>0</v>
      </c>
      <c r="F62" s="72">
        <v>0</v>
      </c>
      <c r="G62" s="72"/>
      <c r="H62" s="72"/>
      <c r="I62" s="72"/>
      <c r="J62" s="72"/>
      <c r="K62" s="72"/>
      <c r="L62" s="72"/>
      <c r="M62" s="72">
        <v>0</v>
      </c>
      <c r="N62" s="72">
        <v>0</v>
      </c>
      <c r="O62" s="72">
        <f t="shared" si="13"/>
        <v>0</v>
      </c>
      <c r="P62" s="85">
        <f t="shared" si="14"/>
        <v>0</v>
      </c>
      <c r="Q62" s="86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</row>
    <row r="63" ht="21.75" hidden="1" customHeight="1" spans="1:40">
      <c r="A63" s="73">
        <v>2140190</v>
      </c>
      <c r="B63" s="74"/>
      <c r="C63" s="75" t="s">
        <v>670</v>
      </c>
      <c r="D63" s="72"/>
      <c r="E63" s="72">
        <v>0</v>
      </c>
      <c r="F63" s="72">
        <v>0</v>
      </c>
      <c r="G63" s="72"/>
      <c r="H63" s="72"/>
      <c r="I63" s="72"/>
      <c r="J63" s="72"/>
      <c r="K63" s="72"/>
      <c r="L63" s="77"/>
      <c r="M63" s="72">
        <v>0</v>
      </c>
      <c r="N63" s="72">
        <v>0</v>
      </c>
      <c r="O63" s="72">
        <f t="shared" si="13"/>
        <v>0</v>
      </c>
      <c r="P63" s="85">
        <f t="shared" si="14"/>
        <v>0</v>
      </c>
      <c r="Q63" s="90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</row>
    <row r="64" ht="21.75" hidden="1" customHeight="1" spans="1:40">
      <c r="A64" s="75" t="s">
        <v>671</v>
      </c>
      <c r="B64" s="75"/>
      <c r="C64" s="75" t="s">
        <v>355</v>
      </c>
      <c r="D64" s="72">
        <f>E64+F64</f>
        <v>0</v>
      </c>
      <c r="E64" s="72">
        <v>0</v>
      </c>
      <c r="F64" s="72">
        <v>0</v>
      </c>
      <c r="G64" s="72"/>
      <c r="H64" s="72"/>
      <c r="I64" s="72"/>
      <c r="J64" s="72"/>
      <c r="K64" s="72"/>
      <c r="L64" s="72"/>
      <c r="M64" s="72">
        <v>0</v>
      </c>
      <c r="N64" s="72">
        <v>0</v>
      </c>
      <c r="O64" s="72">
        <f t="shared" si="13"/>
        <v>0</v>
      </c>
      <c r="P64" s="85">
        <f t="shared" si="14"/>
        <v>0</v>
      </c>
      <c r="Q64" s="90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</row>
    <row r="65" ht="21.75" hidden="1" customHeight="1" spans="1:40">
      <c r="A65" s="75" t="s">
        <v>672</v>
      </c>
      <c r="B65" s="75"/>
      <c r="C65" s="75" t="s">
        <v>673</v>
      </c>
      <c r="D65" s="72">
        <f>E65+F65</f>
        <v>0</v>
      </c>
      <c r="E65" s="72">
        <v>0</v>
      </c>
      <c r="F65" s="72">
        <v>0</v>
      </c>
      <c r="G65" s="72"/>
      <c r="H65" s="72"/>
      <c r="I65" s="72"/>
      <c r="J65" s="72"/>
      <c r="K65" s="72"/>
      <c r="L65" s="72"/>
      <c r="M65" s="72">
        <v>0</v>
      </c>
      <c r="N65" s="72">
        <v>0</v>
      </c>
      <c r="O65" s="72">
        <f t="shared" si="13"/>
        <v>0</v>
      </c>
      <c r="P65" s="85">
        <f t="shared" si="14"/>
        <v>0</v>
      </c>
      <c r="Q65" s="90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ht="21.75" hidden="1" customHeight="1" spans="1:40">
      <c r="A66" s="75" t="s">
        <v>674</v>
      </c>
      <c r="B66" s="75"/>
      <c r="C66" s="75" t="s">
        <v>675</v>
      </c>
      <c r="D66" s="72"/>
      <c r="E66" s="72">
        <v>0</v>
      </c>
      <c r="F66" s="72">
        <v>0</v>
      </c>
      <c r="G66" s="72"/>
      <c r="H66" s="72"/>
      <c r="I66" s="72"/>
      <c r="J66" s="72"/>
      <c r="K66" s="72"/>
      <c r="L66" s="77"/>
      <c r="M66" s="72">
        <v>0</v>
      </c>
      <c r="N66" s="72">
        <v>0</v>
      </c>
      <c r="O66" s="72">
        <f t="shared" si="13"/>
        <v>0</v>
      </c>
      <c r="P66" s="85">
        <f t="shared" si="14"/>
        <v>0</v>
      </c>
      <c r="Q66" s="86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</row>
    <row r="67" ht="21.75" hidden="1" customHeight="1" spans="1:40">
      <c r="A67" s="75" t="s">
        <v>676</v>
      </c>
      <c r="B67" s="75"/>
      <c r="C67" s="75" t="s">
        <v>677</v>
      </c>
      <c r="D67" s="72">
        <f>E67+F67</f>
        <v>0</v>
      </c>
      <c r="E67" s="72">
        <v>0</v>
      </c>
      <c r="F67" s="72">
        <v>0</v>
      </c>
      <c r="G67" s="72"/>
      <c r="H67" s="72"/>
      <c r="I67" s="72"/>
      <c r="J67" s="72"/>
      <c r="K67" s="72"/>
      <c r="L67" s="72"/>
      <c r="M67" s="72">
        <v>0</v>
      </c>
      <c r="N67" s="72">
        <v>0</v>
      </c>
      <c r="O67" s="72">
        <f t="shared" si="13"/>
        <v>0</v>
      </c>
      <c r="P67" s="85">
        <f t="shared" si="14"/>
        <v>0</v>
      </c>
      <c r="Q67" s="90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</row>
    <row r="68" ht="21.75" hidden="1" customHeight="1" spans="1:40">
      <c r="A68" s="75" t="s">
        <v>678</v>
      </c>
      <c r="B68" s="75"/>
      <c r="C68" s="75" t="s">
        <v>679</v>
      </c>
      <c r="D68" s="72"/>
      <c r="E68" s="72">
        <v>0</v>
      </c>
      <c r="F68" s="72">
        <v>0</v>
      </c>
      <c r="G68" s="72"/>
      <c r="H68" s="72"/>
      <c r="I68" s="72"/>
      <c r="J68" s="72"/>
      <c r="K68" s="72"/>
      <c r="L68" s="77"/>
      <c r="M68" s="72">
        <v>0</v>
      </c>
      <c r="N68" s="72">
        <v>0</v>
      </c>
      <c r="O68" s="72">
        <f t="shared" si="13"/>
        <v>0</v>
      </c>
      <c r="P68" s="85">
        <f t="shared" si="14"/>
        <v>0</v>
      </c>
      <c r="Q68" s="86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</row>
    <row r="69" s="49" customFormat="1" ht="21.75" hidden="1" customHeight="1" spans="1:40">
      <c r="A69" s="91" t="s">
        <v>680</v>
      </c>
      <c r="B69" s="91"/>
      <c r="C69" s="92" t="s">
        <v>365</v>
      </c>
      <c r="D69" s="72"/>
      <c r="E69" s="72"/>
      <c r="F69" s="72"/>
      <c r="G69" s="72"/>
      <c r="H69" s="72"/>
      <c r="I69" s="72"/>
      <c r="J69" s="72"/>
      <c r="K69" s="72"/>
      <c r="L69" s="77"/>
      <c r="M69" s="72"/>
      <c r="N69" s="72"/>
      <c r="O69" s="72">
        <f t="shared" si="13"/>
        <v>0</v>
      </c>
      <c r="P69" s="85">
        <f t="shared" si="14"/>
        <v>0</v>
      </c>
      <c r="Q69" s="86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</row>
    <row r="70" s="49" customFormat="1" ht="21.75" hidden="1" customHeight="1" spans="1:40">
      <c r="A70" s="91" t="s">
        <v>681</v>
      </c>
      <c r="B70" s="91"/>
      <c r="C70" s="92" t="s">
        <v>682</v>
      </c>
      <c r="D70" s="72"/>
      <c r="E70" s="72"/>
      <c r="F70" s="72"/>
      <c r="G70" s="72"/>
      <c r="H70" s="72"/>
      <c r="I70" s="72"/>
      <c r="J70" s="72"/>
      <c r="K70" s="72"/>
      <c r="L70" s="77"/>
      <c r="M70" s="72"/>
      <c r="N70" s="72"/>
      <c r="O70" s="72">
        <f t="shared" si="13"/>
        <v>0</v>
      </c>
      <c r="P70" s="85">
        <f t="shared" si="14"/>
        <v>0</v>
      </c>
      <c r="Q70" s="86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</row>
    <row r="71" s="49" customFormat="1" ht="21.75" hidden="1" customHeight="1" spans="1:40">
      <c r="A71" s="91" t="s">
        <v>683</v>
      </c>
      <c r="B71" s="91"/>
      <c r="C71" s="92" t="s">
        <v>684</v>
      </c>
      <c r="D71" s="72"/>
      <c r="E71" s="72"/>
      <c r="F71" s="72"/>
      <c r="G71" s="72"/>
      <c r="H71" s="72"/>
      <c r="I71" s="72"/>
      <c r="J71" s="72"/>
      <c r="K71" s="72"/>
      <c r="L71" s="77"/>
      <c r="M71" s="72"/>
      <c r="N71" s="72"/>
      <c r="O71" s="72">
        <f t="shared" si="13"/>
        <v>0</v>
      </c>
      <c r="P71" s="85">
        <f t="shared" si="14"/>
        <v>0</v>
      </c>
      <c r="Q71" s="86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</row>
    <row r="72" s="48" customFormat="1" ht="21.75" customHeight="1" spans="1:40">
      <c r="A72" s="69" t="s">
        <v>685</v>
      </c>
      <c r="B72" s="93"/>
      <c r="C72" s="71" t="s">
        <v>403</v>
      </c>
      <c r="D72" s="72">
        <f t="shared" ref="D72:D94" si="16">E72+F72</f>
        <v>60</v>
      </c>
      <c r="E72" s="72">
        <v>60</v>
      </c>
      <c r="F72" s="72"/>
      <c r="G72" s="72"/>
      <c r="H72" s="72"/>
      <c r="I72" s="72"/>
      <c r="J72" s="72"/>
      <c r="K72" s="72"/>
      <c r="L72" s="72"/>
      <c r="M72" s="72">
        <v>60</v>
      </c>
      <c r="N72" s="72"/>
      <c r="O72" s="72">
        <f t="shared" si="13"/>
        <v>60</v>
      </c>
      <c r="P72" s="85">
        <f t="shared" si="14"/>
        <v>0</v>
      </c>
      <c r="Q72" s="8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</row>
    <row r="73" s="48" customFormat="1" ht="21.75" customHeight="1" spans="1:40">
      <c r="A73" s="69" t="s">
        <v>686</v>
      </c>
      <c r="B73" s="70"/>
      <c r="C73" s="78" t="s">
        <v>687</v>
      </c>
      <c r="D73" s="72">
        <f t="shared" si="16"/>
        <v>60</v>
      </c>
      <c r="E73" s="72">
        <v>60</v>
      </c>
      <c r="F73" s="72"/>
      <c r="G73" s="72"/>
      <c r="H73" s="72"/>
      <c r="I73" s="72"/>
      <c r="J73" s="72"/>
      <c r="K73" s="72"/>
      <c r="L73" s="72"/>
      <c r="M73" s="72">
        <v>60</v>
      </c>
      <c r="N73" s="72"/>
      <c r="O73" s="72">
        <f t="shared" si="13"/>
        <v>60</v>
      </c>
      <c r="P73" s="85">
        <f t="shared" si="14"/>
        <v>0</v>
      </c>
      <c r="Q73" s="86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</row>
    <row r="74" s="48" customFormat="1" ht="33.95" customHeight="1" spans="1:40">
      <c r="A74" s="69" t="s">
        <v>688</v>
      </c>
      <c r="B74" s="70"/>
      <c r="C74" s="78" t="s">
        <v>689</v>
      </c>
      <c r="D74" s="72">
        <f t="shared" si="16"/>
        <v>0</v>
      </c>
      <c r="E74" s="77">
        <v>0</v>
      </c>
      <c r="F74" s="77">
        <v>0</v>
      </c>
      <c r="G74" s="72"/>
      <c r="H74" s="72"/>
      <c r="I74" s="72"/>
      <c r="J74" s="72"/>
      <c r="K74" s="72"/>
      <c r="L74" s="77"/>
      <c r="M74" s="77">
        <v>0</v>
      </c>
      <c r="N74" s="77">
        <v>0</v>
      </c>
      <c r="O74" s="72">
        <f t="shared" si="13"/>
        <v>0</v>
      </c>
      <c r="P74" s="85">
        <f t="shared" si="14"/>
        <v>0</v>
      </c>
      <c r="Q74" s="86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</row>
    <row r="75" s="48" customFormat="1" ht="21.75" customHeight="1" spans="1:40">
      <c r="A75" s="69" t="s">
        <v>690</v>
      </c>
      <c r="B75" s="70"/>
      <c r="C75" s="78" t="s">
        <v>691</v>
      </c>
      <c r="D75" s="72">
        <f t="shared" si="16"/>
        <v>0</v>
      </c>
      <c r="E75" s="77">
        <v>0</v>
      </c>
      <c r="F75" s="77"/>
      <c r="G75" s="72"/>
      <c r="H75" s="72"/>
      <c r="I75" s="72"/>
      <c r="J75" s="72"/>
      <c r="K75" s="72"/>
      <c r="L75" s="77"/>
      <c r="M75" s="77">
        <v>0</v>
      </c>
      <c r="N75" s="77"/>
      <c r="O75" s="72">
        <f t="shared" si="13"/>
        <v>0</v>
      </c>
      <c r="P75" s="85">
        <f t="shared" si="14"/>
        <v>0</v>
      </c>
      <c r="Q75" s="86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</row>
    <row r="76" s="48" customFormat="1" ht="21.75" customHeight="1" spans="1:40">
      <c r="A76" s="69" t="s">
        <v>692</v>
      </c>
      <c r="B76" s="70"/>
      <c r="C76" s="78" t="s">
        <v>693</v>
      </c>
      <c r="D76" s="72">
        <f t="shared" si="16"/>
        <v>0</v>
      </c>
      <c r="E76" s="77">
        <v>0</v>
      </c>
      <c r="F76" s="77">
        <v>0</v>
      </c>
      <c r="G76" s="72"/>
      <c r="H76" s="72"/>
      <c r="I76" s="72"/>
      <c r="J76" s="72"/>
      <c r="K76" s="72"/>
      <c r="L76" s="77"/>
      <c r="M76" s="77">
        <v>0</v>
      </c>
      <c r="N76" s="77">
        <v>0</v>
      </c>
      <c r="O76" s="72">
        <f t="shared" si="13"/>
        <v>0</v>
      </c>
      <c r="P76" s="85">
        <f t="shared" si="14"/>
        <v>0</v>
      </c>
      <c r="Q76" s="86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</row>
    <row r="77" s="48" customFormat="1" ht="21.75" customHeight="1" spans="1:40">
      <c r="A77" s="69" t="s">
        <v>694</v>
      </c>
      <c r="B77" s="70"/>
      <c r="C77" s="78" t="s">
        <v>695</v>
      </c>
      <c r="D77" s="72">
        <f t="shared" si="16"/>
        <v>0</v>
      </c>
      <c r="E77" s="77">
        <v>0</v>
      </c>
      <c r="F77" s="77"/>
      <c r="G77" s="72"/>
      <c r="H77" s="72"/>
      <c r="I77" s="72"/>
      <c r="J77" s="72"/>
      <c r="K77" s="72"/>
      <c r="L77" s="77"/>
      <c r="M77" s="77">
        <v>0</v>
      </c>
      <c r="N77" s="77"/>
      <c r="O77" s="72">
        <f t="shared" si="13"/>
        <v>0</v>
      </c>
      <c r="P77" s="85">
        <f t="shared" si="14"/>
        <v>0</v>
      </c>
      <c r="Q77" s="86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</row>
    <row r="78" s="48" customFormat="1" ht="21.75" customHeight="1" spans="1:40">
      <c r="A78" s="69" t="s">
        <v>696</v>
      </c>
      <c r="B78" s="70"/>
      <c r="C78" s="78" t="s">
        <v>697</v>
      </c>
      <c r="D78" s="72">
        <f t="shared" si="16"/>
        <v>0</v>
      </c>
      <c r="E78" s="77">
        <v>0</v>
      </c>
      <c r="F78" s="77"/>
      <c r="G78" s="72"/>
      <c r="H78" s="72"/>
      <c r="I78" s="72"/>
      <c r="J78" s="72"/>
      <c r="K78" s="72"/>
      <c r="L78" s="77"/>
      <c r="M78" s="77">
        <v>0</v>
      </c>
      <c r="N78" s="77"/>
      <c r="O78" s="72">
        <f t="shared" si="13"/>
        <v>0</v>
      </c>
      <c r="P78" s="85">
        <f t="shared" si="14"/>
        <v>0</v>
      </c>
      <c r="Q78" s="86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</row>
    <row r="79" s="48" customFormat="1" ht="21.75" customHeight="1" spans="1:40">
      <c r="A79" s="69" t="s">
        <v>698</v>
      </c>
      <c r="B79" s="70"/>
      <c r="C79" s="78" t="s">
        <v>699</v>
      </c>
      <c r="D79" s="72">
        <f t="shared" si="16"/>
        <v>0</v>
      </c>
      <c r="E79" s="77">
        <v>0</v>
      </c>
      <c r="F79" s="77">
        <v>0</v>
      </c>
      <c r="G79" s="72"/>
      <c r="H79" s="72"/>
      <c r="I79" s="72"/>
      <c r="J79" s="72"/>
      <c r="K79" s="72"/>
      <c r="L79" s="77"/>
      <c r="M79" s="77">
        <v>0</v>
      </c>
      <c r="N79" s="77">
        <v>0</v>
      </c>
      <c r="O79" s="72">
        <f t="shared" si="13"/>
        <v>0</v>
      </c>
      <c r="P79" s="85">
        <f t="shared" si="14"/>
        <v>0</v>
      </c>
      <c r="Q79" s="86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</row>
    <row r="80" s="48" customFormat="1" ht="21.75" customHeight="1" spans="1:40">
      <c r="A80" s="69" t="s">
        <v>700</v>
      </c>
      <c r="B80" s="70"/>
      <c r="C80" s="78" t="s">
        <v>701</v>
      </c>
      <c r="D80" s="72">
        <f t="shared" si="16"/>
        <v>0</v>
      </c>
      <c r="E80" s="77">
        <v>0</v>
      </c>
      <c r="F80" s="77">
        <v>0</v>
      </c>
      <c r="G80" s="72"/>
      <c r="H80" s="72"/>
      <c r="I80" s="72"/>
      <c r="J80" s="72"/>
      <c r="K80" s="72"/>
      <c r="L80" s="77"/>
      <c r="M80" s="77">
        <v>0</v>
      </c>
      <c r="N80" s="77">
        <v>0</v>
      </c>
      <c r="O80" s="72">
        <f t="shared" si="13"/>
        <v>0</v>
      </c>
      <c r="P80" s="85">
        <f t="shared" si="14"/>
        <v>0</v>
      </c>
      <c r="Q80" s="86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</row>
    <row r="81" s="48" customFormat="1" ht="21.75" customHeight="1" spans="1:40">
      <c r="A81" s="69" t="s">
        <v>702</v>
      </c>
      <c r="B81" s="70"/>
      <c r="C81" s="78" t="s">
        <v>703</v>
      </c>
      <c r="D81" s="72">
        <f t="shared" si="16"/>
        <v>0</v>
      </c>
      <c r="E81" s="77">
        <v>0</v>
      </c>
      <c r="F81" s="77">
        <v>0</v>
      </c>
      <c r="G81" s="72"/>
      <c r="H81" s="72"/>
      <c r="I81" s="72"/>
      <c r="J81" s="72"/>
      <c r="K81" s="72"/>
      <c r="L81" s="77"/>
      <c r="M81" s="77">
        <v>0</v>
      </c>
      <c r="N81" s="77">
        <v>0</v>
      </c>
      <c r="O81" s="72">
        <f t="shared" si="13"/>
        <v>0</v>
      </c>
      <c r="P81" s="85">
        <f t="shared" si="14"/>
        <v>0</v>
      </c>
      <c r="Q81" s="86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</row>
    <row r="82" s="48" customFormat="1" ht="33.95" customHeight="1" spans="1:40">
      <c r="A82" s="69" t="s">
        <v>704</v>
      </c>
      <c r="B82" s="70"/>
      <c r="C82" s="78" t="s">
        <v>705</v>
      </c>
      <c r="D82" s="72">
        <f t="shared" si="16"/>
        <v>60</v>
      </c>
      <c r="E82" s="77">
        <v>60</v>
      </c>
      <c r="F82" s="77">
        <v>0</v>
      </c>
      <c r="G82" s="72"/>
      <c r="H82" s="72"/>
      <c r="I82" s="72"/>
      <c r="J82" s="72"/>
      <c r="K82" s="72"/>
      <c r="L82" s="77"/>
      <c r="M82" s="77">
        <v>60</v>
      </c>
      <c r="N82" s="77">
        <v>0</v>
      </c>
      <c r="O82" s="72">
        <f t="shared" si="13"/>
        <v>60</v>
      </c>
      <c r="P82" s="85">
        <f t="shared" si="14"/>
        <v>0</v>
      </c>
      <c r="Q82" s="86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</row>
    <row r="83" ht="21.75" customHeight="1" spans="1:17">
      <c r="A83" s="73" t="s">
        <v>706</v>
      </c>
      <c r="B83" s="74"/>
      <c r="C83" s="94" t="s">
        <v>404</v>
      </c>
      <c r="D83" s="72">
        <f t="shared" si="16"/>
        <v>24754</v>
      </c>
      <c r="E83" s="72">
        <v>24754</v>
      </c>
      <c r="F83" s="72">
        <v>0</v>
      </c>
      <c r="G83" s="72"/>
      <c r="H83" s="72"/>
      <c r="I83" s="72"/>
      <c r="J83" s="72"/>
      <c r="K83" s="72"/>
      <c r="L83" s="72"/>
      <c r="M83" s="72">
        <v>24754</v>
      </c>
      <c r="N83" s="72">
        <v>0</v>
      </c>
      <c r="O83" s="72">
        <f t="shared" si="13"/>
        <v>24754</v>
      </c>
      <c r="P83" s="85">
        <f t="shared" si="14"/>
        <v>0</v>
      </c>
      <c r="Q83" s="89"/>
    </row>
    <row r="84" ht="21.75" customHeight="1" spans="1:17">
      <c r="A84" s="73" t="s">
        <v>707</v>
      </c>
      <c r="B84" s="74"/>
      <c r="C84" s="385" t="s">
        <v>708</v>
      </c>
      <c r="D84" s="72">
        <f t="shared" si="16"/>
        <v>5109</v>
      </c>
      <c r="E84" s="77">
        <v>5109</v>
      </c>
      <c r="F84" s="77">
        <v>0</v>
      </c>
      <c r="G84" s="72"/>
      <c r="H84" s="72"/>
      <c r="I84" s="72"/>
      <c r="J84" s="72"/>
      <c r="K84" s="72"/>
      <c r="L84" s="77"/>
      <c r="M84" s="77">
        <v>5109</v>
      </c>
      <c r="N84" s="77">
        <v>0</v>
      </c>
      <c r="O84" s="72">
        <f t="shared" si="13"/>
        <v>5109</v>
      </c>
      <c r="P84" s="85">
        <f t="shared" si="14"/>
        <v>0</v>
      </c>
      <c r="Q84" s="86"/>
    </row>
    <row r="85" ht="21.75" customHeight="1" spans="1:19">
      <c r="A85" s="94">
        <v>2300401</v>
      </c>
      <c r="B85" s="94"/>
      <c r="C85" s="94" t="s">
        <v>709</v>
      </c>
      <c r="D85" s="72">
        <f t="shared" si="16"/>
        <v>0</v>
      </c>
      <c r="E85" s="77">
        <v>0</v>
      </c>
      <c r="F85" s="77">
        <v>0</v>
      </c>
      <c r="G85" s="72"/>
      <c r="H85" s="72"/>
      <c r="I85" s="72"/>
      <c r="J85" s="72"/>
      <c r="K85" s="72"/>
      <c r="L85" s="77"/>
      <c r="M85" s="77">
        <v>0</v>
      </c>
      <c r="N85" s="77">
        <v>0</v>
      </c>
      <c r="O85" s="72">
        <f t="shared" si="13"/>
        <v>0</v>
      </c>
      <c r="P85" s="85">
        <f t="shared" si="14"/>
        <v>0</v>
      </c>
      <c r="Q85" s="86"/>
      <c r="S85" s="47"/>
    </row>
    <row r="86" ht="21.75" customHeight="1" spans="1:19">
      <c r="A86" s="73" t="s">
        <v>710</v>
      </c>
      <c r="B86" s="74"/>
      <c r="C86" s="385" t="s">
        <v>711</v>
      </c>
      <c r="D86" s="72">
        <f t="shared" si="16"/>
        <v>18200</v>
      </c>
      <c r="E86" s="77">
        <v>18200</v>
      </c>
      <c r="F86" s="77">
        <v>0</v>
      </c>
      <c r="G86" s="72">
        <v>4473</v>
      </c>
      <c r="H86" s="72"/>
      <c r="I86" s="72"/>
      <c r="J86" s="72"/>
      <c r="K86" s="72"/>
      <c r="L86" s="77"/>
      <c r="M86" s="72">
        <v>22673</v>
      </c>
      <c r="N86" s="72">
        <v>0</v>
      </c>
      <c r="O86" s="72">
        <f t="shared" si="13"/>
        <v>22673</v>
      </c>
      <c r="P86" s="85">
        <f t="shared" si="14"/>
        <v>24.5769230769231</v>
      </c>
      <c r="Q86" s="86"/>
      <c r="S86" s="47"/>
    </row>
    <row r="87" ht="21.75" customHeight="1" spans="1:17">
      <c r="A87" s="73" t="s">
        <v>712</v>
      </c>
      <c r="B87" s="74"/>
      <c r="C87" s="385" t="s">
        <v>713</v>
      </c>
      <c r="D87" s="72">
        <f t="shared" si="16"/>
        <v>1445</v>
      </c>
      <c r="E87" s="77">
        <v>1445</v>
      </c>
      <c r="F87" s="77">
        <v>0</v>
      </c>
      <c r="G87" s="72"/>
      <c r="H87" s="72"/>
      <c r="I87" s="72"/>
      <c r="J87" s="72"/>
      <c r="K87" s="72"/>
      <c r="L87" s="77"/>
      <c r="M87" s="77">
        <v>1445</v>
      </c>
      <c r="N87" s="77">
        <v>0</v>
      </c>
      <c r="O87" s="72">
        <f t="shared" si="13"/>
        <v>1445</v>
      </c>
      <c r="P87" s="85">
        <f t="shared" si="14"/>
        <v>0</v>
      </c>
      <c r="Q87" s="86"/>
    </row>
    <row r="88" ht="21.75" customHeight="1" spans="1:17">
      <c r="A88" s="73" t="s">
        <v>714</v>
      </c>
      <c r="B88" s="74"/>
      <c r="C88" s="385" t="s">
        <v>407</v>
      </c>
      <c r="D88" s="72">
        <f t="shared" si="16"/>
        <v>0</v>
      </c>
      <c r="E88" s="72">
        <v>0</v>
      </c>
      <c r="F88" s="72">
        <v>0</v>
      </c>
      <c r="G88" s="72"/>
      <c r="H88" s="72"/>
      <c r="I88" s="72"/>
      <c r="J88" s="72"/>
      <c r="K88" s="72"/>
      <c r="L88" s="72"/>
      <c r="M88" s="72">
        <v>0</v>
      </c>
      <c r="N88" s="72">
        <v>0</v>
      </c>
      <c r="O88" s="72">
        <f t="shared" si="13"/>
        <v>0</v>
      </c>
      <c r="P88" s="85">
        <f t="shared" si="14"/>
        <v>0</v>
      </c>
      <c r="Q88" s="86"/>
    </row>
    <row r="89" ht="21.75" customHeight="1" spans="1:17">
      <c r="A89" s="73" t="s">
        <v>715</v>
      </c>
      <c r="B89" s="74"/>
      <c r="C89" s="87" t="s">
        <v>716</v>
      </c>
      <c r="D89" s="72">
        <f t="shared" si="16"/>
        <v>0</v>
      </c>
      <c r="E89" s="77">
        <v>0</v>
      </c>
      <c r="F89" s="77">
        <v>0</v>
      </c>
      <c r="G89" s="72"/>
      <c r="H89" s="72"/>
      <c r="I89" s="72"/>
      <c r="J89" s="72"/>
      <c r="K89" s="72"/>
      <c r="L89" s="77"/>
      <c r="M89" s="77">
        <v>0</v>
      </c>
      <c r="N89" s="77">
        <v>0</v>
      </c>
      <c r="O89" s="72">
        <f t="shared" si="13"/>
        <v>0</v>
      </c>
      <c r="P89" s="85">
        <f t="shared" si="14"/>
        <v>0</v>
      </c>
      <c r="Q89" s="86"/>
    </row>
    <row r="90" ht="21.75" customHeight="1" spans="1:17">
      <c r="A90" s="73" t="s">
        <v>717</v>
      </c>
      <c r="B90" s="74"/>
      <c r="C90" s="385" t="s">
        <v>410</v>
      </c>
      <c r="D90" s="72">
        <f t="shared" si="16"/>
        <v>2794</v>
      </c>
      <c r="E90" s="72">
        <v>2794</v>
      </c>
      <c r="F90" s="72">
        <v>0</v>
      </c>
      <c r="G90" s="72"/>
      <c r="H90" s="72"/>
      <c r="I90" s="72"/>
      <c r="J90" s="72"/>
      <c r="K90" s="72"/>
      <c r="L90" s="72"/>
      <c r="M90" s="72">
        <v>2794</v>
      </c>
      <c r="N90" s="72">
        <v>0</v>
      </c>
      <c r="O90" s="72">
        <f t="shared" si="13"/>
        <v>2794</v>
      </c>
      <c r="P90" s="85">
        <f t="shared" si="14"/>
        <v>0</v>
      </c>
      <c r="Q90" s="86"/>
    </row>
    <row r="91" ht="21.75" customHeight="1" spans="1:17">
      <c r="A91" s="73" t="s">
        <v>718</v>
      </c>
      <c r="B91" s="74"/>
      <c r="C91" s="87" t="s">
        <v>719</v>
      </c>
      <c r="D91" s="72">
        <f t="shared" si="16"/>
        <v>2794</v>
      </c>
      <c r="E91" s="77">
        <v>2794</v>
      </c>
      <c r="F91" s="77">
        <v>0</v>
      </c>
      <c r="G91" s="72"/>
      <c r="H91" s="72"/>
      <c r="I91" s="72"/>
      <c r="J91" s="72"/>
      <c r="K91" s="72"/>
      <c r="L91" s="77"/>
      <c r="M91" s="77">
        <v>2794</v>
      </c>
      <c r="N91" s="77">
        <v>0</v>
      </c>
      <c r="O91" s="72">
        <f t="shared" si="13"/>
        <v>2794</v>
      </c>
      <c r="P91" s="85">
        <f t="shared" si="14"/>
        <v>0</v>
      </c>
      <c r="Q91" s="86"/>
    </row>
    <row r="92" ht="21.75" customHeight="1" spans="1:17">
      <c r="A92" s="73" t="s">
        <v>720</v>
      </c>
      <c r="B92" s="74"/>
      <c r="C92" s="87" t="s">
        <v>413</v>
      </c>
      <c r="D92" s="72">
        <f t="shared" si="16"/>
        <v>52</v>
      </c>
      <c r="E92" s="72">
        <v>52</v>
      </c>
      <c r="F92" s="72">
        <v>0</v>
      </c>
      <c r="G92" s="72"/>
      <c r="H92" s="72"/>
      <c r="I92" s="72"/>
      <c r="J92" s="72"/>
      <c r="K92" s="72"/>
      <c r="L92" s="72"/>
      <c r="M92" s="72">
        <v>52</v>
      </c>
      <c r="N92" s="72">
        <v>0</v>
      </c>
      <c r="O92" s="72">
        <f t="shared" si="13"/>
        <v>52</v>
      </c>
      <c r="P92" s="85">
        <f t="shared" si="14"/>
        <v>0</v>
      </c>
      <c r="Q92" s="86"/>
    </row>
    <row r="93" s="48" customFormat="1" ht="33.95" customHeight="1" spans="1:40">
      <c r="A93" s="69" t="s">
        <v>721</v>
      </c>
      <c r="B93" s="70"/>
      <c r="C93" s="78" t="s">
        <v>722</v>
      </c>
      <c r="D93" s="72">
        <f t="shared" si="16"/>
        <v>52</v>
      </c>
      <c r="E93" s="77">
        <v>52</v>
      </c>
      <c r="F93" s="77">
        <v>0</v>
      </c>
      <c r="G93" s="72"/>
      <c r="H93" s="72"/>
      <c r="I93" s="72"/>
      <c r="J93" s="72"/>
      <c r="K93" s="72"/>
      <c r="L93" s="77"/>
      <c r="M93" s="77">
        <v>52</v>
      </c>
      <c r="N93" s="77">
        <v>0</v>
      </c>
      <c r="O93" s="72">
        <f t="shared" si="13"/>
        <v>52</v>
      </c>
      <c r="P93" s="85">
        <f t="shared" si="14"/>
        <v>0</v>
      </c>
      <c r="Q93" s="86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</row>
    <row r="94" ht="21.75" customHeight="1" spans="1:17">
      <c r="A94" s="95"/>
      <c r="B94" s="74"/>
      <c r="C94" s="95" t="s">
        <v>723</v>
      </c>
      <c r="D94" s="72">
        <f t="shared" si="16"/>
        <v>239326.983222</v>
      </c>
      <c r="E94" s="72">
        <v>238726.983222</v>
      </c>
      <c r="F94" s="72">
        <v>600</v>
      </c>
      <c r="G94" s="72">
        <v>4473</v>
      </c>
      <c r="H94" s="72"/>
      <c r="I94" s="72"/>
      <c r="J94" s="72"/>
      <c r="K94" s="72"/>
      <c r="L94" s="72"/>
      <c r="M94" s="72">
        <f>E94+G94</f>
        <v>243199.983222</v>
      </c>
      <c r="N94" s="72">
        <v>600</v>
      </c>
      <c r="O94" s="72">
        <f t="shared" si="13"/>
        <v>243799.983222</v>
      </c>
      <c r="P94" s="85">
        <f t="shared" si="14"/>
        <v>1.86899109318186</v>
      </c>
      <c r="Q94" s="86"/>
    </row>
    <row r="98" spans="7:7">
      <c r="G98" s="96"/>
    </row>
  </sheetData>
  <autoFilter xmlns:etc="http://www.wps.cn/officeDocument/2017/etCustomData" ref="A5:Q94" etc:filterBottomFollowUsedRange="0">
    <extLst/>
  </autoFilter>
  <mergeCells count="9">
    <mergeCell ref="A1:B1"/>
    <mergeCell ref="A2:Q2"/>
    <mergeCell ref="D4:F4"/>
    <mergeCell ref="G4:L4"/>
    <mergeCell ref="M4:O4"/>
    <mergeCell ref="C4:C5"/>
    <mergeCell ref="P4:P5"/>
    <mergeCell ref="Q4:Q5"/>
    <mergeCell ref="A4:B5"/>
  </mergeCells>
  <pageMargins left="0.488888888888889" right="0.238888888888889" top="0.279166666666667" bottom="0.349305555555556" header="0.2" footer="0.2"/>
  <pageSetup paperSize="9" scale="74" fitToHeight="0" orientation="landscape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view="pageBreakPreview" zoomScaleNormal="100" topLeftCell="C30" workbookViewId="0">
      <selection activeCell="M20" sqref="M20"/>
    </sheetView>
  </sheetViews>
  <sheetFormatPr defaultColWidth="9" defaultRowHeight="13.5"/>
  <cols>
    <col min="1" max="1" width="5.375" customWidth="1"/>
    <col min="2" max="2" width="20.5" customWidth="1"/>
    <col min="3" max="3" width="33.875" customWidth="1"/>
    <col min="4" max="4" width="39.625" customWidth="1"/>
    <col min="5" max="5" width="20.375" hidden="1" customWidth="1"/>
    <col min="6" max="6" width="14.875" customWidth="1"/>
    <col min="7" max="7" width="15.125" customWidth="1"/>
    <col min="8" max="8" width="10.625" hidden="1" customWidth="1"/>
    <col min="9" max="9" width="10.625" style="2" customWidth="1"/>
    <col min="10" max="10" width="11.25" style="3" customWidth="1"/>
    <col min="11" max="11" width="10.625" hidden="1" customWidth="1"/>
    <col min="12" max="12" width="10.625" style="3" customWidth="1"/>
    <col min="13" max="13" width="20" customWidth="1"/>
  </cols>
  <sheetData>
    <row r="1" ht="27" customHeight="1" spans="1:1">
      <c r="A1" t="s">
        <v>724</v>
      </c>
    </row>
    <row r="2" ht="73.5" customHeight="1" spans="1:13">
      <c r="A2" s="4" t="s">
        <v>725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ht="23.1" customHeight="1" spans="13:13">
      <c r="M3" s="34" t="s">
        <v>30</v>
      </c>
    </row>
    <row r="4" ht="45.75" customHeight="1" spans="1:13">
      <c r="A4" s="6" t="s">
        <v>450</v>
      </c>
      <c r="B4" s="7" t="s">
        <v>451</v>
      </c>
      <c r="C4" s="8" t="s">
        <v>726</v>
      </c>
      <c r="D4" s="8" t="s">
        <v>727</v>
      </c>
      <c r="E4" s="8" t="s">
        <v>728</v>
      </c>
      <c r="F4" s="8" t="s">
        <v>729</v>
      </c>
      <c r="G4" s="8" t="s">
        <v>730</v>
      </c>
      <c r="H4" s="8" t="s">
        <v>731</v>
      </c>
      <c r="I4" s="8" t="s">
        <v>732</v>
      </c>
      <c r="J4" s="8" t="s">
        <v>733</v>
      </c>
      <c r="K4" s="8" t="s">
        <v>734</v>
      </c>
      <c r="L4" s="8" t="s">
        <v>735</v>
      </c>
      <c r="M4" s="8" t="s">
        <v>11</v>
      </c>
    </row>
    <row r="5" ht="39.95" customHeight="1" spans="1:13">
      <c r="A5" s="9">
        <v>1</v>
      </c>
      <c r="B5" s="9" t="s">
        <v>736</v>
      </c>
      <c r="C5" s="10" t="s">
        <v>737</v>
      </c>
      <c r="D5" s="11" t="s">
        <v>738</v>
      </c>
      <c r="E5" s="12" t="s">
        <v>739</v>
      </c>
      <c r="F5" s="9" t="s">
        <v>584</v>
      </c>
      <c r="G5" s="13">
        <v>7945</v>
      </c>
      <c r="H5" s="9"/>
      <c r="I5" s="13">
        <v>7500</v>
      </c>
      <c r="J5" s="35">
        <v>3500</v>
      </c>
      <c r="K5" s="13" t="s">
        <v>736</v>
      </c>
      <c r="L5" s="35">
        <v>3500</v>
      </c>
      <c r="M5" s="16"/>
    </row>
    <row r="6" ht="39.95" customHeight="1" spans="1:13">
      <c r="A6" s="9">
        <v>2</v>
      </c>
      <c r="B6" s="9" t="s">
        <v>736</v>
      </c>
      <c r="C6" s="10" t="s">
        <v>740</v>
      </c>
      <c r="D6" s="11" t="s">
        <v>741</v>
      </c>
      <c r="E6" s="9" t="s">
        <v>742</v>
      </c>
      <c r="F6" s="9" t="s">
        <v>584</v>
      </c>
      <c r="G6" s="13">
        <v>3996</v>
      </c>
      <c r="H6" s="9"/>
      <c r="I6" s="13">
        <v>3500</v>
      </c>
      <c r="J6" s="35">
        <v>500</v>
      </c>
      <c r="K6" s="13"/>
      <c r="L6" s="35">
        <v>500</v>
      </c>
      <c r="M6" s="16"/>
    </row>
    <row r="7" ht="39.95" customHeight="1" spans="1:13">
      <c r="A7" s="9">
        <v>3</v>
      </c>
      <c r="B7" s="9" t="s">
        <v>736</v>
      </c>
      <c r="C7" s="14" t="s">
        <v>743</v>
      </c>
      <c r="D7" s="15" t="s">
        <v>743</v>
      </c>
      <c r="E7" s="9" t="s">
        <v>742</v>
      </c>
      <c r="F7" s="9" t="s">
        <v>584</v>
      </c>
      <c r="G7" s="13">
        <v>8871</v>
      </c>
      <c r="H7" s="9"/>
      <c r="I7" s="9">
        <v>4000</v>
      </c>
      <c r="J7" s="7">
        <v>1500</v>
      </c>
      <c r="K7" s="13" t="s">
        <v>736</v>
      </c>
      <c r="L7" s="7">
        <v>1500</v>
      </c>
      <c r="M7" s="16"/>
    </row>
    <row r="8" ht="39.95" customHeight="1" spans="1:13">
      <c r="A8" s="9">
        <v>4</v>
      </c>
      <c r="B8" s="9" t="s">
        <v>744</v>
      </c>
      <c r="C8" s="16" t="s">
        <v>745</v>
      </c>
      <c r="D8" s="17" t="s">
        <v>745</v>
      </c>
      <c r="E8" s="18" t="s">
        <v>746</v>
      </c>
      <c r="F8" s="9" t="s">
        <v>747</v>
      </c>
      <c r="G8" s="9">
        <v>113100</v>
      </c>
      <c r="H8" s="9">
        <v>70953</v>
      </c>
      <c r="I8" s="9"/>
      <c r="J8" s="36">
        <v>4500</v>
      </c>
      <c r="K8" s="37" t="s">
        <v>748</v>
      </c>
      <c r="L8" s="36">
        <v>4500</v>
      </c>
      <c r="M8" s="16"/>
    </row>
    <row r="9" ht="39.95" customHeight="1" spans="1:13">
      <c r="A9" s="9">
        <v>5</v>
      </c>
      <c r="B9" s="9" t="s">
        <v>749</v>
      </c>
      <c r="C9" s="16" t="s">
        <v>750</v>
      </c>
      <c r="D9" s="19" t="s">
        <v>750</v>
      </c>
      <c r="E9" s="12" t="s">
        <v>739</v>
      </c>
      <c r="F9" s="18" t="s">
        <v>176</v>
      </c>
      <c r="G9" s="9">
        <v>882</v>
      </c>
      <c r="H9" s="9"/>
      <c r="I9" s="9">
        <v>882</v>
      </c>
      <c r="J9" s="36">
        <v>800</v>
      </c>
      <c r="K9" s="37" t="s">
        <v>751</v>
      </c>
      <c r="L9" s="36">
        <v>300</v>
      </c>
      <c r="M9" s="16" t="s">
        <v>752</v>
      </c>
    </row>
    <row r="10" ht="39.95" customHeight="1" spans="1:13">
      <c r="A10" s="9">
        <v>6</v>
      </c>
      <c r="B10" s="9" t="s">
        <v>753</v>
      </c>
      <c r="C10" s="20" t="s">
        <v>754</v>
      </c>
      <c r="D10" s="21" t="s">
        <v>755</v>
      </c>
      <c r="E10" s="9" t="s">
        <v>756</v>
      </c>
      <c r="F10" s="9" t="s">
        <v>747</v>
      </c>
      <c r="G10" s="9"/>
      <c r="H10" s="9"/>
      <c r="I10" s="9"/>
      <c r="J10" s="36">
        <v>3200</v>
      </c>
      <c r="K10" s="37" t="s">
        <v>748</v>
      </c>
      <c r="L10" s="36">
        <v>3200</v>
      </c>
      <c r="M10" s="16"/>
    </row>
    <row r="11" ht="39.75" customHeight="1" spans="1:13">
      <c r="A11" s="9">
        <v>7</v>
      </c>
      <c r="B11" s="9" t="s">
        <v>757</v>
      </c>
      <c r="C11" s="22" t="s">
        <v>758</v>
      </c>
      <c r="D11" s="23" t="s">
        <v>759</v>
      </c>
      <c r="E11" s="9" t="s">
        <v>756</v>
      </c>
      <c r="F11" s="9" t="s">
        <v>747</v>
      </c>
      <c r="G11" s="9">
        <v>4994.57</v>
      </c>
      <c r="H11" s="9">
        <v>26</v>
      </c>
      <c r="I11" s="37">
        <v>4900</v>
      </c>
      <c r="J11" s="36">
        <v>1000</v>
      </c>
      <c r="K11" s="37" t="s">
        <v>760</v>
      </c>
      <c r="L11" s="36">
        <v>1000</v>
      </c>
      <c r="M11" s="16"/>
    </row>
    <row r="12" ht="54.75" customHeight="1" spans="1:13">
      <c r="A12" s="9">
        <v>8</v>
      </c>
      <c r="B12" s="9" t="s">
        <v>744</v>
      </c>
      <c r="C12" s="21" t="s">
        <v>761</v>
      </c>
      <c r="D12" s="23" t="s">
        <v>762</v>
      </c>
      <c r="E12" s="9" t="s">
        <v>742</v>
      </c>
      <c r="F12" s="9" t="s">
        <v>747</v>
      </c>
      <c r="G12" s="9">
        <v>1600</v>
      </c>
      <c r="H12" s="9"/>
      <c r="I12" s="37">
        <v>1600</v>
      </c>
      <c r="J12" s="36">
        <v>1000</v>
      </c>
      <c r="K12" s="37" t="s">
        <v>748</v>
      </c>
      <c r="L12" s="36">
        <v>0</v>
      </c>
      <c r="M12" s="16" t="s">
        <v>763</v>
      </c>
    </row>
    <row r="13" ht="48" customHeight="1" spans="1:13">
      <c r="A13" s="9">
        <v>9</v>
      </c>
      <c r="B13" s="9" t="s">
        <v>744</v>
      </c>
      <c r="C13" s="20" t="s">
        <v>764</v>
      </c>
      <c r="D13" s="24" t="s">
        <v>765</v>
      </c>
      <c r="E13" s="9" t="s">
        <v>756</v>
      </c>
      <c r="F13" s="9" t="s">
        <v>747</v>
      </c>
      <c r="G13" s="9">
        <v>6152</v>
      </c>
      <c r="H13" s="9">
        <v>4911</v>
      </c>
      <c r="I13" s="9">
        <v>29000</v>
      </c>
      <c r="J13" s="7">
        <v>2000</v>
      </c>
      <c r="K13" s="12" t="s">
        <v>748</v>
      </c>
      <c r="L13" s="8">
        <v>0</v>
      </c>
      <c r="M13" s="38" t="s">
        <v>766</v>
      </c>
    </row>
    <row r="14" ht="48" customHeight="1" spans="1:13">
      <c r="A14" s="9"/>
      <c r="B14" s="9"/>
      <c r="C14" s="20" t="s">
        <v>767</v>
      </c>
      <c r="D14" s="24" t="s">
        <v>768</v>
      </c>
      <c r="E14" s="9" t="s">
        <v>756</v>
      </c>
      <c r="F14" s="9" t="s">
        <v>747</v>
      </c>
      <c r="G14" s="9">
        <v>5716</v>
      </c>
      <c r="H14" s="9"/>
      <c r="I14" s="9"/>
      <c r="J14" s="7"/>
      <c r="K14" s="12"/>
      <c r="L14" s="8"/>
      <c r="M14" s="39"/>
    </row>
    <row r="15" ht="48" customHeight="1" spans="1:13">
      <c r="A15" s="9"/>
      <c r="B15" s="9"/>
      <c r="C15" s="20" t="s">
        <v>769</v>
      </c>
      <c r="D15" s="24" t="s">
        <v>770</v>
      </c>
      <c r="E15" s="9" t="s">
        <v>756</v>
      </c>
      <c r="F15" s="9" t="s">
        <v>747</v>
      </c>
      <c r="G15" s="9">
        <v>11659</v>
      </c>
      <c r="H15" s="9"/>
      <c r="I15" s="9"/>
      <c r="J15" s="7"/>
      <c r="K15" s="12"/>
      <c r="L15" s="8"/>
      <c r="M15" s="39"/>
    </row>
    <row r="16" ht="117.75" customHeight="1" spans="1:13">
      <c r="A16" s="9"/>
      <c r="B16" s="9"/>
      <c r="C16" s="20" t="s">
        <v>771</v>
      </c>
      <c r="D16" s="24" t="s">
        <v>772</v>
      </c>
      <c r="E16" s="9" t="s">
        <v>756</v>
      </c>
      <c r="F16" s="9" t="s">
        <v>747</v>
      </c>
      <c r="G16" s="9">
        <v>18110</v>
      </c>
      <c r="H16" s="9"/>
      <c r="I16" s="9"/>
      <c r="J16" s="7"/>
      <c r="K16" s="12"/>
      <c r="L16" s="8"/>
      <c r="M16" s="39"/>
    </row>
    <row r="17" ht="85.5" customHeight="1" spans="1:13">
      <c r="A17" s="9">
        <v>10</v>
      </c>
      <c r="B17" s="9" t="s">
        <v>744</v>
      </c>
      <c r="C17" s="20" t="s">
        <v>773</v>
      </c>
      <c r="D17" s="24" t="s">
        <v>774</v>
      </c>
      <c r="E17" s="9" t="s">
        <v>756</v>
      </c>
      <c r="F17" s="9" t="s">
        <v>747</v>
      </c>
      <c r="G17" s="9">
        <v>79147</v>
      </c>
      <c r="H17" s="9">
        <f>11900+450</f>
        <v>12350</v>
      </c>
      <c r="I17" s="9">
        <v>30000</v>
      </c>
      <c r="J17" s="7">
        <v>4500</v>
      </c>
      <c r="K17" s="12" t="s">
        <v>748</v>
      </c>
      <c r="L17" s="8">
        <v>10500</v>
      </c>
      <c r="M17" s="16" t="s">
        <v>775</v>
      </c>
    </row>
    <row r="18" ht="140.25" customHeight="1" spans="1:13">
      <c r="A18" s="9"/>
      <c r="B18" s="9"/>
      <c r="C18" s="20" t="s">
        <v>776</v>
      </c>
      <c r="D18" s="24" t="s">
        <v>777</v>
      </c>
      <c r="E18" s="9" t="s">
        <v>756</v>
      </c>
      <c r="F18" s="9" t="s">
        <v>747</v>
      </c>
      <c r="G18" s="9">
        <v>34907</v>
      </c>
      <c r="H18" s="9"/>
      <c r="I18" s="9"/>
      <c r="J18" s="7"/>
      <c r="K18" s="12"/>
      <c r="L18" s="8"/>
      <c r="M18" s="16"/>
    </row>
    <row r="19" s="1" customFormat="1" ht="86.25" customHeight="1" spans="1:13">
      <c r="A19" s="25">
        <v>11</v>
      </c>
      <c r="B19" s="25" t="s">
        <v>503</v>
      </c>
      <c r="C19" s="26" t="s">
        <v>778</v>
      </c>
      <c r="D19" s="27" t="s">
        <v>779</v>
      </c>
      <c r="E19" s="25"/>
      <c r="F19" s="25" t="s">
        <v>747</v>
      </c>
      <c r="G19" s="25">
        <v>477068</v>
      </c>
      <c r="H19" s="25"/>
      <c r="I19" s="25">
        <v>55000</v>
      </c>
      <c r="J19" s="40">
        <v>1000</v>
      </c>
      <c r="K19" s="41"/>
      <c r="L19" s="42">
        <v>1000</v>
      </c>
      <c r="M19" s="43" t="s">
        <v>780</v>
      </c>
    </row>
    <row r="20" ht="45" customHeight="1" spans="1:13">
      <c r="A20" s="9">
        <v>12</v>
      </c>
      <c r="B20" s="9" t="s">
        <v>781</v>
      </c>
      <c r="C20" s="28" t="s">
        <v>782</v>
      </c>
      <c r="D20" s="21"/>
      <c r="E20" s="9" t="s">
        <v>747</v>
      </c>
      <c r="F20" s="9" t="s">
        <v>747</v>
      </c>
      <c r="G20" s="9"/>
      <c r="H20" s="9"/>
      <c r="I20" s="9">
        <v>2000</v>
      </c>
      <c r="J20" s="7">
        <v>2000</v>
      </c>
      <c r="K20" s="12"/>
      <c r="L20" s="8">
        <v>0</v>
      </c>
      <c r="M20" s="16"/>
    </row>
    <row r="21" ht="47.1" customHeight="1" spans="1:13">
      <c r="A21" s="9">
        <v>13</v>
      </c>
      <c r="B21" s="9" t="s">
        <v>783</v>
      </c>
      <c r="C21" s="28" t="s">
        <v>784</v>
      </c>
      <c r="D21" s="21"/>
      <c r="E21" s="9" t="s">
        <v>747</v>
      </c>
      <c r="F21" s="9" t="s">
        <v>747</v>
      </c>
      <c r="G21" s="9"/>
      <c r="H21" s="9"/>
      <c r="I21" s="9">
        <v>500</v>
      </c>
      <c r="J21" s="7">
        <v>500</v>
      </c>
      <c r="K21" s="12"/>
      <c r="L21" s="8">
        <v>0</v>
      </c>
      <c r="M21" s="16"/>
    </row>
    <row r="22" ht="47.1" customHeight="1" spans="1:13">
      <c r="A22" s="9">
        <v>14</v>
      </c>
      <c r="B22" s="9" t="s">
        <v>785</v>
      </c>
      <c r="C22" s="29" t="s">
        <v>786</v>
      </c>
      <c r="D22" s="18" t="s">
        <v>787</v>
      </c>
      <c r="E22" s="30"/>
      <c r="F22" s="30" t="s">
        <v>788</v>
      </c>
      <c r="G22" s="31">
        <v>8700</v>
      </c>
      <c r="H22" s="30"/>
      <c r="I22" s="44">
        <v>3200</v>
      </c>
      <c r="J22" s="36">
        <v>3200</v>
      </c>
      <c r="K22" s="28"/>
      <c r="L22" s="36">
        <v>3200</v>
      </c>
      <c r="M22" s="18" t="s">
        <v>789</v>
      </c>
    </row>
    <row r="23" ht="47.1" customHeight="1" spans="1:13">
      <c r="A23" s="9">
        <v>15</v>
      </c>
      <c r="B23" s="9" t="s">
        <v>785</v>
      </c>
      <c r="C23" s="29" t="s">
        <v>790</v>
      </c>
      <c r="D23" s="18" t="s">
        <v>787</v>
      </c>
      <c r="E23" s="30"/>
      <c r="F23" s="30" t="s">
        <v>788</v>
      </c>
      <c r="G23" s="29">
        <v>1170</v>
      </c>
      <c r="H23" s="30"/>
      <c r="I23" s="44">
        <v>730</v>
      </c>
      <c r="J23" s="36">
        <v>730</v>
      </c>
      <c r="K23" s="28"/>
      <c r="L23" s="36">
        <v>730</v>
      </c>
      <c r="M23" s="18" t="s">
        <v>789</v>
      </c>
    </row>
    <row r="24" ht="47.1" customHeight="1" spans="1:13">
      <c r="A24" s="9">
        <v>16</v>
      </c>
      <c r="B24" s="9" t="s">
        <v>785</v>
      </c>
      <c r="C24" s="29" t="s">
        <v>791</v>
      </c>
      <c r="D24" s="18" t="s">
        <v>792</v>
      </c>
      <c r="E24" s="30"/>
      <c r="F24" s="30" t="s">
        <v>788</v>
      </c>
      <c r="G24" s="29">
        <v>200</v>
      </c>
      <c r="H24" s="30"/>
      <c r="I24" s="44">
        <v>200</v>
      </c>
      <c r="J24" s="36">
        <v>200</v>
      </c>
      <c r="K24" s="28"/>
      <c r="L24" s="36">
        <v>200</v>
      </c>
      <c r="M24" s="18" t="s">
        <v>793</v>
      </c>
    </row>
    <row r="25" ht="47.1" customHeight="1" spans="1:13">
      <c r="A25" s="9">
        <v>17</v>
      </c>
      <c r="B25" s="9" t="s">
        <v>785</v>
      </c>
      <c r="C25" s="29" t="s">
        <v>794</v>
      </c>
      <c r="D25" s="18" t="s">
        <v>795</v>
      </c>
      <c r="E25" s="30"/>
      <c r="F25" s="30" t="s">
        <v>788</v>
      </c>
      <c r="G25" s="29">
        <v>4600</v>
      </c>
      <c r="H25" s="30"/>
      <c r="I25" s="44">
        <v>4500</v>
      </c>
      <c r="J25" s="36">
        <v>4500</v>
      </c>
      <c r="K25" s="28"/>
      <c r="L25" s="36">
        <v>4500</v>
      </c>
      <c r="M25" s="18"/>
    </row>
    <row r="26" ht="47.1" customHeight="1" spans="1:13">
      <c r="A26" s="9">
        <v>18</v>
      </c>
      <c r="B26" s="9" t="s">
        <v>785</v>
      </c>
      <c r="C26" s="29" t="s">
        <v>796</v>
      </c>
      <c r="D26" s="18" t="s">
        <v>795</v>
      </c>
      <c r="E26" s="30"/>
      <c r="F26" s="30" t="s">
        <v>788</v>
      </c>
      <c r="G26" s="29">
        <v>14500</v>
      </c>
      <c r="H26" s="30"/>
      <c r="I26" s="44">
        <v>3600</v>
      </c>
      <c r="J26" s="36">
        <v>3600</v>
      </c>
      <c r="K26" s="28"/>
      <c r="L26" s="36">
        <v>3600</v>
      </c>
      <c r="M26" s="45">
        <v>12.5021296296296</v>
      </c>
    </row>
    <row r="27" ht="47.1" customHeight="1" spans="1:13">
      <c r="A27" s="9">
        <v>19</v>
      </c>
      <c r="B27" s="9" t="s">
        <v>785</v>
      </c>
      <c r="C27" s="29" t="s">
        <v>797</v>
      </c>
      <c r="D27" s="18" t="s">
        <v>787</v>
      </c>
      <c r="E27" s="30"/>
      <c r="F27" s="30" t="s">
        <v>788</v>
      </c>
      <c r="G27" s="29">
        <v>6900</v>
      </c>
      <c r="H27" s="30"/>
      <c r="I27" s="44">
        <v>5000</v>
      </c>
      <c r="J27" s="36">
        <v>5000</v>
      </c>
      <c r="K27" s="28"/>
      <c r="L27" s="36">
        <v>5000</v>
      </c>
      <c r="M27" s="18" t="s">
        <v>798</v>
      </c>
    </row>
    <row r="28" ht="47.1" customHeight="1" spans="1:13">
      <c r="A28" s="9">
        <v>20</v>
      </c>
      <c r="B28" s="9" t="s">
        <v>785</v>
      </c>
      <c r="C28" s="29" t="s">
        <v>799</v>
      </c>
      <c r="D28" s="18" t="s">
        <v>787</v>
      </c>
      <c r="E28" s="30"/>
      <c r="F28" s="30" t="s">
        <v>788</v>
      </c>
      <c r="G28" s="29">
        <v>4480</v>
      </c>
      <c r="H28" s="30"/>
      <c r="I28" s="44">
        <v>3000</v>
      </c>
      <c r="J28" s="36">
        <v>3000</v>
      </c>
      <c r="K28" s="28"/>
      <c r="L28" s="36">
        <v>3000</v>
      </c>
      <c r="M28" s="18" t="s">
        <v>800</v>
      </c>
    </row>
    <row r="29" ht="47.1" customHeight="1" spans="1:13">
      <c r="A29" s="9">
        <v>21</v>
      </c>
      <c r="B29" s="9" t="s">
        <v>785</v>
      </c>
      <c r="C29" s="28" t="s">
        <v>801</v>
      </c>
      <c r="D29" s="18" t="s">
        <v>787</v>
      </c>
      <c r="E29" s="30"/>
      <c r="F29" s="30" t="s">
        <v>788</v>
      </c>
      <c r="G29" s="28">
        <v>780</v>
      </c>
      <c r="H29" s="30"/>
      <c r="I29" s="28">
        <v>700</v>
      </c>
      <c r="J29" s="8">
        <v>700</v>
      </c>
      <c r="K29" s="28"/>
      <c r="L29" s="8">
        <v>700</v>
      </c>
      <c r="M29" s="29"/>
    </row>
    <row r="30" ht="47.1" customHeight="1" spans="1:13">
      <c r="A30" s="9">
        <v>22</v>
      </c>
      <c r="B30" s="9" t="s">
        <v>785</v>
      </c>
      <c r="C30" s="29" t="s">
        <v>802</v>
      </c>
      <c r="D30" s="18" t="s">
        <v>787</v>
      </c>
      <c r="E30" s="30"/>
      <c r="F30" s="30" t="s">
        <v>788</v>
      </c>
      <c r="G30" s="29">
        <v>1517</v>
      </c>
      <c r="H30" s="30"/>
      <c r="I30" s="29">
        <v>160</v>
      </c>
      <c r="J30" s="46">
        <v>160</v>
      </c>
      <c r="K30" s="28"/>
      <c r="L30" s="46">
        <v>160</v>
      </c>
      <c r="M30" s="18"/>
    </row>
    <row r="31" ht="47.1" customHeight="1" spans="1:13">
      <c r="A31" s="9">
        <v>23</v>
      </c>
      <c r="B31" s="9" t="s">
        <v>785</v>
      </c>
      <c r="C31" s="29" t="s">
        <v>803</v>
      </c>
      <c r="D31" s="18" t="s">
        <v>792</v>
      </c>
      <c r="E31" s="30"/>
      <c r="F31" s="30" t="s">
        <v>788</v>
      </c>
      <c r="G31" s="29">
        <v>392</v>
      </c>
      <c r="H31" s="30"/>
      <c r="I31" s="29">
        <v>180</v>
      </c>
      <c r="J31" s="46">
        <v>180</v>
      </c>
      <c r="K31" s="28"/>
      <c r="L31" s="46">
        <v>180</v>
      </c>
      <c r="M31" s="18" t="s">
        <v>804</v>
      </c>
    </row>
    <row r="32" ht="47.1" customHeight="1" spans="1:13">
      <c r="A32" s="9">
        <v>24</v>
      </c>
      <c r="B32" s="9" t="s">
        <v>785</v>
      </c>
      <c r="C32" s="29" t="s">
        <v>805</v>
      </c>
      <c r="D32" s="18" t="s">
        <v>792</v>
      </c>
      <c r="E32" s="30"/>
      <c r="F32" s="30" t="s">
        <v>788</v>
      </c>
      <c r="G32" s="29">
        <v>2078</v>
      </c>
      <c r="H32" s="30"/>
      <c r="I32" s="29">
        <v>1000</v>
      </c>
      <c r="J32" s="46">
        <v>1000</v>
      </c>
      <c r="K32" s="28"/>
      <c r="L32" s="46">
        <v>1000</v>
      </c>
      <c r="M32" s="18" t="s">
        <v>806</v>
      </c>
    </row>
    <row r="33" ht="47.1" customHeight="1" spans="1:13">
      <c r="A33" s="9">
        <v>25</v>
      </c>
      <c r="B33" s="9" t="s">
        <v>785</v>
      </c>
      <c r="C33" s="29" t="s">
        <v>807</v>
      </c>
      <c r="D33" s="18" t="s">
        <v>787</v>
      </c>
      <c r="E33" s="30"/>
      <c r="F33" s="30" t="s">
        <v>788</v>
      </c>
      <c r="G33" s="29">
        <v>234</v>
      </c>
      <c r="H33" s="30"/>
      <c r="I33" s="29">
        <v>200</v>
      </c>
      <c r="J33" s="46">
        <v>200</v>
      </c>
      <c r="K33" s="28"/>
      <c r="L33" s="46">
        <v>200</v>
      </c>
      <c r="M33" s="18"/>
    </row>
    <row r="34" ht="47.1" customHeight="1" spans="1:13">
      <c r="A34" s="9">
        <v>26</v>
      </c>
      <c r="B34" s="9" t="s">
        <v>785</v>
      </c>
      <c r="C34" s="29" t="s">
        <v>808</v>
      </c>
      <c r="D34" s="18" t="s">
        <v>792</v>
      </c>
      <c r="E34" s="30"/>
      <c r="F34" s="30" t="s">
        <v>788</v>
      </c>
      <c r="G34" s="29">
        <v>88</v>
      </c>
      <c r="H34" s="30"/>
      <c r="I34" s="29">
        <v>80</v>
      </c>
      <c r="J34" s="46">
        <v>80</v>
      </c>
      <c r="K34" s="28"/>
      <c r="L34" s="46">
        <v>80</v>
      </c>
      <c r="M34" s="18" t="s">
        <v>809</v>
      </c>
    </row>
    <row r="35" ht="47.1" customHeight="1" spans="1:13">
      <c r="A35" s="9">
        <v>27</v>
      </c>
      <c r="B35" s="9" t="s">
        <v>785</v>
      </c>
      <c r="C35" s="29" t="s">
        <v>810</v>
      </c>
      <c r="D35" s="18" t="s">
        <v>792</v>
      </c>
      <c r="E35" s="30"/>
      <c r="F35" s="30" t="s">
        <v>788</v>
      </c>
      <c r="G35" s="29">
        <v>150</v>
      </c>
      <c r="H35" s="30"/>
      <c r="I35" s="29">
        <v>150</v>
      </c>
      <c r="J35" s="46">
        <v>150</v>
      </c>
      <c r="K35" s="28"/>
      <c r="L35" s="46">
        <v>150</v>
      </c>
      <c r="M35" s="18" t="s">
        <v>811</v>
      </c>
    </row>
    <row r="36" ht="47.1" customHeight="1" spans="1:13">
      <c r="A36" s="9">
        <v>28</v>
      </c>
      <c r="B36" s="9" t="s">
        <v>785</v>
      </c>
      <c r="C36" s="29" t="s">
        <v>812</v>
      </c>
      <c r="D36" s="18" t="s">
        <v>787</v>
      </c>
      <c r="E36" s="30"/>
      <c r="F36" s="30" t="s">
        <v>788</v>
      </c>
      <c r="G36" s="29">
        <v>1132</v>
      </c>
      <c r="H36" s="30"/>
      <c r="I36" s="29">
        <v>1000</v>
      </c>
      <c r="J36" s="46">
        <v>1000</v>
      </c>
      <c r="K36" s="28"/>
      <c r="L36" s="46">
        <v>1000</v>
      </c>
      <c r="M36" s="18"/>
    </row>
    <row r="37" ht="47.1" customHeight="1" spans="1:13">
      <c r="A37" s="9">
        <v>29</v>
      </c>
      <c r="B37" s="9" t="s">
        <v>785</v>
      </c>
      <c r="C37" s="29" t="s">
        <v>813</v>
      </c>
      <c r="D37" s="18" t="s">
        <v>787</v>
      </c>
      <c r="E37" s="30"/>
      <c r="F37" s="30" t="s">
        <v>788</v>
      </c>
      <c r="G37" s="29">
        <v>386</v>
      </c>
      <c r="H37" s="30"/>
      <c r="I37" s="29">
        <v>300</v>
      </c>
      <c r="J37" s="46">
        <v>300</v>
      </c>
      <c r="K37" s="28"/>
      <c r="L37" s="8">
        <v>300</v>
      </c>
      <c r="M37" s="18"/>
    </row>
    <row r="38" ht="39.95" customHeight="1" spans="1:13">
      <c r="A38" s="9"/>
      <c r="B38" s="9"/>
      <c r="C38" s="30" t="s">
        <v>14</v>
      </c>
      <c r="D38" s="30"/>
      <c r="E38" s="30"/>
      <c r="F38" s="30"/>
      <c r="G38" s="32">
        <f t="shared" ref="G38:L38" si="0">SUM(G5:G37)</f>
        <v>821454.57</v>
      </c>
      <c r="H38" s="33">
        <f t="shared" si="0"/>
        <v>88240</v>
      </c>
      <c r="I38" s="33">
        <f t="shared" si="0"/>
        <v>162882</v>
      </c>
      <c r="J38" s="33">
        <f t="shared" si="0"/>
        <v>50000</v>
      </c>
      <c r="K38" s="33">
        <f t="shared" si="0"/>
        <v>0</v>
      </c>
      <c r="L38" s="33">
        <f t="shared" si="0"/>
        <v>50000</v>
      </c>
      <c r="M38" s="20"/>
    </row>
    <row r="39" spans="1:13">
      <c r="A39" s="2"/>
      <c r="B39" s="2"/>
      <c r="C39" s="2"/>
      <c r="D39" s="2"/>
      <c r="E39" s="2"/>
      <c r="F39" s="2"/>
      <c r="G39" s="2"/>
      <c r="H39" s="2"/>
      <c r="K39" s="2"/>
      <c r="M39" s="2"/>
    </row>
  </sheetData>
  <mergeCells count="17">
    <mergeCell ref="A2:M2"/>
    <mergeCell ref="A13:A16"/>
    <mergeCell ref="A17:A18"/>
    <mergeCell ref="B13:B16"/>
    <mergeCell ref="B17:B18"/>
    <mergeCell ref="H13:H16"/>
    <mergeCell ref="H17:H18"/>
    <mergeCell ref="I13:I16"/>
    <mergeCell ref="I17:I18"/>
    <mergeCell ref="J13:J16"/>
    <mergeCell ref="J17:J18"/>
    <mergeCell ref="K13:K16"/>
    <mergeCell ref="K17:K18"/>
    <mergeCell ref="L13:L16"/>
    <mergeCell ref="L17:L18"/>
    <mergeCell ref="M13:M16"/>
    <mergeCell ref="M17:M18"/>
  </mergeCells>
  <pageMargins left="0.46875" right="0.309027777777778" top="0.349305555555556" bottom="0.699305555555556" header="0.159027777777778" footer="0.2"/>
  <pageSetup paperSize="9" scale="78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公共财政预算（附表一）</vt:lpstr>
      <vt:lpstr>政府性基金预算（附表二）</vt:lpstr>
      <vt:lpstr>预算调整封面</vt:lpstr>
      <vt:lpstr>公共财政预算支出计划调整表（附表一）</vt:lpstr>
      <vt:lpstr>基金收入（附表二）</vt:lpstr>
      <vt:lpstr>调整后基金预算收入 (附表三)</vt:lpstr>
      <vt:lpstr>调整后基金预算收入 (附表四)</vt:lpstr>
      <vt:lpstr>基金支出（附表四）</vt:lpstr>
      <vt:lpstr>2018年新增债券项目调整表（附表五）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大云朵</cp:lastModifiedBy>
  <dcterms:created xsi:type="dcterms:W3CDTF">2017-07-07T05:09:00Z</dcterms:created>
  <cp:lastPrinted>2018-10-18T05:37:00Z</cp:lastPrinted>
  <dcterms:modified xsi:type="dcterms:W3CDTF">2024-09-30T11:29:05Z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1CEA911108DE40759421C0A1F08B4A3C_12</vt:lpwstr>
  </property>
</Properties>
</file>