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225" tabRatio="819"/>
  </bookViews>
  <sheets>
    <sheet name="预算调整封面" sheetId="5" r:id="rId1"/>
    <sheet name="公共财政预算收入（附表1)" sheetId="1" r:id="rId2"/>
    <sheet name="公共财政预算支出计划调整表（附表2）" sheetId="66" r:id="rId3"/>
    <sheet name="公共财政项目调整表（附表3）" sheetId="67" r:id="rId4"/>
    <sheet name="财力性补助收入（附件4）" sheetId="33" r:id="rId5"/>
    <sheet name="基金收入科目（附表5）" sheetId="61" r:id="rId6"/>
    <sheet name="基金收入项目（附表6）" sheetId="62" r:id="rId7"/>
    <sheet name="基金支出科目（附表7）" sheetId="65" r:id="rId8"/>
    <sheet name="基金支出项目（附表8）" sheetId="64" r:id="rId9"/>
    <sheet name="盘活存量资金收支表（附表9）" sheetId="58" r:id="rId10"/>
    <sheet name="国有资本经营收入表（附表10）" sheetId="59" r:id="rId11"/>
    <sheet name="国有资本经营支出表（附表11）" sheetId="60" r:id="rId12"/>
    <sheet name="社会保险基金收入表（附表12）" sheetId="51" r:id="rId13"/>
    <sheet name="社会保险基金支出表（附表13）" sheetId="52" r:id="rId14"/>
  </sheets>
  <definedNames>
    <definedName name="_xlnm._FilterDatabase" localSheetId="2" hidden="1">'公共财政预算支出计划调整表（附表2）'!$5:$442</definedName>
    <definedName name="_xlnm._FilterDatabase" localSheetId="3" hidden="1">'公共财政项目调整表（附表3）'!$A$5:$R$275</definedName>
    <definedName name="_xlnm._FilterDatabase" localSheetId="6" hidden="1">'基金收入项目（附表6）'!$A$4:$I$35</definedName>
    <definedName name="_xlnm._FilterDatabase" localSheetId="8" hidden="1">'基金支出项目（附表8）'!$A$5:$Q$197</definedName>
    <definedName name="_xlnm._FilterDatabase" localSheetId="4" hidden="1">'财力性补助收入（附件4）'!$A$6:$AJ$26</definedName>
    <definedName name="_xlnm._FilterDatabase" localSheetId="1" hidden="1">'公共财政预算收入（附表1)'!$A$4:$L$45</definedName>
    <definedName name="_xlnm.Print_Area" localSheetId="4">'财力性补助收入（附件4）'!$A$1:$AN$28</definedName>
    <definedName name="_xlnm.Print_Area" localSheetId="3">'公共财政项目调整表（附表3）'!$A$1:$L$275</definedName>
    <definedName name="_xlnm.Print_Area" localSheetId="1">'公共财政预算收入（附表1)'!$A$1:$L$45</definedName>
    <definedName name="_xlnm.Print_Area" localSheetId="2">'公共财政预算支出计划调整表（附表2）'!$A$1:$O$438</definedName>
    <definedName name="_xlnm.Print_Area" localSheetId="6">'基金收入项目（附表6）'!$A$1:$I$35</definedName>
    <definedName name="_xlnm.Print_Area" localSheetId="7">'基金支出科目（附表7）'!$A$1:$Q$112</definedName>
    <definedName name="_xlnm.Print_Area" localSheetId="12">'社会保险基金收入表（附表12）'!$A$1:$E$27</definedName>
    <definedName name="_xlnm.Print_Area" localSheetId="0">预算调整封面!$A$1:$K$18</definedName>
    <definedName name="_xlnm.Print_Titles" localSheetId="3">'公共财政项目调整表（附表3）'!$1:$5</definedName>
    <definedName name="_xlnm.Print_Titles" localSheetId="1">'公共财政预算收入（附表1)'!$1:$5</definedName>
    <definedName name="_xlnm.Print_Titles" localSheetId="2">'公共财政预算支出计划调整表（附表2）'!$1:$5</definedName>
    <definedName name="_xlnm.Print_Titles" localSheetId="6">'基金收入项目（附表6）'!$1:$4</definedName>
    <definedName name="_xlnm.Print_Titles" localSheetId="7">'基金支出科目（附表7）'!$1:$5</definedName>
    <definedName name="_xlnm.Print_Titles" localSheetId="8">'基金支出项目（附表8）'!$1:$5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<sst xmlns="http://schemas.openxmlformats.org/spreadsheetml/2006/main" count="3040" uniqueCount="1584">
  <si>
    <t>汕头市濠江区2020年政府预算调整草案</t>
  </si>
  <si>
    <t>编制部门：汕头市濠江区财政局</t>
  </si>
  <si>
    <t>编制时间：2020年12月</t>
  </si>
  <si>
    <t>附表1</t>
  </si>
  <si>
    <t>汕头市濠江区2020年公共财政预算收入计划调整表</t>
  </si>
  <si>
    <t>单位：万元</t>
  </si>
  <si>
    <t>项目</t>
  </si>
  <si>
    <t>第三次预算调整数</t>
  </si>
  <si>
    <t>变动因素</t>
  </si>
  <si>
    <t>调整后计划</t>
  </si>
  <si>
    <t>比增%</t>
  </si>
  <si>
    <t>备注</t>
  </si>
  <si>
    <t>总库</t>
  </si>
  <si>
    <t>本级</t>
  </si>
  <si>
    <t>一.税收收入</t>
  </si>
  <si>
    <t xml:space="preserve">   1.增值税</t>
  </si>
  <si>
    <t xml:space="preserve">   2.消费税</t>
  </si>
  <si>
    <t xml:space="preserve">   3.车辆购置税</t>
  </si>
  <si>
    <t xml:space="preserve">   4.企业所得税</t>
  </si>
  <si>
    <t xml:space="preserve">   5.个人所得税</t>
  </si>
  <si>
    <t xml:space="preserve">   6.资源税</t>
  </si>
  <si>
    <t xml:space="preserve">   7.城市维护建设税</t>
  </si>
  <si>
    <t xml:space="preserve">   8.房产税</t>
  </si>
  <si>
    <t xml:space="preserve">   9.印花税</t>
  </si>
  <si>
    <t xml:space="preserve">   10.城镇土地使用税</t>
  </si>
  <si>
    <t xml:space="preserve">   11.土地增值税</t>
  </si>
  <si>
    <t xml:space="preserve">   12.车船税</t>
  </si>
  <si>
    <t xml:space="preserve">   13.耕地占用税</t>
  </si>
  <si>
    <t xml:space="preserve">   14.契税</t>
  </si>
  <si>
    <t xml:space="preserve">   15.环境保护税</t>
  </si>
  <si>
    <t xml:space="preserve">   16.其他税收收入</t>
  </si>
  <si>
    <t>二.非税收入</t>
  </si>
  <si>
    <t xml:space="preserve">   1.教育费附加收入</t>
  </si>
  <si>
    <t xml:space="preserve">   2.地方教育附加收入</t>
  </si>
  <si>
    <t xml:space="preserve">   3.农田水利建设</t>
  </si>
  <si>
    <t xml:space="preserve">   4.森林植被恢复费</t>
  </si>
  <si>
    <t xml:space="preserve">   5.捐赠收入</t>
  </si>
  <si>
    <t xml:space="preserve">   6.政府住房基金收入</t>
  </si>
  <si>
    <t xml:space="preserve">   7.行政事业性收费收入</t>
  </si>
  <si>
    <t xml:space="preserve">   8.罚没收入</t>
  </si>
  <si>
    <t xml:space="preserve">   9.国有资产经营收入</t>
  </si>
  <si>
    <t xml:space="preserve">   10.国有资源(资产)有偿使用收入</t>
  </si>
  <si>
    <t xml:space="preserve">   11.其他收入</t>
  </si>
  <si>
    <t>征收收入小计</t>
  </si>
  <si>
    <t xml:space="preserve">   其中：税务局</t>
  </si>
  <si>
    <t xml:space="preserve">         财政局</t>
  </si>
  <si>
    <t>三.转移性收入</t>
  </si>
  <si>
    <t xml:space="preserve">   1.上级财力性补助收入</t>
  </si>
  <si>
    <t xml:space="preserve">   2.上级专项性补助收入</t>
  </si>
  <si>
    <t xml:space="preserve">   3.上级债券转贷收入</t>
  </si>
  <si>
    <t xml:space="preserve">   4.上年结余收入</t>
  </si>
  <si>
    <t xml:space="preserve">   5.预算稳定调节基金</t>
  </si>
  <si>
    <t xml:space="preserve">   6.调入资金</t>
  </si>
  <si>
    <t>政府性基金和国有资本经营预算收入减少，相应减少调入。</t>
  </si>
  <si>
    <t>财力合计</t>
  </si>
  <si>
    <t>附表2</t>
  </si>
  <si>
    <t>汕头市濠江区2020年公共财政预算支出计划调整表</t>
  </si>
  <si>
    <t>科目    编码</t>
  </si>
  <si>
    <t>功能分类
科目名称</t>
  </si>
  <si>
    <t>比增
%</t>
  </si>
  <si>
    <t>备 注</t>
  </si>
  <si>
    <t>本级
支出</t>
  </si>
  <si>
    <t>上级
支出</t>
  </si>
  <si>
    <t>合 计</t>
  </si>
  <si>
    <t>政策性
调整</t>
  </si>
  <si>
    <t>其他
调整</t>
  </si>
  <si>
    <t>上级资金收回</t>
  </si>
  <si>
    <t>同类及跨类调剂</t>
  </si>
  <si>
    <t>一般公共服务支出</t>
  </si>
  <si>
    <t>人大事务</t>
  </si>
  <si>
    <t>行政运行</t>
  </si>
  <si>
    <t>人大会议</t>
  </si>
  <si>
    <t>人大监督</t>
  </si>
  <si>
    <t>人大代表履职能力提升</t>
  </si>
  <si>
    <t>代表工作</t>
  </si>
  <si>
    <t>其他人大事务支出</t>
  </si>
  <si>
    <t>政协事务</t>
  </si>
  <si>
    <t>政协会议</t>
  </si>
  <si>
    <t>委员视察</t>
  </si>
  <si>
    <t>参政议政</t>
  </si>
  <si>
    <t>其他政协事务支出</t>
  </si>
  <si>
    <t>政府办公厅（室）及相关机构事务</t>
  </si>
  <si>
    <t>其他政府办公厅（室）及相关机构事务支出</t>
  </si>
  <si>
    <t>调增“两岸办”工作经费，调减区委大院后勤物业服务社会化购买费用、机关事务管理经费等</t>
  </si>
  <si>
    <t>发展与改革事务</t>
  </si>
  <si>
    <t>一般行政管理事务</t>
  </si>
  <si>
    <t>战略规划与实施</t>
  </si>
  <si>
    <t>物价管理</t>
  </si>
  <si>
    <t>其他发展与改革事务支出</t>
  </si>
  <si>
    <t>统计信息事务</t>
  </si>
  <si>
    <t>专项普查活动</t>
  </si>
  <si>
    <t>调减第四次全国经济普查经费</t>
  </si>
  <si>
    <t>统计抽样调查</t>
  </si>
  <si>
    <t>其他统计信息事务支出</t>
  </si>
  <si>
    <t>财政事务</t>
  </si>
  <si>
    <t>财政国库业务</t>
  </si>
  <si>
    <t>信息化建设</t>
  </si>
  <si>
    <t>其他财政事务支出</t>
  </si>
  <si>
    <t>调增设备购置及维护经费，调金融债务管理工作经费、基建项目财政承受能力论证工作经费等</t>
  </si>
  <si>
    <t>税收事务</t>
  </si>
  <si>
    <t>审计事务</t>
  </si>
  <si>
    <t>审计业务</t>
  </si>
  <si>
    <t>事业运行</t>
  </si>
  <si>
    <t>人力资源事务</t>
  </si>
  <si>
    <t>其他人力资源事务支出</t>
  </si>
  <si>
    <t>纪检监察事务</t>
  </si>
  <si>
    <t>大案要案查处</t>
  </si>
  <si>
    <t>派驻派出机构</t>
  </si>
  <si>
    <t>其他纪检监察事务支出</t>
  </si>
  <si>
    <t>商贸事务</t>
  </si>
  <si>
    <t>招商引资</t>
  </si>
  <si>
    <t>其他商贸事务支出</t>
  </si>
  <si>
    <t>知识产权事务</t>
  </si>
  <si>
    <t>专利试点和产业化推进</t>
  </si>
  <si>
    <t>知识产权宏观管理</t>
  </si>
  <si>
    <t>其他知识产权事务支出</t>
  </si>
  <si>
    <t>港澳台事务</t>
  </si>
  <si>
    <t>港澳事务</t>
  </si>
  <si>
    <t>台湾事务</t>
  </si>
  <si>
    <t>档案事务</t>
  </si>
  <si>
    <t>档案馆</t>
  </si>
  <si>
    <t>民主党派及工商联事务</t>
  </si>
  <si>
    <t>其他民主党派及工商联事务支出</t>
  </si>
  <si>
    <t>群众团体事务</t>
  </si>
  <si>
    <t>工会事务</t>
  </si>
  <si>
    <t>其他群众团体事务支出</t>
  </si>
  <si>
    <t>组织事务</t>
  </si>
  <si>
    <t>其他组织事务支出</t>
  </si>
  <si>
    <t>调减“两委”岗位补贴、居务监督委员会成员补贴等</t>
  </si>
  <si>
    <t>宣传事务</t>
  </si>
  <si>
    <t>其他宣传事务支出</t>
  </si>
  <si>
    <t>统战事务</t>
  </si>
  <si>
    <t>宗教事务</t>
  </si>
  <si>
    <t>华侨事务</t>
  </si>
  <si>
    <t>其他统战事务支出</t>
  </si>
  <si>
    <t>其他共产党事务支出</t>
  </si>
  <si>
    <t>市场监督管理事务</t>
  </si>
  <si>
    <t>市场秩序执法</t>
  </si>
  <si>
    <t>质量基础</t>
  </si>
  <si>
    <t>质量安全监管</t>
  </si>
  <si>
    <t>食品安全监管</t>
  </si>
  <si>
    <t>其他市场监督管理事务</t>
  </si>
  <si>
    <t>调减农贸市场食用农产品快速检测工作经费</t>
  </si>
  <si>
    <t>其他一般公共服务支出</t>
  </si>
  <si>
    <t>调增网络信息安全及配套设备补助经费，调减深汕高速公路（濠江大桥-河浦收费站）路灯安装工程、产业园区党群服务中心业务用房物业管理费及水电费等</t>
  </si>
  <si>
    <t>国防支出</t>
  </si>
  <si>
    <t>国防动员</t>
  </si>
  <si>
    <t>兵役征集</t>
  </si>
  <si>
    <t>人民防空</t>
  </si>
  <si>
    <t>民兵</t>
  </si>
  <si>
    <t>其他国防动员支出</t>
  </si>
  <si>
    <t>其他国防支出</t>
  </si>
  <si>
    <t>公共安全支出</t>
  </si>
  <si>
    <t>公安</t>
  </si>
  <si>
    <t>其他公安支出</t>
  </si>
  <si>
    <t>调增“平安汕头”智能视频监控系统租赁资金，调减预留公安专项经费、“平安濠江”视频监控线路租金等</t>
  </si>
  <si>
    <t>检察</t>
  </si>
  <si>
    <t>其他检察支出</t>
  </si>
  <si>
    <t>法院</t>
  </si>
  <si>
    <t>其他法院支出</t>
  </si>
  <si>
    <t>司法</t>
  </si>
  <si>
    <t>基层司法业务</t>
  </si>
  <si>
    <t>普法宣传</t>
  </si>
  <si>
    <t>律师公证管理</t>
  </si>
  <si>
    <t>调减基本经费补充</t>
  </si>
  <si>
    <t>法律援助</t>
  </si>
  <si>
    <t>社区矫正</t>
  </si>
  <si>
    <t>其他司法支出</t>
  </si>
  <si>
    <t>其他公共安全支出</t>
  </si>
  <si>
    <t>教育支出</t>
  </si>
  <si>
    <t>教育管理事务</t>
  </si>
  <si>
    <t>普通教育</t>
  </si>
  <si>
    <t>学前教育</t>
  </si>
  <si>
    <t>小学教育</t>
  </si>
  <si>
    <t>调增珠浦第二小学课桌椅等设备，调减珠浦第二小学改建教学综合楼、珠浦第二小学大门围墙及运动场配套改造、玉石小学教学楼升级改造工程、茂洲学校校舍综合改造等</t>
  </si>
  <si>
    <t>初中教育</t>
  </si>
  <si>
    <t>高中教育</t>
  </si>
  <si>
    <t>调增河浦中学学生宿舍楼及配套设施项目工程</t>
  </si>
  <si>
    <t>高等教育</t>
  </si>
  <si>
    <t>其他普通教育支出</t>
  </si>
  <si>
    <t>调减区公办中小学、幼儿园保安购买服务经费、省外高校贫困大学生助学金、高、初中教学贡献奖、华南师范大学品牌费、管理费、濠江花园南区幼儿园和广澳街道中心幼儿园购买服务包干经费、建设改革创新示范学校专项经费、中小学校舍小型建设项目等</t>
  </si>
  <si>
    <t>职业教育</t>
  </si>
  <si>
    <t>中等职业教育</t>
  </si>
  <si>
    <t>技校教育</t>
  </si>
  <si>
    <t>高等职业教育</t>
  </si>
  <si>
    <t>其他职业教育支出</t>
  </si>
  <si>
    <t>特殊教育</t>
  </si>
  <si>
    <t>特殊学校教育</t>
  </si>
  <si>
    <t>其他特殊教育支出</t>
  </si>
  <si>
    <t>进修及培训</t>
  </si>
  <si>
    <t>教师进修</t>
  </si>
  <si>
    <t>培训支出</t>
  </si>
  <si>
    <t>教育费附加安排的支出</t>
  </si>
  <si>
    <t>其他教育费附加安排的支出</t>
  </si>
  <si>
    <t>调减濠江区2020年教育装备建设项目经费等</t>
  </si>
  <si>
    <t>其他教育支出</t>
  </si>
  <si>
    <t>调减河浦中学校园入口广场升级改造、埭头学校大门和山体挡土墙及场区配套建设</t>
  </si>
  <si>
    <t>科学技术支出</t>
  </si>
  <si>
    <t>科学技术管理事务</t>
  </si>
  <si>
    <t>技术研究与开发支出</t>
  </si>
  <si>
    <t>2060499</t>
  </si>
  <si>
    <t>其他技术研究与开发支出</t>
  </si>
  <si>
    <t>科学技术普及</t>
  </si>
  <si>
    <t>科普活动</t>
  </si>
  <si>
    <t>其他科学技术普及支出</t>
  </si>
  <si>
    <t>其他科学技术支出</t>
  </si>
  <si>
    <t>调增提前下达2018年市级工业与信息化发展专项资金预算、调减濠江区科技创新公共服务平台等</t>
  </si>
  <si>
    <t>文化旅游体育与传媒支出</t>
  </si>
  <si>
    <t>文化和旅游</t>
  </si>
  <si>
    <t>图书馆</t>
  </si>
  <si>
    <t>群众文化</t>
  </si>
  <si>
    <t>文化和旅游市场管理</t>
  </si>
  <si>
    <t>旅游宣传</t>
  </si>
  <si>
    <t>其他文化和旅游支出</t>
  </si>
  <si>
    <t>文物</t>
  </si>
  <si>
    <t>文物保护</t>
  </si>
  <si>
    <t>其他文物支出</t>
  </si>
  <si>
    <t>体育</t>
  </si>
  <si>
    <t>群众体育</t>
  </si>
  <si>
    <t>其他文化旅游体育与传媒支出</t>
  </si>
  <si>
    <t>调减预留创文经费</t>
  </si>
  <si>
    <t>社会保障和就业支出</t>
  </si>
  <si>
    <t>人力资源和社会保障管理事务</t>
  </si>
  <si>
    <t>公共就业服务和职业技能鉴定机构</t>
  </si>
  <si>
    <t>其他人力资源和社会保障管理事务支出</t>
  </si>
  <si>
    <t>民政管理事务</t>
  </si>
  <si>
    <t>社会组织管理</t>
  </si>
  <si>
    <t>行政区划和地名管理</t>
  </si>
  <si>
    <t>调减第二次全国地名普查成果转化经费、地名普查档案整理归档工作经费</t>
  </si>
  <si>
    <t>基层政权建设和社区治理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</si>
  <si>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</si>
  <si>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</si>
  <si>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</si>
  <si>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</si>
  <si>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</si>
  <si>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</si>
  <si>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</si>
  <si>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调减预留职业年金及机关事业单位职业年金缴费</t>
  </si>
  <si>
    <t>对机关事业单位基本养老保险基金的补助</t>
  </si>
  <si>
    <t>调减预留机关养老及机关事业单位基本养老保险缴费</t>
  </si>
  <si>
    <t>就业补助</t>
  </si>
  <si>
    <t>就业创业服务补贴</t>
  </si>
  <si>
    <t>其他就业补助支出</t>
  </si>
  <si>
    <t>抚恤</t>
  </si>
  <si>
    <t>死亡抚恤</t>
  </si>
  <si>
    <t>在乡复员、退伍军人生活补助</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</si>
  <si>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</si>
  <si>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</si>
  <si>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</si>
  <si>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</si>
  <si>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</si>
  <si>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</si>
  <si>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</si>
  <si>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</si>
  <si>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</si>
  <si>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</si>
  <si>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调减部分退役士兵社保接续区级补助资金</t>
  </si>
  <si>
    <t>社会福利</t>
  </si>
  <si>
    <t>儿童福利</t>
  </si>
  <si>
    <t>老年福利</t>
  </si>
  <si>
    <t>殡葬</t>
  </si>
  <si>
    <t>调减殡葬惠民</t>
  </si>
  <si>
    <t>社会福利事业单位</t>
  </si>
  <si>
    <t>残疾人事业</t>
  </si>
  <si>
    <t>残疾人康复</t>
  </si>
  <si>
    <t>残疾人就业和扶贫</t>
  </si>
  <si>
    <t>残疾人生活和护理补贴</t>
  </si>
  <si>
    <t>其他残疾人事业支出</t>
  </si>
  <si>
    <t>调增残疾学生及困难残疾子女助学金、调减区残疾人康复中心大楼功能性装修项目等</t>
  </si>
  <si>
    <t>红十字事业</t>
  </si>
  <si>
    <t>其他红十字事业支出</t>
  </si>
  <si>
    <t>最低生活保障</t>
  </si>
  <si>
    <t>城市最低生活保障金支出</t>
  </si>
  <si>
    <t>农村最低生活保障金支出</t>
  </si>
  <si>
    <t>临时救助</t>
  </si>
  <si>
    <t>临时救助支出</t>
  </si>
  <si>
    <t>调减临时价格补贴区级配套</t>
  </si>
  <si>
    <t>流浪乞讨人员救助支出</t>
  </si>
  <si>
    <t>特困人员救助供养</t>
  </si>
  <si>
    <t>城市特困人员救助供养支出</t>
  </si>
  <si>
    <t>农村特困人员救助供养支出</t>
  </si>
  <si>
    <t>其他生活救助</t>
  </si>
  <si>
    <t>其他城市生活救助</t>
  </si>
  <si>
    <t>其他农村生活救助</t>
  </si>
  <si>
    <t>财政对基本养老保险基金的补助</t>
  </si>
  <si>
    <t>财政对城乡居民基本养老保险基金的补助</t>
  </si>
  <si>
    <t>调增城乡居民养老保险</t>
  </si>
  <si>
    <t>财政对其他基本养老保险基金的补助</t>
  </si>
  <si>
    <t>退役军人管理事务</t>
  </si>
  <si>
    <t>拥军优属</t>
  </si>
  <si>
    <t>调增随军未就业家属生活补助</t>
  </si>
  <si>
    <t>其他退役军人事务管理支出</t>
  </si>
  <si>
    <t>其他社会保障和就业支出</t>
  </si>
  <si>
    <t>调增2021年社区“两委”换届选举工作经费、调减老渔工生活困难补助等</t>
  </si>
  <si>
    <t>卫生健康支出</t>
  </si>
  <si>
    <t>卫生健康管理事务</t>
  </si>
  <si>
    <t>其他卫生健康管理事务支出</t>
  </si>
  <si>
    <t>公立医院</t>
  </si>
  <si>
    <t>综合医院</t>
  </si>
  <si>
    <t>其他公立医院支出</t>
  </si>
  <si>
    <t>基层医疗卫生机构</t>
  </si>
  <si>
    <t>城市社区卫生机构</t>
  </si>
  <si>
    <t>乡镇卫生院</t>
  </si>
  <si>
    <t>其他基层医疗卫生机构支出</t>
  </si>
  <si>
    <t>公共卫生</t>
  </si>
  <si>
    <t>疾病预防控制机构</t>
  </si>
  <si>
    <t>妇幼保健机构</t>
  </si>
  <si>
    <t>基本公共卫生服务</t>
  </si>
  <si>
    <t>重大公共卫生服务</t>
  </si>
  <si>
    <t>突发公共卫生事件应急处理</t>
  </si>
  <si>
    <t>其他公共卫生支出</t>
  </si>
  <si>
    <t>中医药</t>
  </si>
  <si>
    <t>其他中医药支出</t>
  </si>
  <si>
    <t>计划生育事务</t>
  </si>
  <si>
    <t>计划生育服务</t>
  </si>
  <si>
    <t>其他计划生育事务支出</t>
  </si>
  <si>
    <t>行政事业单位医疗</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</si>
  <si>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</si>
  <si>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</si>
  <si>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</si>
  <si>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</si>
  <si>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</si>
  <si>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</si>
  <si>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</si>
  <si>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</si>
  <si>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其他优抚对象医疗支出</t>
  </si>
  <si>
    <t>医疗保障管理事务</t>
  </si>
  <si>
    <t>调减妇幼门诊信息化软件系统建设</t>
  </si>
  <si>
    <t>老龄卫生健康事务</t>
  </si>
  <si>
    <t>其他卫生健康支出</t>
  </si>
  <si>
    <t>节能环保支出</t>
  </si>
  <si>
    <t>环境保护管理事务</t>
  </si>
  <si>
    <t>其他环境保护管理事务支出</t>
  </si>
  <si>
    <t>能源节约利用</t>
  </si>
  <si>
    <t>水体</t>
  </si>
  <si>
    <t>2110304</t>
  </si>
  <si>
    <t>污染防治</t>
  </si>
  <si>
    <t>其他污染防治支出</t>
  </si>
  <si>
    <t>循环经济</t>
  </si>
  <si>
    <t>其他节能环保支出</t>
  </si>
  <si>
    <t>城乡社区支出</t>
  </si>
  <si>
    <t>城乡社区管理事务</t>
  </si>
  <si>
    <t>城管执法</t>
  </si>
  <si>
    <t>工程建设管理</t>
  </si>
  <si>
    <t>其他城乡社区管理事务支出</t>
  </si>
  <si>
    <t>调减税收返还、预留农村基层经费等</t>
  </si>
  <si>
    <t>城乡社区规划与管理</t>
  </si>
  <si>
    <t>城乡社区公共设施</t>
  </si>
  <si>
    <t>其他城乡社区公共设施支出</t>
  </si>
  <si>
    <t>调减濠江区人民医院改扩建（含医疗设备）等</t>
  </si>
  <si>
    <t>城乡社区环境卫生</t>
  </si>
  <si>
    <t>调减濠江区道路环卫作业市场化运营管理项目、环卫作业市场化管理经费（主次干道清洁保洁项目）、黑臭水体整治专项经费等</t>
  </si>
  <si>
    <t>其他城乡社区支出</t>
  </si>
  <si>
    <t>调减建筑业扶持专项资金区级配套</t>
  </si>
  <si>
    <t>农林水支出</t>
  </si>
  <si>
    <t>农业农村</t>
  </si>
  <si>
    <t>科技转化与推广服务</t>
  </si>
  <si>
    <t>病虫害控制</t>
  </si>
  <si>
    <t>农产品质量安全</t>
  </si>
  <si>
    <t>执法监管</t>
  </si>
  <si>
    <t>调减渔业执法船、执法艇油料费及维护保障经费</t>
  </si>
  <si>
    <t>统计监测与信息服务</t>
  </si>
  <si>
    <t>农业资源保护修复与利用</t>
  </si>
  <si>
    <t>成品油价格改革对渔业的补贴</t>
  </si>
  <si>
    <t>对高校毕业生到基层任职补助</t>
  </si>
  <si>
    <t>其他农业农村支出</t>
  </si>
  <si>
    <t>林业和草原</t>
  </si>
  <si>
    <t>技术推广与转化</t>
  </si>
  <si>
    <t>森林生态效益补偿</t>
  </si>
  <si>
    <t>其他林业和草原支出</t>
  </si>
  <si>
    <t>调减春绿满濠江2019年植树项目</t>
  </si>
  <si>
    <t>水利</t>
  </si>
  <si>
    <t>水利行业业务管理</t>
  </si>
  <si>
    <t>水利工程建设</t>
  </si>
  <si>
    <t>调减洲角闸应急强排站新建工程、后江湾海堤修复加固工程、三屿围海堤达标加固工程区级配套资金</t>
  </si>
  <si>
    <t>水利工程运行与维护</t>
  </si>
  <si>
    <t>水利前期工作</t>
  </si>
  <si>
    <t>水土保持</t>
  </si>
  <si>
    <t>水资源节约管理与保护</t>
  </si>
  <si>
    <t>农村水利</t>
  </si>
  <si>
    <t>水利技术推广</t>
  </si>
  <si>
    <t>其他水利支出</t>
  </si>
  <si>
    <t>扶贫</t>
  </si>
  <si>
    <t>其他扶贫支出</t>
  </si>
  <si>
    <t>农村综合改革</t>
  </si>
  <si>
    <t>对村民委员会和村党支部的补助</t>
  </si>
  <si>
    <t>调增2020年正常离任村干部生活补助经费</t>
  </si>
  <si>
    <t>对村集体经济组织的补助</t>
  </si>
  <si>
    <t>农村综合改革示范试点补助</t>
  </si>
  <si>
    <t>其他农村综合改革支出</t>
  </si>
  <si>
    <t>普惠金融发展支出</t>
  </si>
  <si>
    <t>农业保险保费补贴</t>
  </si>
  <si>
    <t>创业担保贷款贴息</t>
  </si>
  <si>
    <t>其他农林水支出</t>
  </si>
  <si>
    <t>调增濠江区大坪排洪沟河浦高级中学段改建工程、濠江东西岸堤围达标加固工程审核费、濠江东西岸堤围达标加固工程尾款、河浦街道水环境综合治理工程</t>
  </si>
  <si>
    <t>交通运输支出</t>
  </si>
  <si>
    <t>公路水路运输</t>
  </si>
  <si>
    <t>公路建设</t>
  </si>
  <si>
    <t>公路养护</t>
  </si>
  <si>
    <t>其他公路水路运输支出</t>
  </si>
  <si>
    <t>成品油价格改革对交通运输的补贴</t>
  </si>
  <si>
    <t>对出租车的补贴</t>
  </si>
  <si>
    <t>车辆购置税支出</t>
  </si>
  <si>
    <t>车辆购置税用于公路等基础设施建设支出</t>
  </si>
  <si>
    <t>资源勘探工业信息等支出</t>
  </si>
  <si>
    <t>工业和信息产业监管</t>
  </si>
  <si>
    <t>工业和信息产业支持</t>
  </si>
  <si>
    <t>其他工业和信息产业监管支出</t>
  </si>
  <si>
    <t>调增上级下达2018年省级促进经济发展专项资金（省经济和信息化委经管部分用途）</t>
  </si>
  <si>
    <t>商业服务业等支出</t>
  </si>
  <si>
    <t>商业流通事务</t>
  </si>
  <si>
    <t>其他商业流通事务支出</t>
  </si>
  <si>
    <t>涉外发展服务支出</t>
  </si>
  <si>
    <t>其他涉外发展服务支出</t>
  </si>
  <si>
    <t>其他商业服务业等支出</t>
  </si>
  <si>
    <t>金融支出</t>
  </si>
  <si>
    <t>其他金融支出</t>
  </si>
  <si>
    <t>重点企业贷款贴息</t>
  </si>
  <si>
    <t>自然资源海洋气象等支出</t>
  </si>
  <si>
    <t>自然资源事务</t>
  </si>
  <si>
    <t>地质勘查与矿产资源管理</t>
  </si>
  <si>
    <t>调减濠江区滴丢山坤合采石场矿山复绿治理工程、324国道棉花路段裸露山体整治复绿工程</t>
  </si>
  <si>
    <t>海域与海岛管理</t>
  </si>
  <si>
    <t>调减生态评估和生态保护修复编制费用等</t>
  </si>
  <si>
    <t>其他自然资源事务支出</t>
  </si>
  <si>
    <t>其他自然资源海洋气象等支出</t>
  </si>
  <si>
    <t>住房保障支出</t>
  </si>
  <si>
    <t>保障性安居工程支出</t>
  </si>
  <si>
    <t>公共租赁住房</t>
  </si>
  <si>
    <t>2210107</t>
  </si>
  <si>
    <t>保障性住房租金补贴</t>
  </si>
  <si>
    <t>调减发放保障对象租赁补贴</t>
  </si>
  <si>
    <t>住房改革支出</t>
  </si>
  <si>
    <t>住房公积金</t>
  </si>
  <si>
    <t>粮油物资储备支出</t>
  </si>
  <si>
    <t>粮油事务</t>
  </si>
  <si>
    <t>粮食风险基金</t>
  </si>
  <si>
    <t>其他粮油事务支出</t>
  </si>
  <si>
    <t>粮油储备</t>
  </si>
  <si>
    <t>储备粮油补贴</t>
  </si>
  <si>
    <t>重要商品储备</t>
  </si>
  <si>
    <t>肉类储备</t>
  </si>
  <si>
    <t>食盐储备</t>
  </si>
  <si>
    <t>灾害防治及应急管理支出</t>
  </si>
  <si>
    <t>应急管理事务</t>
  </si>
  <si>
    <t>安全监管</t>
  </si>
  <si>
    <t>其他应急管理支出</t>
  </si>
  <si>
    <t>调减区森林扑火物资储备库建设、区森林扑火物资储备库建设、区级森防扑火物资、消防装备和个人防护器材经费等</t>
  </si>
  <si>
    <t>消防事务</t>
  </si>
  <si>
    <t>其他消防事务支出</t>
  </si>
  <si>
    <t>地震事务</t>
  </si>
  <si>
    <t>其他地震事务支出</t>
  </si>
  <si>
    <t>自然灾害防治</t>
  </si>
  <si>
    <t>地质灾害防治</t>
  </si>
  <si>
    <t>其他灾害防治及应急管理支出</t>
  </si>
  <si>
    <t>预备费</t>
  </si>
  <si>
    <t>调减预备费</t>
  </si>
  <si>
    <t>其他支出</t>
  </si>
  <si>
    <t>调增财政委托业务支出经费，调减预留扶持总部经济企业区级配套资金、新型墙体材料专项基金返退款、2020年教育系统项目前期费用、预留非税支出、预留人才发展基金、预留工作性专项等资金</t>
  </si>
  <si>
    <t>转移性支出</t>
  </si>
  <si>
    <t>上解支出</t>
  </si>
  <si>
    <t>专项上解支出</t>
  </si>
  <si>
    <t>债务还本支出</t>
  </si>
  <si>
    <t>地方政府一般债务还本支出</t>
  </si>
  <si>
    <t>地方政府一般债券还本支出</t>
  </si>
  <si>
    <t>债务付息支出</t>
  </si>
  <si>
    <t>地方政府一般债务付息支出</t>
  </si>
  <si>
    <t>地方政府一般债券付息支出</t>
  </si>
  <si>
    <t>债务发行费用支出</t>
  </si>
  <si>
    <t>地方政府一般债务发行费用支出</t>
  </si>
  <si>
    <t>合计</t>
  </si>
  <si>
    <t>附表3</t>
  </si>
  <si>
    <t>汕头市濠江区2020年公共财政本级预算支出项目调整表</t>
  </si>
  <si>
    <t>调增情况</t>
  </si>
  <si>
    <t>调减情况</t>
  </si>
  <si>
    <t>股室</t>
  </si>
  <si>
    <t>单位</t>
  </si>
  <si>
    <t>功能分类科目</t>
  </si>
  <si>
    <t>金额</t>
  </si>
  <si>
    <t>综合</t>
  </si>
  <si>
    <t>调增合计</t>
  </si>
  <si>
    <t>调减合计</t>
  </si>
  <si>
    <t>社保</t>
  </si>
  <si>
    <t>一、基本支出</t>
  </si>
  <si>
    <t>预算</t>
  </si>
  <si>
    <t>市场物业管理站</t>
  </si>
  <si>
    <t>基本经费补充</t>
  </si>
  <si>
    <t>根据预测收入数调增</t>
  </si>
  <si>
    <t>财政局（代编）</t>
  </si>
  <si>
    <t>预留职业年金及机关事业单位职业年金缴费</t>
  </si>
  <si>
    <t>按实结算，余额收回</t>
  </si>
  <si>
    <t>经建</t>
  </si>
  <si>
    <t>职业技术教育中心</t>
  </si>
  <si>
    <t>补充公用经费</t>
  </si>
  <si>
    <t>预留机关养老及机关事业单位基本养老保险缴费</t>
  </si>
  <si>
    <t>2080507</t>
  </si>
  <si>
    <t>行财</t>
  </si>
  <si>
    <t>二、政策性支出</t>
  </si>
  <si>
    <t>各单位</t>
  </si>
  <si>
    <t>各单位基本经费</t>
  </si>
  <si>
    <t>农业</t>
  </si>
  <si>
    <t>残联</t>
  </si>
  <si>
    <t>残疾学生及困难残疾子女助学金</t>
  </si>
  <si>
    <t>按实结算调增</t>
  </si>
  <si>
    <t>司法局</t>
  </si>
  <si>
    <t>根据预测收入数调减</t>
  </si>
  <si>
    <t>工贸</t>
  </si>
  <si>
    <t>康复中心购买服务经费</t>
  </si>
  <si>
    <t>环境卫生事务中心</t>
  </si>
  <si>
    <t>退役局</t>
  </si>
  <si>
    <t>随军未就业家属生活补助</t>
  </si>
  <si>
    <t>人社局</t>
  </si>
  <si>
    <t>新冠肺炎疫情支持企业专项资金(企业稳定岗位配套补助)</t>
  </si>
  <si>
    <t>残疾人居家无障碍改造配套经费</t>
  </si>
  <si>
    <t>城乡居民养老保险</t>
  </si>
  <si>
    <t>民政局</t>
  </si>
  <si>
    <t>第二次全国地名普查成果转化经费</t>
  </si>
  <si>
    <t>卫健局</t>
  </si>
  <si>
    <t>出生缺陷综合防控项目目标人群专项经费（含新生儿出生缺陷筛查个人部分）</t>
  </si>
  <si>
    <t>地名普查档案整理归档工作经费</t>
  </si>
  <si>
    <t>殡葬惠民</t>
  </si>
  <si>
    <t>各街道</t>
  </si>
  <si>
    <t>2020年正常离任村干部生活补助经费</t>
  </si>
  <si>
    <t>临时价格补贴区级配套</t>
  </si>
  <si>
    <t>疫情防控重点保障企业优惠贷款贴息资金（区级补贴奖励）</t>
  </si>
  <si>
    <t>2179902</t>
  </si>
  <si>
    <t>市清算资金</t>
  </si>
  <si>
    <t>精简退职</t>
  </si>
  <si>
    <t>提前下达2018年市级工业与信息化发展专项资金预算</t>
  </si>
  <si>
    <t>双百镇（街）社会工作服务站建设运营示范项目资金</t>
  </si>
  <si>
    <t>提前下达2018年省级促进经济发展专项资金（省经济和信息化委经管部分用途）</t>
  </si>
  <si>
    <t>2150599</t>
  </si>
  <si>
    <t>部分退役士兵社保接续区级补助资金</t>
  </si>
  <si>
    <t>礐石街道</t>
  </si>
  <si>
    <t>困难社区办公经费补助</t>
  </si>
  <si>
    <t>广澳街道</t>
  </si>
  <si>
    <t>优抚对象大病医疗保障资金</t>
  </si>
  <si>
    <t>马滘街道</t>
  </si>
  <si>
    <t>达濠街道</t>
  </si>
  <si>
    <t>老渔工生活困难补助</t>
  </si>
  <si>
    <t>河浦街道</t>
  </si>
  <si>
    <t>人民医院</t>
  </si>
  <si>
    <t>人民医院建设新冠肺炎核酸检测实验室</t>
  </si>
  <si>
    <t>区公安分局</t>
  </si>
  <si>
    <t>禁毒工作经费</t>
  </si>
  <si>
    <t>濠江区人社局档案室建设经费</t>
  </si>
  <si>
    <t>三、部门专项工作经费</t>
  </si>
  <si>
    <t>街道公益性岗位安置政府购买服务包干经费</t>
  </si>
  <si>
    <t>职业病防治工作经费</t>
  </si>
  <si>
    <t>项目调整</t>
  </si>
  <si>
    <t>财政局</t>
  </si>
  <si>
    <t>设备购置及维护经费</t>
  </si>
  <si>
    <t>“南粤家政”工程配套设备经费</t>
  </si>
  <si>
    <t>审计局</t>
  </si>
  <si>
    <t>网络信息安全及配套设备补助经费</t>
  </si>
  <si>
    <t>三支一扶大学生生活补贴</t>
  </si>
  <si>
    <t>2021年社区“两委”换届选举工作经费</t>
  </si>
  <si>
    <t>按单位需求调增</t>
  </si>
  <si>
    <t>党政办</t>
  </si>
  <si>
    <t>“两岸办”工作经费</t>
  </si>
  <si>
    <t>计生家庭意外伤害保险</t>
  </si>
  <si>
    <t>四、基础设施建设及维护</t>
  </si>
  <si>
    <t>计生家庭子女就学补助和保险</t>
  </si>
  <si>
    <t>公安分局</t>
  </si>
  <si>
    <t>“平安汕头”智能视频监控系统租赁资金</t>
  </si>
  <si>
    <t>按项目进展调增</t>
  </si>
  <si>
    <t>计生家庭特别扶助</t>
  </si>
  <si>
    <t>教育局</t>
  </si>
  <si>
    <t>河浦中学学生宿舍楼及配套设施项目工程（使用2019年教育捐赠款）</t>
  </si>
  <si>
    <t>省农村部分计划生育家庭奖励</t>
  </si>
  <si>
    <t>玉新街道</t>
  </si>
  <si>
    <t>濠江区大坪排洪沟河浦高级中学段改建工程</t>
  </si>
  <si>
    <t>2139999</t>
  </si>
  <si>
    <t>市计划生育家庭节育奖</t>
  </si>
  <si>
    <t>农农水局</t>
  </si>
  <si>
    <t>濠江东西岸堤围达标加固工程审核费</t>
  </si>
  <si>
    <t>省城镇独生子女父母计生奖励</t>
  </si>
  <si>
    <t>住建局</t>
  </si>
  <si>
    <t>亚青场馆</t>
  </si>
  <si>
    <t>妇幼门诊信息化软件系统建设</t>
  </si>
  <si>
    <t>开放公园</t>
  </si>
  <si>
    <t>“银龄安康”行动60周岁以上老人保险费</t>
  </si>
  <si>
    <t>河浦街道水环境综合治理工程</t>
  </si>
  <si>
    <t>计划生育服务绩效奖励经费</t>
  </si>
  <si>
    <t>珠浦第二小学</t>
  </si>
  <si>
    <t>珠浦第二小学课桌椅等设备（使用2019年教育捐赠款）</t>
  </si>
  <si>
    <t>2019年城乡义务教育公用经费市级补助资金</t>
  </si>
  <si>
    <t>五、财政代编预留资金</t>
  </si>
  <si>
    <t>义务教育公用经费（省级结转）</t>
  </si>
  <si>
    <t>财政委托业务支出经费</t>
  </si>
  <si>
    <t>精准扶贫建档立卡贫困学生免学费和生活费补助</t>
  </si>
  <si>
    <t>2050204、2050205</t>
  </si>
  <si>
    <t>提前下达2019年建档立卡免学费和生活费补助资金</t>
  </si>
  <si>
    <t>2020年度原民代教师生活困难补助区级配套</t>
  </si>
  <si>
    <t>2019年建档立卡学生免学费和生活费市级补助资金</t>
  </si>
  <si>
    <t>省外高校贫困大学生助学金</t>
  </si>
  <si>
    <t>特教办学经费</t>
  </si>
  <si>
    <t>农村、涉农专业和家庭经济困难学生免学费</t>
  </si>
  <si>
    <t>达濠华侨中学</t>
  </si>
  <si>
    <t>义务教育公用经费（省级）</t>
  </si>
  <si>
    <t>达濠中学</t>
  </si>
  <si>
    <t>广澳中学</t>
  </si>
  <si>
    <t>达濠第二中学</t>
  </si>
  <si>
    <t>河浦中学</t>
  </si>
  <si>
    <t>玉新中学</t>
  </si>
  <si>
    <t>三河中学</t>
  </si>
  <si>
    <t>征管经费</t>
  </si>
  <si>
    <t>一般债券利息及服务费</t>
  </si>
  <si>
    <t>“两委”岗位补贴</t>
  </si>
  <si>
    <t>“两委”干部医疗保险</t>
  </si>
  <si>
    <t>“两委”干部养老保险市级配套</t>
  </si>
  <si>
    <t>“两委”干部养老保险区级配套</t>
  </si>
  <si>
    <t>财政局（代编）、各街道</t>
  </si>
  <si>
    <t>社区党组织书记绩效奖励经费</t>
  </si>
  <si>
    <t>工信局</t>
  </si>
  <si>
    <t>高新技术企业认定奖励</t>
  </si>
  <si>
    <t>生产力促进中心</t>
  </si>
  <si>
    <t>濠江区科技创新公共服务平台</t>
  </si>
  <si>
    <t>应急局</t>
  </si>
  <si>
    <t>区森林扑火物资储备库建设</t>
  </si>
  <si>
    <t>预留扶持总部经济企业区级配套资金</t>
  </si>
  <si>
    <t>建筑业扶持专项资金区级配套</t>
  </si>
  <si>
    <t>组织部</t>
  </si>
  <si>
    <t>2019年度市“两新”组织党建工作财政专项经费</t>
  </si>
  <si>
    <t>宣传部</t>
  </si>
  <si>
    <t>老放映员陈乙丰工作年限补助</t>
  </si>
  <si>
    <t>新型粮食种植经营主体专项资金</t>
  </si>
  <si>
    <t>2130199</t>
  </si>
  <si>
    <t>汕头市离岗基层老兽医补助资金</t>
  </si>
  <si>
    <t>新时期精准扶贫小额信贷贴息专项资金</t>
  </si>
  <si>
    <t>2130599</t>
  </si>
  <si>
    <t>农业（畜牧）保险补贴</t>
  </si>
  <si>
    <t>2130803</t>
  </si>
  <si>
    <t>政策性水稻种植保险区级配套资金</t>
  </si>
  <si>
    <t>滨海街道</t>
  </si>
  <si>
    <t>红十字</t>
  </si>
  <si>
    <t>工作经费</t>
  </si>
  <si>
    <t>压缩一般性支出</t>
  </si>
  <si>
    <t>搭建居民议事厅</t>
  </si>
  <si>
    <t>同上</t>
  </si>
  <si>
    <t>流浪乞讨人员救助及工作经费</t>
  </si>
  <si>
    <t>工资管理和系统维护经费</t>
  </si>
  <si>
    <t>劳动人事争议仲裁办案补助</t>
  </si>
  <si>
    <t>职工、城乡居民养老工作经费</t>
  </si>
  <si>
    <t>公共就业机构就业服务经费</t>
  </si>
  <si>
    <t>公共就业机构业务培训和服务经费</t>
  </si>
  <si>
    <t>大学生人事代管和档案寄管业务经费</t>
  </si>
  <si>
    <t>人力资源库管理经费</t>
  </si>
  <si>
    <t>宣传经费</t>
  </si>
  <si>
    <t>无偿献血经费</t>
  </si>
  <si>
    <t>严重精神病患者工作经费</t>
  </si>
  <si>
    <t>基本公共卫生工作经费</t>
  </si>
  <si>
    <t>医改工作经费</t>
  </si>
  <si>
    <t>爱卫专项</t>
  </si>
  <si>
    <t>流动人口管理经费</t>
  </si>
  <si>
    <t>卫健局及属下事业单位运转经费</t>
  </si>
  <si>
    <t>统计局</t>
  </si>
  <si>
    <t>第四次全国经济普查经费</t>
  </si>
  <si>
    <t>旧城办</t>
  </si>
  <si>
    <t>金中预留发展用地回迁户办理房产登记等经费</t>
  </si>
  <si>
    <t>自然资源局</t>
  </si>
  <si>
    <t>海域综合管理经费</t>
  </si>
  <si>
    <t>规划测绘院</t>
  </si>
  <si>
    <t>外业交通工具费用</t>
  </si>
  <si>
    <t>采购办公设备、耗材及维修保养费等</t>
  </si>
  <si>
    <t>应急管理局</t>
  </si>
  <si>
    <t>补充工作经费</t>
  </si>
  <si>
    <t>预算、国库管理业务经费</t>
  </si>
  <si>
    <t>政府采购工作经费</t>
  </si>
  <si>
    <t>基建项目财政承受能力论证工作经费</t>
  </si>
  <si>
    <t>金融债务管理工作经费</t>
  </si>
  <si>
    <t>“以案定补”补助</t>
  </si>
  <si>
    <t>司法救助</t>
  </si>
  <si>
    <r>
      <rPr>
        <b/>
        <sz val="12"/>
        <rFont val="宋体"/>
        <charset val="134"/>
      </rPr>
      <t>压减金额其中5万元为</t>
    </r>
    <r>
      <rPr>
        <b/>
        <sz val="12"/>
        <rFont val="宋体"/>
        <charset val="134"/>
      </rPr>
      <t>503,2.37万元为502</t>
    </r>
  </si>
  <si>
    <t>统战部</t>
  </si>
  <si>
    <t>华侨事务工作经费</t>
  </si>
  <si>
    <t>台湾事务经费</t>
  </si>
  <si>
    <t>团委</t>
  </si>
  <si>
    <t>宣传活动经费</t>
  </si>
  <si>
    <t>志愿服务活动经费</t>
  </si>
  <si>
    <t>党建办和党代表联络服务工作经费</t>
  </si>
  <si>
    <t>创文工作力量购买服务经费</t>
  </si>
  <si>
    <t>政法委</t>
  </si>
  <si>
    <t>社会治理网格化工作专职网格员包干经费</t>
  </si>
  <si>
    <t>编办</t>
  </si>
  <si>
    <t>编办管理专项工作经费</t>
  </si>
  <si>
    <t>公共资源交易中心濠江分中心</t>
  </si>
  <si>
    <t>中介超市运营劳务服务外包购买服务包干经费</t>
  </si>
  <si>
    <t>政务服务数据管理局</t>
  </si>
  <si>
    <t>行政服务大厅运转经费</t>
  </si>
  <si>
    <t>汕头市濠江区政务服务数据管理局</t>
  </si>
  <si>
    <t>汕头政府在线（二期）相关配套项目经费</t>
  </si>
  <si>
    <t>一门式一网式政务服务综合窗口人员经费</t>
  </si>
  <si>
    <t>宣传、图册印刷等经费</t>
  </si>
  <si>
    <t>检察院</t>
  </si>
  <si>
    <t>书记员经费</t>
  </si>
  <si>
    <t>各项审计经费</t>
  </si>
  <si>
    <t>区审计局办公环境建设经费</t>
  </si>
  <si>
    <t>人大</t>
  </si>
  <si>
    <t>代表履职补贴</t>
  </si>
  <si>
    <t>人民政府办公室</t>
  </si>
  <si>
    <t>区委大院后勤物业服务社会化购买费用</t>
  </si>
  <si>
    <t>宣传工作经费</t>
  </si>
  <si>
    <t>机关事务管理经费</t>
  </si>
  <si>
    <t>预留区委大院后勤物业服务社会化购买费用</t>
  </si>
  <si>
    <t>国家安全工作经费</t>
  </si>
  <si>
    <t>党务公开工作经费</t>
  </si>
  <si>
    <t>全区党内法规工作经费</t>
  </si>
  <si>
    <t>全区政务公开工作经费</t>
  </si>
  <si>
    <t>预留全区领导干部出国经费</t>
  </si>
  <si>
    <t>招商引资项目工作经费</t>
  </si>
  <si>
    <t>档案馆日常经费</t>
  </si>
  <si>
    <t>教育经费审计经费</t>
  </si>
  <si>
    <t>考试招生经费</t>
  </si>
  <si>
    <t>德育工作经费</t>
  </si>
  <si>
    <t>区公办中小学、幼儿园保安购买服务经费</t>
  </si>
  <si>
    <t>义务教育优质均衡发展区工作经费</t>
  </si>
  <si>
    <t>深化教育改革工作经费</t>
  </si>
  <si>
    <t>高、初中教学贡献奖</t>
  </si>
  <si>
    <t>华南师范大学品牌费、管理费</t>
  </si>
  <si>
    <t>教师节活动经费</t>
  </si>
  <si>
    <t>濠江花园南区幼儿园和广澳街道中心幼儿园购买服务包干经费</t>
  </si>
  <si>
    <t>纪委</t>
  </si>
  <si>
    <t>区纪委监委机关陪护购买服务经费</t>
  </si>
  <si>
    <t>住房和城乡建设局</t>
  </si>
  <si>
    <t>四好农村路示范区专项工作经费</t>
  </si>
  <si>
    <t>公安局濠江分局</t>
  </si>
  <si>
    <t>公安局及各派出所工作补助经费</t>
  </si>
  <si>
    <t>预留公安专项经费</t>
  </si>
  <si>
    <t>农村集体资产交易平台建设后续费用</t>
  </si>
  <si>
    <t>渔业安全生产通信指挥系统平台专项工作人员经费</t>
  </si>
  <si>
    <t>水土保持工作经费</t>
  </si>
  <si>
    <t>2130310</t>
  </si>
  <si>
    <t>水利技术推广工作经费</t>
  </si>
  <si>
    <t>2130317</t>
  </si>
  <si>
    <t>乡村振兴发展中心、水利建管中心向社会购买服务工作经费</t>
  </si>
  <si>
    <t>濠江区农村土地承包经营权确权登记颁证工作档案数字化服务项目</t>
  </si>
  <si>
    <t>动物疫病预防控制中心</t>
  </si>
  <si>
    <t>技术推广</t>
  </si>
  <si>
    <t>2130106</t>
  </si>
  <si>
    <t>农产品质量安全监督检测站</t>
  </si>
  <si>
    <t>2050803</t>
  </si>
  <si>
    <t>居务监督委员会成员补贴</t>
  </si>
  <si>
    <t>2013299</t>
  </si>
  <si>
    <t>居务监督委员会成员培训费</t>
  </si>
  <si>
    <t>2080208</t>
  </si>
  <si>
    <t>区利管养所</t>
  </si>
  <si>
    <t>水利技术推广和培训</t>
  </si>
  <si>
    <t>渔业执法船、执法艇油料费及维护保障经费</t>
  </si>
  <si>
    <t>2130110</t>
  </si>
  <si>
    <t>汕头市产业转移工业园区濠江片区开展循环改造试点验收工作技术服务经费</t>
  </si>
  <si>
    <t>发改局</t>
  </si>
  <si>
    <t>现代产业项目委托评估论证经费</t>
  </si>
  <si>
    <t>2020年春节慰问困难职工补助经费</t>
  </si>
  <si>
    <t>市监局</t>
  </si>
  <si>
    <t>打击传销和变相传销专项经费</t>
  </si>
  <si>
    <t>食品安全监督抽检经费</t>
  </si>
  <si>
    <t>农贸市场食用农产品快速检测工作经费</t>
  </si>
  <si>
    <t>城管局</t>
  </si>
  <si>
    <t>环保垃圾桶采购项目</t>
  </si>
  <si>
    <t>应急救援、安全生产、三防应急演练培训等专项经费</t>
  </si>
  <si>
    <t>区级森防扑火物资、消防装备和个人防护器材经费</t>
  </si>
  <si>
    <t>2019年结存森林半专业扑火队伍包干经费</t>
  </si>
  <si>
    <t>科学保粮工作经费</t>
  </si>
  <si>
    <t>环卫事务中心</t>
  </si>
  <si>
    <t>环卫质量考核工作经费</t>
  </si>
  <si>
    <t>四、上年结转支出</t>
  </si>
  <si>
    <t>濠江区洲角闸应急强排站新建工程</t>
  </si>
  <si>
    <t>2130305</t>
  </si>
  <si>
    <t>本级结转超过一年按规定盘活</t>
  </si>
  <si>
    <t>汕头市后江湾海堤修复加固工程</t>
  </si>
  <si>
    <t>三屿围海堤达标加固工程区级配套资金</t>
  </si>
  <si>
    <t>小型水库安全鉴定费用</t>
  </si>
  <si>
    <t>2130308</t>
  </si>
  <si>
    <t>河长制工作经费</t>
  </si>
  <si>
    <t>扶持村级集体经济发展试点区级配套资金</t>
  </si>
  <si>
    <t>2130706</t>
  </si>
  <si>
    <t>社区医疗卫生服务站点规范化建设专项经费和工作经费</t>
  </si>
  <si>
    <t>购买警械装备经费</t>
  </si>
  <si>
    <t>五、基础设施建设及维护</t>
  </si>
  <si>
    <t>濠江区人民医院改扩建（含医疗设备）</t>
  </si>
  <si>
    <t>按项目进展收回资金</t>
  </si>
  <si>
    <t>房管所</t>
  </si>
  <si>
    <t>东湖金碧湾公租房后续配套设施建设费用</t>
  </si>
  <si>
    <t>区政府大院1、4、5号楼新装玻璃隔断及3号楼天面增设热屋架等零星修缮项目</t>
  </si>
  <si>
    <t>区政府大院外出入口路面及绿化改造项目经费</t>
  </si>
  <si>
    <t>濠江区残疾人康复中心大楼功能性装修项目</t>
  </si>
  <si>
    <t>劳保中心</t>
  </si>
  <si>
    <t>新型墙体材料专项基金返退款</t>
  </si>
  <si>
    <t>生态评估和生态保护修复编制费用</t>
  </si>
  <si>
    <t>鸡心屿及其周边海域管养、维护经费</t>
  </si>
  <si>
    <t>地质灾害应急物资及隐患点防治</t>
  </si>
  <si>
    <t>春绿满濠江2019年植树项目</t>
  </si>
  <si>
    <t>濠江区滴丢山坤合采石场矿山复绿治理工程</t>
  </si>
  <si>
    <t>324国道棉花路段裸露山体整治复绿工程</t>
  </si>
  <si>
    <t>深汕高速公路（濠江大桥-河浦收费站）路灯安装工程</t>
  </si>
  <si>
    <t>“平安濠江”视频监控线路租金</t>
  </si>
  <si>
    <t>智能执法办案中心办案区改造经费</t>
  </si>
  <si>
    <t>更新垃圾转运设备项目</t>
  </si>
  <si>
    <t>濠江区道路环卫作业市场化运营管理项目</t>
  </si>
  <si>
    <t>濠江区园区道路环卫作业市场化管理项目</t>
  </si>
  <si>
    <t>公厕管理项目</t>
  </si>
  <si>
    <t>主要道路路侧座椅及东湖路整治提升工作经费</t>
  </si>
  <si>
    <t>环卫作业市场化管理经费（主次干道清洁保洁项目）</t>
  </si>
  <si>
    <t>黑臭水体整治专项经费</t>
  </si>
  <si>
    <t>全区生活垃圾前端转运项目</t>
  </si>
  <si>
    <t>全区生活垃圾后端转运项目</t>
  </si>
  <si>
    <t>汕头市内海湾南侧岸边及水域保洁市场化运营管理项目</t>
  </si>
  <si>
    <t>预留新增移交环卫作业市场化管理各项经费</t>
  </si>
  <si>
    <t>明厨亮灶联网监管系统专项经费</t>
  </si>
  <si>
    <t>华南师范大学附属濠江实验学校</t>
  </si>
  <si>
    <t>濠江区2020年教育装备建设项目经费</t>
  </si>
  <si>
    <t>建设改革创新示范学校专项经费</t>
  </si>
  <si>
    <t>礐石中学</t>
  </si>
  <si>
    <t>礐石中学学生周转房床位配套设施经费</t>
  </si>
  <si>
    <t>2020年教育系统项目前期费用</t>
  </si>
  <si>
    <t>珠浦第二小学改建教学综合楼</t>
  </si>
  <si>
    <t>礐石中学宿舍楼及配套设施项目</t>
  </si>
  <si>
    <t>玉石小学教学楼升级改造工程</t>
  </si>
  <si>
    <t>广澳街道中心幼儿园园舍及配套综合修缮工程</t>
  </si>
  <si>
    <t>钱塘小学教学楼用电线路改造</t>
  </si>
  <si>
    <t>磊口小学楼梯护手加高及消防设施维修</t>
  </si>
  <si>
    <t>教育局办公楼外墙维修及屋顶补漏</t>
  </si>
  <si>
    <t>钱塘小学教学楼配套用房及场区改造</t>
  </si>
  <si>
    <t>礐石小学李大卫纪念楼卫生间维修项目</t>
  </si>
  <si>
    <t>滨海中学综合楼、教学楼卫生间维修改造</t>
  </si>
  <si>
    <t>双联小学教学楼卫生间、足球场及配套设施改造工程</t>
  </si>
  <si>
    <t>珠浦第一小学教学楼内墙修缮和校园围墙改造建设项目</t>
  </si>
  <si>
    <t>濠江花园南区幼儿园园舍及配套设施建设</t>
  </si>
  <si>
    <t>河浦中学校园入口广场升级改造</t>
  </si>
  <si>
    <t>茂洲学校校舍综合改造</t>
  </si>
  <si>
    <t>溪头小学校舍及配套综合改造</t>
  </si>
  <si>
    <t>黎明小学教学综合楼</t>
  </si>
  <si>
    <t>青篮小学教学综合楼建设</t>
  </si>
  <si>
    <t>棉花小学运动场及配套</t>
  </si>
  <si>
    <t>达濠民生学校教学楼屋面补漏及墙体维修</t>
  </si>
  <si>
    <t>西墩小学教学楼墙体和卫生间及配套修缮</t>
  </si>
  <si>
    <t>珠浦第二小学大门围墙及运动场配套改造</t>
  </si>
  <si>
    <t>埭头学校大门和山体挡土墙及场区配套建设</t>
  </si>
  <si>
    <t>岗背小学教学楼卫生间及校舍维修改造</t>
  </si>
  <si>
    <t>华桥小学新建综合楼及运动场改造</t>
  </si>
  <si>
    <t>玉新中学运动场改造、排污管网改造及配套项目</t>
  </si>
  <si>
    <t>中小学校舍小型建设项目</t>
  </si>
  <si>
    <t>六、财政代编预留资金</t>
  </si>
  <si>
    <t>困难企业部分军队退役人员及部分军转干部、国企退休职工欠缴社保费挂账</t>
  </si>
  <si>
    <t>结余收回</t>
  </si>
  <si>
    <t>预留非税支出</t>
  </si>
  <si>
    <t>采购办聘用专家经费</t>
  </si>
  <si>
    <t>预备役高炮团第四团军官工作性津贴</t>
  </si>
  <si>
    <t>见义勇为奖励经费</t>
  </si>
  <si>
    <t>预留创文经费</t>
  </si>
  <si>
    <t>边防公安业务经费区级配套</t>
  </si>
  <si>
    <t>预留人才发展基金</t>
  </si>
  <si>
    <t>预留工作性专项</t>
  </si>
  <si>
    <t>农口政策性预留（含岁修费）</t>
  </si>
  <si>
    <t>各单位死亡丧葬费和抚恤金</t>
  </si>
  <si>
    <t>耕地地力保护补贴工作经费</t>
  </si>
  <si>
    <t>汕头市濠江区产业园区党群服务中心业务用房物业管理费及水电费</t>
  </si>
  <si>
    <t>政府专职消防人员经费</t>
  </si>
  <si>
    <t>消防器材装备购置经费</t>
  </si>
  <si>
    <t>税收返还</t>
  </si>
  <si>
    <t>预留工作性经费</t>
  </si>
  <si>
    <t>预留农村基层经费</t>
  </si>
  <si>
    <t>预留配套性专项</t>
  </si>
  <si>
    <t>七、其他</t>
  </si>
  <si>
    <t>教师公寓物业管理费</t>
  </si>
  <si>
    <t>发放保障对象租赁补贴</t>
  </si>
  <si>
    <t>附表4</t>
  </si>
  <si>
    <t>汕头市濠江区2020年公共财政上级财力性补助收支预算调整表</t>
  </si>
  <si>
    <t>金额：万元</t>
  </si>
  <si>
    <t>上级财力性补助收入</t>
  </si>
  <si>
    <t>使用范围</t>
  </si>
  <si>
    <t>年初预算</t>
  </si>
  <si>
    <t>第三次调整预算</t>
  </si>
  <si>
    <t>第四次调整预算</t>
  </si>
  <si>
    <t>民生支出</t>
  </si>
  <si>
    <t>运转支出</t>
  </si>
  <si>
    <t>协调发展支出</t>
  </si>
  <si>
    <t>省</t>
  </si>
  <si>
    <t>市</t>
  </si>
  <si>
    <t>城乡低保</t>
  </si>
  <si>
    <t>临时救助、医疗救助</t>
  </si>
  <si>
    <t>城乡居民养老、城乡居民医保</t>
  </si>
  <si>
    <t>残疾人生活津贴及护理补贴、残疾人居家无障碍改造配套经费及残疾学生及困难残疾人子女助学金</t>
  </si>
  <si>
    <t>城镇三无人员、农村籍退役士兵补贴</t>
  </si>
  <si>
    <t>退伍兵安置金、义务兵优待金</t>
  </si>
  <si>
    <t>随军家属生活补</t>
  </si>
  <si>
    <t>精准扶贫</t>
  </si>
  <si>
    <t>儿童、老年福利</t>
  </si>
  <si>
    <t>殡葬公共服务均等化</t>
  </si>
  <si>
    <t>教育义教、特殊教育公用经费</t>
  </si>
  <si>
    <t>中职、高中助学金免费学</t>
  </si>
  <si>
    <t>教师绩效工资</t>
  </si>
  <si>
    <t>基本、重大公共卫生</t>
  </si>
  <si>
    <t>三屿围海堤达标加固工程、濠江区洲角闸应急强排站新建工程、汕头市后江湾海堤修复加固工程</t>
  </si>
  <si>
    <t>赤脚医生生活补</t>
  </si>
  <si>
    <t>计生对象奖励和商业保险等计生专项</t>
  </si>
  <si>
    <t>高龄老人政府津贴、百岁老人保健金及“银龄安康”行动60周岁以上老人保险费等</t>
  </si>
  <si>
    <t>严重精神病监护补助</t>
  </si>
  <si>
    <t>“平安濠江”视频监控系统专项</t>
  </si>
  <si>
    <t>基层组织建设</t>
  </si>
  <si>
    <t>小计</t>
  </si>
  <si>
    <t>增值税和消费税税收返还收入</t>
  </si>
  <si>
    <t>增值税五五分成税收返还收入</t>
  </si>
  <si>
    <t>所得税基数返还收入</t>
  </si>
  <si>
    <t>其他一般性转移支付收入（下划机构经费）</t>
  </si>
  <si>
    <t>其他一般性转移支付收入（监察体制改革划转基数）</t>
  </si>
  <si>
    <t>其他一般性转移支付收入（缓解县乡财政困难综合性财力补助）</t>
  </si>
  <si>
    <t>其他一般性转移支付收入（农业转移人口市民化奖励资金）</t>
  </si>
  <si>
    <t>其他一般性转移支付收入（生态保护区财政补偿转移支付资金）</t>
  </si>
  <si>
    <t>其他税收返还收入</t>
  </si>
  <si>
    <t>2019年度“天际电器项目”专项补助</t>
  </si>
  <si>
    <t>体制补助收入</t>
  </si>
  <si>
    <t>调整工资转移支付补助收入</t>
  </si>
  <si>
    <t>农村税费改革补助收入</t>
  </si>
  <si>
    <t>市体制确定返还濠江不足2017-2019年3年共享收入平均数的基数</t>
  </si>
  <si>
    <t>县级基本财力保障机制奖补资金收入</t>
  </si>
  <si>
    <t>特殊转移支付资金收入</t>
  </si>
  <si>
    <t>均衡性补助收入</t>
  </si>
  <si>
    <t>调增</t>
  </si>
  <si>
    <t>调减</t>
  </si>
  <si>
    <t>说明：根据《广东省人民政府办公厅关于印发广东省财政一般性转移支付资金管理办法的通知》（粤府办【2014】31号）要求编制。</t>
  </si>
  <si>
    <t>附表5</t>
  </si>
  <si>
    <t>汕头市濠江区2020年政府性基金预算收入计划调整表</t>
  </si>
  <si>
    <t>增减变动</t>
  </si>
  <si>
    <t>比增 %</t>
  </si>
  <si>
    <t xml:space="preserve">    1、地方森林植被恢复费</t>
  </si>
  <si>
    <t xml:space="preserve">    2、公共租赁住房租金收入</t>
  </si>
  <si>
    <t>一、非税收入</t>
  </si>
  <si>
    <t xml:space="preserve">    1、国有土地收益基金收入</t>
  </si>
  <si>
    <t xml:space="preserve">    2、农业土地开发资金收入</t>
  </si>
  <si>
    <t xml:space="preserve">    3、土地出让价款收入</t>
  </si>
  <si>
    <t xml:space="preserve">    4、其他土地出让收入</t>
  </si>
  <si>
    <t xml:space="preserve">    5、补缴的土地价款</t>
  </si>
  <si>
    <t xml:space="preserve">    6、划拨土地收入</t>
  </si>
  <si>
    <t xml:space="preserve">    9、教育资金收入</t>
  </si>
  <si>
    <t xml:space="preserve">    10、农田水利建设资金收入</t>
  </si>
  <si>
    <t xml:space="preserve">    7、缴纳新增建设用地土地有偿使用费</t>
  </si>
  <si>
    <t xml:space="preserve">    8、福利彩票公益金收入</t>
  </si>
  <si>
    <t xml:space="preserve">    9、城市基础设施配套费收入</t>
  </si>
  <si>
    <t>二.转移性收入</t>
  </si>
  <si>
    <t xml:space="preserve">   1、上级专项性补助收入</t>
  </si>
  <si>
    <t xml:space="preserve">   2、上年结余收入</t>
  </si>
  <si>
    <t xml:space="preserve">   3、上级债券收入</t>
  </si>
  <si>
    <t xml:space="preserve">   4.调入资金</t>
  </si>
  <si>
    <t>附表6</t>
  </si>
  <si>
    <t>2020年政府性基金预算调整收入情况表</t>
  </si>
  <si>
    <t>序号</t>
  </si>
  <si>
    <t>负责单位</t>
  </si>
  <si>
    <t>用地性质/项目</t>
  </si>
  <si>
    <t>用地位置</t>
  </si>
  <si>
    <t>面积（亩）</t>
  </si>
  <si>
    <t>第三次预算  调整数</t>
  </si>
  <si>
    <t>出让方式</t>
  </si>
  <si>
    <t>新城办          土储中心</t>
  </si>
  <si>
    <t>二类住宅用地                 （统征地）</t>
  </si>
  <si>
    <t>中信滨海南滨片区
02-05-03地块</t>
  </si>
  <si>
    <t>挂牌</t>
  </si>
  <si>
    <t>二类住宅用地              （统征地）</t>
  </si>
  <si>
    <t>南滨片区
03-01-11</t>
  </si>
  <si>
    <t>二类住宅用地             （非统征地）</t>
  </si>
  <si>
    <t>南滨片区
04-04-04</t>
  </si>
  <si>
    <t>商业用地                 （统征地）</t>
  </si>
  <si>
    <t>南滨片区
02-04-01</t>
  </si>
  <si>
    <t>商业用地                （统征地）</t>
  </si>
  <si>
    <t>南滨片区
02-04-11</t>
  </si>
  <si>
    <t>中信项目小计</t>
  </si>
  <si>
    <t>土储中心</t>
  </si>
  <si>
    <t>住宅用地                 （正集源投资公司）</t>
  </si>
  <si>
    <t>青云山庄居住片区
B-5-06地块</t>
  </si>
  <si>
    <t>土储中心
招商局</t>
  </si>
  <si>
    <t>住宅用地</t>
  </si>
  <si>
    <t>濠江区茂洲
A15\B04地块</t>
  </si>
  <si>
    <t>商住用地</t>
  </si>
  <si>
    <t>渔港B-02地块</t>
  </si>
  <si>
    <t>渔港B-03地块</t>
  </si>
  <si>
    <t>350高铁配套圈</t>
  </si>
  <si>
    <t>汕头市河浦产业转移工业园内（联兴公司）</t>
  </si>
  <si>
    <t>河浦工业片区范围内</t>
  </si>
  <si>
    <t>物流仓储用地</t>
  </si>
  <si>
    <t>广澳物流园
B02地块东北侧</t>
  </si>
  <si>
    <t>广澳物流园
B03地块西北侧</t>
  </si>
  <si>
    <t>交通枢纽用地</t>
  </si>
  <si>
    <t>磊口至过溪洋片区
B-03-05地块</t>
  </si>
  <si>
    <t>工业用地</t>
  </si>
  <si>
    <t>汕头市广澳物流园
B02地块西南侧</t>
  </si>
  <si>
    <t>供电用地</t>
  </si>
  <si>
    <t>广澳物流园
F01-01地块内</t>
  </si>
  <si>
    <t>招商局        南山湾办</t>
  </si>
  <si>
    <t>工矿仓储用地</t>
  </si>
  <si>
    <t>河浦中心工业区
A04-03地块</t>
  </si>
  <si>
    <t>青云山庄居住片区
B-5-06地块其他收入</t>
  </si>
  <si>
    <t>其他</t>
  </si>
  <si>
    <t>利息收入</t>
  </si>
  <si>
    <t>其他补缴土地收入</t>
  </si>
  <si>
    <t>寰宇天下花园四期一区项目</t>
  </si>
  <si>
    <t>补缴</t>
  </si>
  <si>
    <t>广东联泰房地产有限公司</t>
  </si>
  <si>
    <t>广澳物流园污水处理厂一期工程南侧</t>
  </si>
  <si>
    <t>其他零星项目</t>
  </si>
  <si>
    <t>补缴/划拨</t>
  </si>
  <si>
    <t>代编</t>
  </si>
  <si>
    <t>上缴新增建设用地有偿使用费及有关资金</t>
  </si>
  <si>
    <t>土地基金区内项目小计</t>
  </si>
  <si>
    <t>一、土地基金合计</t>
  </si>
  <si>
    <t>二、城市基础设施配套费收入</t>
  </si>
  <si>
    <t>三、福彩公益金收入</t>
  </si>
  <si>
    <t>2020年度政府性基金收入合计</t>
  </si>
  <si>
    <t>其中：本级项目收入（不含中信项目）</t>
  </si>
  <si>
    <t>附表7</t>
  </si>
  <si>
    <t>汕头市濠江区2020年政府性基金预算支出计划功能科目调整表</t>
  </si>
  <si>
    <t>科目  编码</t>
  </si>
  <si>
    <t>比增  %</t>
  </si>
  <si>
    <t>本级支出</t>
  </si>
  <si>
    <t>上级支出</t>
  </si>
  <si>
    <t>政策性调整</t>
  </si>
  <si>
    <t>批增</t>
  </si>
  <si>
    <t>其他调整</t>
  </si>
  <si>
    <t>同类调剂</t>
  </si>
  <si>
    <t>跨类调剂</t>
  </si>
  <si>
    <t>205</t>
  </si>
  <si>
    <t>教育</t>
  </si>
  <si>
    <t>20510</t>
  </si>
  <si>
    <t xml:space="preserve">  地方教育附加安排的支出</t>
  </si>
  <si>
    <t>2051001</t>
  </si>
  <si>
    <t xml:space="preserve">    农村中小学校舍建设</t>
  </si>
  <si>
    <t>2051099</t>
  </si>
  <si>
    <t xml:space="preserve">    其他地方教育附加安排的支出</t>
  </si>
  <si>
    <t>207</t>
  </si>
  <si>
    <t>文化体育与传媒</t>
  </si>
  <si>
    <t>20707</t>
  </si>
  <si>
    <t xml:space="preserve">  国家电影事业发展专项资金及对应专项债务收入安排的支出</t>
  </si>
  <si>
    <t>2070799</t>
  </si>
  <si>
    <t xml:space="preserve">    其他国家电影事业发展专项资金支出</t>
  </si>
  <si>
    <t>20799</t>
  </si>
  <si>
    <t xml:space="preserve">  其他文化体育与传媒支出</t>
  </si>
  <si>
    <t xml:space="preserve">    文化事业建设费支出</t>
  </si>
  <si>
    <t>208</t>
  </si>
  <si>
    <t>社会保障和就业</t>
  </si>
  <si>
    <t>20811</t>
  </si>
  <si>
    <t xml:space="preserve">  残疾人事业</t>
  </si>
  <si>
    <t xml:space="preserve">    扶持农村残疾人生产</t>
  </si>
  <si>
    <t xml:space="preserve">    其他残疾人就业保障金支出</t>
  </si>
  <si>
    <t>20860</t>
  </si>
  <si>
    <t xml:space="preserve">  残疾人就业保障金支出</t>
  </si>
  <si>
    <t xml:space="preserve">     其他残疾人就业保障金支出</t>
  </si>
  <si>
    <t>212</t>
  </si>
  <si>
    <t>城乡社区事务</t>
  </si>
  <si>
    <t>21207</t>
  </si>
  <si>
    <t xml:space="preserve">  政府住房基金支出</t>
  </si>
  <si>
    <t xml:space="preserve">    公共租赁住房租金支出</t>
  </si>
  <si>
    <t>21208</t>
  </si>
  <si>
    <t xml:space="preserve">  国有土地使用权出让收入安排的支出</t>
  </si>
  <si>
    <r>
      <rPr>
        <sz val="10"/>
        <rFont val="Times New Roman"/>
        <charset val="134"/>
      </rPr>
      <t xml:space="preserve">         </t>
    </r>
    <r>
      <rPr>
        <sz val="10"/>
        <rFont val="宋体"/>
        <charset val="134"/>
      </rPr>
      <t>征地和拆迁补偿支出</t>
    </r>
  </si>
  <si>
    <r>
      <rPr>
        <sz val="10"/>
        <rFont val="Times New Roman"/>
        <charset val="134"/>
      </rPr>
      <t xml:space="preserve">         </t>
    </r>
    <r>
      <rPr>
        <sz val="10"/>
        <rFont val="宋体"/>
        <charset val="134"/>
      </rPr>
      <t>土地开发支出</t>
    </r>
  </si>
  <si>
    <t xml:space="preserve">    城市建设支出</t>
  </si>
  <si>
    <r>
      <rPr>
        <sz val="10"/>
        <rFont val="Times New Roman"/>
        <charset val="134"/>
      </rPr>
      <t xml:space="preserve">         </t>
    </r>
    <r>
      <rPr>
        <sz val="10"/>
        <rFont val="宋体"/>
        <charset val="134"/>
      </rPr>
      <t>农村基础设施建设支出</t>
    </r>
  </si>
  <si>
    <t xml:space="preserve">    补助被征地农民支出</t>
  </si>
  <si>
    <r>
      <rPr>
        <sz val="10"/>
        <rFont val="Times New Roman"/>
        <charset val="134"/>
      </rPr>
      <t xml:space="preserve">         </t>
    </r>
    <r>
      <rPr>
        <sz val="10"/>
        <rFont val="宋体"/>
        <charset val="134"/>
      </rPr>
      <t>土地出让业务支出</t>
    </r>
  </si>
  <si>
    <r>
      <rPr>
        <sz val="10"/>
        <rFont val="Times New Roman"/>
        <charset val="134"/>
      </rPr>
      <t xml:space="preserve">          </t>
    </r>
    <r>
      <rPr>
        <sz val="10"/>
        <rFont val="宋体"/>
        <charset val="134"/>
      </rPr>
      <t>廉租住房支出</t>
    </r>
  </si>
  <si>
    <t xml:space="preserve">    教育资金安排的支出</t>
  </si>
  <si>
    <t>2120809</t>
  </si>
  <si>
    <t xml:space="preserve">    支付破产或改制企业职工安置费</t>
  </si>
  <si>
    <t xml:space="preserve">    公共租赁住房支出</t>
  </si>
  <si>
    <t xml:space="preserve">    农田水利建设资金安排的支出</t>
  </si>
  <si>
    <t xml:space="preserve">    其他国有土地使用权出让收入安排的支出</t>
  </si>
  <si>
    <t>21209</t>
  </si>
  <si>
    <t xml:space="preserve">  城市公用事业附加安排的支出</t>
  </si>
  <si>
    <t>2120901</t>
  </si>
  <si>
    <t xml:space="preserve">    城市公共设施</t>
  </si>
  <si>
    <t>2120902</t>
  </si>
  <si>
    <t xml:space="preserve">    城市环境卫生（城市公用事业附加安排的支出）</t>
  </si>
  <si>
    <t xml:space="preserve">    其他城市公用事业附加安排的支出</t>
  </si>
  <si>
    <t>21210</t>
  </si>
  <si>
    <t xml:space="preserve">  国有土地收益基金支出</t>
  </si>
  <si>
    <t xml:space="preserve">    征地和拆迁补偿支出</t>
  </si>
  <si>
    <t xml:space="preserve">    土地开发支出</t>
  </si>
  <si>
    <t xml:space="preserve">    其他国有土地收益基金支出</t>
  </si>
  <si>
    <t>21211</t>
  </si>
  <si>
    <t xml:space="preserve">  农业土地开发资金支出</t>
  </si>
  <si>
    <t>21212</t>
  </si>
  <si>
    <t xml:space="preserve">  新增建设用地土地有偿使用费安排的支出</t>
  </si>
  <si>
    <t xml:space="preserve">    基本农田建设和保护支出</t>
  </si>
  <si>
    <t xml:space="preserve">    土地整理支出</t>
  </si>
  <si>
    <t>21213</t>
  </si>
  <si>
    <t xml:space="preserve">  城市基础设施配套费安排的支出</t>
  </si>
  <si>
    <t>2121301</t>
  </si>
  <si>
    <t>2121302</t>
  </si>
  <si>
    <t xml:space="preserve">    城市环境卫生</t>
  </si>
  <si>
    <t xml:space="preserve">    其他城市基础设施配套费安排的支出</t>
  </si>
  <si>
    <t>213</t>
  </si>
  <si>
    <t>农林水事务</t>
  </si>
  <si>
    <t>21362</t>
  </si>
  <si>
    <t xml:space="preserve">  森林植被恢复费安排的支出</t>
  </si>
  <si>
    <t xml:space="preserve">    森林培育</t>
  </si>
  <si>
    <t xml:space="preserve">    其他森林植被恢复费安排的支出</t>
  </si>
  <si>
    <t>21364</t>
  </si>
  <si>
    <t xml:space="preserve">  地方水利建设基金支出</t>
  </si>
  <si>
    <t xml:space="preserve">    其他地方水利建设基金支出</t>
  </si>
  <si>
    <t>21370</t>
  </si>
  <si>
    <t xml:space="preserve">  水土保持补偿费安排的支出</t>
  </si>
  <si>
    <t>2137003</t>
  </si>
  <si>
    <t xml:space="preserve">    其他水土保持补偿费安排的支出</t>
  </si>
  <si>
    <t>21399</t>
  </si>
  <si>
    <t>214</t>
  </si>
  <si>
    <t>交通运输</t>
  </si>
  <si>
    <t>21401</t>
  </si>
  <si>
    <t xml:space="preserve">  公路水路运输</t>
  </si>
  <si>
    <t xml:space="preserve">    船舶港务费安排的支出</t>
  </si>
  <si>
    <t>21462</t>
  </si>
  <si>
    <t xml:space="preserve">  车辆通行费安排支出</t>
  </si>
  <si>
    <t>2146299</t>
  </si>
  <si>
    <t xml:space="preserve">    其他车辆通行费安排的支出</t>
  </si>
  <si>
    <t>215</t>
  </si>
  <si>
    <t>资源勘探信息等支出</t>
  </si>
  <si>
    <t>21560</t>
  </si>
  <si>
    <t xml:space="preserve">  散装水泥专项资金及对应专项债务收入安排的支出</t>
  </si>
  <si>
    <t>2156099</t>
  </si>
  <si>
    <t xml:space="preserve">    散装水泥专项资金安排的支出</t>
  </si>
  <si>
    <t>21561</t>
  </si>
  <si>
    <t xml:space="preserve">  新型墙体材料专项基金及对应专项债务收入安排的支出</t>
  </si>
  <si>
    <t>2156199</t>
  </si>
  <si>
    <t xml:space="preserve">    新型墙体材料专项基金安排的支出</t>
  </si>
  <si>
    <t>216</t>
  </si>
  <si>
    <t>21660</t>
  </si>
  <si>
    <t xml:space="preserve">  旅游发展基金支出</t>
  </si>
  <si>
    <t>2166004</t>
  </si>
  <si>
    <t xml:space="preserve">    地方旅游开发项目补助</t>
  </si>
  <si>
    <t>229</t>
  </si>
  <si>
    <t>22904</t>
  </si>
  <si>
    <t xml:space="preserve"> 其他政府性基金及对应专项收入安排的支出</t>
  </si>
  <si>
    <t>2290402</t>
  </si>
  <si>
    <t xml:space="preserve">   其他地方自行试点项目收益专项债券收入安排的支出</t>
  </si>
  <si>
    <t>22960</t>
  </si>
  <si>
    <r>
      <rPr>
        <sz val="10"/>
        <rFont val="Times New Roman"/>
        <charset val="134"/>
      </rPr>
      <t xml:space="preserve">     </t>
    </r>
    <r>
      <rPr>
        <sz val="10"/>
        <rFont val="宋体"/>
        <charset val="134"/>
      </rPr>
      <t>彩票公益金安排的支出</t>
    </r>
  </si>
  <si>
    <t>2296001</t>
  </si>
  <si>
    <r>
      <rPr>
        <sz val="10"/>
        <rFont val="Times New Roman"/>
        <charset val="134"/>
      </rPr>
      <t xml:space="preserve">         </t>
    </r>
    <r>
      <rPr>
        <sz val="10"/>
        <rFont val="宋体"/>
        <charset val="134"/>
      </rPr>
      <t>用于补充全国社会保障基金的彩票公益金支出</t>
    </r>
  </si>
  <si>
    <t>2296002</t>
  </si>
  <si>
    <t xml:space="preserve">        用于社会福利的彩票公益金支出</t>
  </si>
  <si>
    <t>2296003</t>
  </si>
  <si>
    <t xml:space="preserve">        用于体育事业的彩票公益金支出</t>
  </si>
  <si>
    <t>2296004</t>
  </si>
  <si>
    <t xml:space="preserve">        用于教育事业的彩票公益金支出</t>
  </si>
  <si>
    <t>2296006</t>
  </si>
  <si>
    <t xml:space="preserve">        用于残疾人事务的彩票公益金支出</t>
  </si>
  <si>
    <t>2296007</t>
  </si>
  <si>
    <t xml:space="preserve">        用于城市医疗救助的彩票公益金支出 </t>
  </si>
  <si>
    <t>2296008</t>
  </si>
  <si>
    <t xml:space="preserve">        用于农村医疗救助的彩票公益金支出 </t>
  </si>
  <si>
    <t>2296010</t>
  </si>
  <si>
    <t xml:space="preserve">        用于文化事业的彩票公益金支出 </t>
  </si>
  <si>
    <t>2296013</t>
  </si>
  <si>
    <t xml:space="preserve">        用于城乡医疗救助的彩票公益金支出 </t>
  </si>
  <si>
    <t>2296099</t>
  </si>
  <si>
    <t xml:space="preserve">        用于其他社会公益事业的彩票公益金支出</t>
  </si>
  <si>
    <t>230</t>
  </si>
  <si>
    <t>23004</t>
  </si>
  <si>
    <t xml:space="preserve">  政府性基金转移支付</t>
  </si>
  <si>
    <r>
      <rPr>
        <sz val="10"/>
        <rFont val="宋体"/>
        <charset val="134"/>
      </rPr>
      <t xml:space="preserve"> </t>
    </r>
    <r>
      <rPr>
        <sz val="10"/>
        <rFont val="宋体"/>
        <charset val="134"/>
      </rPr>
      <t xml:space="preserve">   </t>
    </r>
    <r>
      <rPr>
        <sz val="10"/>
        <rFont val="宋体"/>
        <charset val="134"/>
      </rPr>
      <t>政府性基金补助支出</t>
    </r>
  </si>
  <si>
    <t xml:space="preserve">    上解支出</t>
  </si>
  <si>
    <t>23008</t>
  </si>
  <si>
    <t xml:space="preserve">  调出资金</t>
  </si>
  <si>
    <t>23009</t>
  </si>
  <si>
    <t xml:space="preserve">  年终结余</t>
  </si>
  <si>
    <t>232</t>
  </si>
  <si>
    <t>23204</t>
  </si>
  <si>
    <t xml:space="preserve">  地方政府专项债务付息支出</t>
  </si>
  <si>
    <t>2320411</t>
  </si>
  <si>
    <t xml:space="preserve">    国有土地使用权出让金债务付息支出</t>
  </si>
  <si>
    <t>2320431</t>
  </si>
  <si>
    <t xml:space="preserve">    土地储备专项债券付息支出</t>
  </si>
  <si>
    <t>2320498</t>
  </si>
  <si>
    <t xml:space="preserve">    其他地方自行试点项目收益专项债券付息支出</t>
  </si>
  <si>
    <t>233</t>
  </si>
  <si>
    <t>23304</t>
  </si>
  <si>
    <t xml:space="preserve">  地方政府专项债务发行费用支出</t>
  </si>
  <si>
    <t>2330411</t>
  </si>
  <si>
    <t xml:space="preserve">    国有土地使用权出让金债务发行费用支出</t>
  </si>
  <si>
    <t>2330431</t>
  </si>
  <si>
    <t xml:space="preserve">    土地储备专项债券发行费用支出</t>
  </si>
  <si>
    <t>2330498</t>
  </si>
  <si>
    <t xml:space="preserve">    其他地方自行试点项目收益专项债券发行费用支出</t>
  </si>
  <si>
    <t>234</t>
  </si>
  <si>
    <t>抗疫特别国债安排的支出</t>
  </si>
  <si>
    <t>23401</t>
  </si>
  <si>
    <t>基础设施建设</t>
  </si>
  <si>
    <t>2340101</t>
  </si>
  <si>
    <t>公共卫生体系建设</t>
  </si>
  <si>
    <t>2340199</t>
  </si>
  <si>
    <t>其他基础设施建设</t>
  </si>
  <si>
    <t>23402</t>
  </si>
  <si>
    <t>抗疫相关支出</t>
  </si>
  <si>
    <t>2340299</t>
  </si>
  <si>
    <t>其他抗疫相关支出</t>
  </si>
  <si>
    <t>基金预算支出合计</t>
  </si>
  <si>
    <t>附表8</t>
  </si>
  <si>
    <t>汕头市濠江区2020年本级政府性基金支出项目调整表</t>
  </si>
  <si>
    <t/>
  </si>
  <si>
    <t>归口股室名称</t>
  </si>
  <si>
    <t>预算单位名称</t>
  </si>
  <si>
    <t>项目名称</t>
  </si>
  <si>
    <t>第三次
预算调整数</t>
  </si>
  <si>
    <t>项目分类</t>
  </si>
  <si>
    <t>资金来源</t>
  </si>
  <si>
    <t>功能科目</t>
  </si>
  <si>
    <t>综合股
（土地基金）</t>
  </si>
  <si>
    <t>区土地储备中心</t>
  </si>
  <si>
    <t>中信南滨片区统征地项目土地开发专项费用</t>
  </si>
  <si>
    <t>中信新城</t>
  </si>
  <si>
    <t>土地基金</t>
  </si>
  <si>
    <t>中信南滨片区统征地项目土地开发专项资金</t>
  </si>
  <si>
    <t>2120802、2121002</t>
  </si>
  <si>
    <t>河浦医院二期征地项目</t>
  </si>
  <si>
    <t>征地收储</t>
  </si>
  <si>
    <t>河浦中心区交通设施用地（河浦客运站）收储项目</t>
  </si>
  <si>
    <t>一次性补偿款10% 2.0856万元，街道协调费1.433万元，河南社区清障奖励7.43145万元。</t>
  </si>
  <si>
    <t>河浦粮库用地平整项目</t>
  </si>
  <si>
    <t>仍需平整工程相关费用共57.163564万元，其中：监理费70%1.25664万元；剩余90%进度款54.732846万元；文明措施费50% 1.174078万元。</t>
  </si>
  <si>
    <t>滨海工业区征地项目</t>
  </si>
  <si>
    <t>马滘工业园区生活配套区基础设施工程项目（二期平整）</t>
  </si>
  <si>
    <t>500万元为1-9月份工程进度款，10-12月份工程进度款纳入2021年预算草案。</t>
  </si>
  <si>
    <t>茂州片区A-04-02与玉新街道北片区A-7-02土地整理开发工程</t>
  </si>
  <si>
    <t>工程进度款386.10445万元，工程12月份进度款280万元监理费用10.9136万元，缴纳城市基础设施配套费68.0748万元。单位已申请386.104446万，暂未拨付。</t>
  </si>
  <si>
    <t>350高铁汕头南站配套用地项目</t>
  </si>
  <si>
    <t>仍需1、征地预存款4979.436万元；2、失地农民养老保障金399.6万元。单位已申请5379.036万，暂未拨付。</t>
  </si>
  <si>
    <t>河浦医院二期平整项目</t>
  </si>
  <si>
    <t>马滘工业园区生活配套区基础设施工程项目二期横一路征收项目</t>
  </si>
  <si>
    <t>2120801、2120805</t>
  </si>
  <si>
    <t>达濠渔港一期平整项目</t>
  </si>
  <si>
    <t>单位已申请575.340383万，暂未拨付。</t>
  </si>
  <si>
    <t>区工业和信息化局</t>
  </si>
  <si>
    <t>青洲盐场土地收储工作协调经费</t>
  </si>
  <si>
    <t>单位已申请92万，暂未拨付。</t>
  </si>
  <si>
    <t>区供销社</t>
  </si>
  <si>
    <t>濠江区肉食品安全生产基地平整费</t>
  </si>
  <si>
    <t>南山湾办</t>
  </si>
  <si>
    <t>河浦街道河南社区尖山洋段用地征地补偿款</t>
  </si>
  <si>
    <t>园区建设用地土地征收实施方案耕地开垦费</t>
  </si>
  <si>
    <t>区自然资源局</t>
  </si>
  <si>
    <t>停车楼二期征地成本费用</t>
  </si>
  <si>
    <t>原达濠区东湖片区30亩闲置土地历史征地成本</t>
  </si>
  <si>
    <t>礐石街道办事处</t>
  </si>
  <si>
    <t>礐石大桥南岸片区及南滨基础设施改造</t>
  </si>
  <si>
    <t>三联工业区历史征地款及利息</t>
  </si>
  <si>
    <t>区农业农村和水务局</t>
  </si>
  <si>
    <t>渔港经济区综合运营项目</t>
  </si>
  <si>
    <t>河渡海岸边违建整改拆除专项行动经费</t>
  </si>
  <si>
    <t>区教育局</t>
  </si>
  <si>
    <t>征地应缴耕地开垦费</t>
  </si>
  <si>
    <t>预交水田储备指标收入</t>
  </si>
  <si>
    <t>礐石街道茂南经联社大头埔地段约4.5075亩集体用地</t>
  </si>
  <si>
    <t>濠江区2013年第四批次征收用地</t>
  </si>
  <si>
    <t>礐石派出所项目用地</t>
  </si>
  <si>
    <t>征地应缴耕地占用税</t>
  </si>
  <si>
    <t>广澳物流园E01地块</t>
  </si>
  <si>
    <t>清障工作奖励金5万元，工程结算款18.341228万元，监理费1.4357万元。单位已申请24.7769万，暂未拨付。</t>
  </si>
  <si>
    <t>2120801、2120802</t>
  </si>
  <si>
    <t>达濠客运站平整项目</t>
  </si>
  <si>
    <t>区发改局</t>
  </si>
  <si>
    <t>河浦粮所土地确权地价款</t>
  </si>
  <si>
    <t>单位已申请53.358万，暂未拨付。</t>
  </si>
  <si>
    <t>区房管所</t>
  </si>
  <si>
    <t>保障性住房储备用地用地款</t>
  </si>
  <si>
    <t>国资股</t>
  </si>
  <si>
    <t>区住房和城乡建设局</t>
  </si>
  <si>
    <t>茂洲片区新型城镇化综合开发PPP项目征地</t>
  </si>
  <si>
    <t>汕濠办文【2020】Z3-2115号</t>
  </si>
  <si>
    <t>濠江区虎头山隧道及南延工程耕地占用税</t>
  </si>
  <si>
    <t>濠江区虎头山隧道及南延工程清障补偿费用</t>
  </si>
  <si>
    <t>濠江区虎头山隧道及南延工程项目购买水田储备指标</t>
  </si>
  <si>
    <t>社保股</t>
  </si>
  <si>
    <t>区人社局</t>
  </si>
  <si>
    <t>被征地农民养老保障金</t>
  </si>
  <si>
    <t>征地收储小计</t>
  </si>
  <si>
    <t>汕头市台商投资区（濠江片）道路及市政配套工程</t>
  </si>
  <si>
    <t>单位已申请27.979349万，暂未拨付。</t>
  </si>
  <si>
    <t>园区投入</t>
  </si>
  <si>
    <t>台商投资区台纵二路、台横三路土建及配套工程</t>
  </si>
  <si>
    <t>工贸股</t>
  </si>
  <si>
    <t>偿还南山湾产业园（一期）及连接主干道工程项目贷款</t>
  </si>
  <si>
    <t>南山湾产业园（一期）及连接主干道工程项目2020年第一、二季度贷款利息</t>
  </si>
  <si>
    <t>河浦大道改造工程、安海路一期工程缴纳城市基础设施配套费</t>
  </si>
  <si>
    <t>南山湾产业园（一期）及连接主干道工程项目及人行天桥工程进度欠款</t>
  </si>
  <si>
    <t>达南路西侧南山湾产业公园配套工程项目</t>
  </si>
  <si>
    <t>疏港大道10kv澳柏线电力通道</t>
  </si>
  <si>
    <t>单位已申请本年预算剩余额度1.47万，暂未拨付。</t>
  </si>
  <si>
    <t>澳旺路、同盛路、三寮路道路建设</t>
  </si>
  <si>
    <t>滨海工业区道路建设项目</t>
  </si>
  <si>
    <t>单位已申请41.542193万，暂未拨付。</t>
  </si>
  <si>
    <t>滨海工业区电力通道</t>
  </si>
  <si>
    <t>单位已申请4.88429万，暂未拨付。</t>
  </si>
  <si>
    <t>广澳物流园电力通道</t>
  </si>
  <si>
    <t>单位已申请11.909476万，暂未拨付。</t>
  </si>
  <si>
    <t>滨海工业区经二路</t>
  </si>
  <si>
    <t>单位已申请9.368759万，暂未拨付。</t>
  </si>
  <si>
    <t>园区投入小计</t>
  </si>
  <si>
    <t>广澳街道办事处</t>
  </si>
  <si>
    <t>开放公园建设</t>
  </si>
  <si>
    <t>基建</t>
  </si>
  <si>
    <t>2120801、2120803</t>
  </si>
  <si>
    <t>礐石片区山体亮化二期工程</t>
  </si>
  <si>
    <t>综合股</t>
  </si>
  <si>
    <t>区残疾人联合会</t>
  </si>
  <si>
    <t>残疾人康复中心建设资金</t>
  </si>
  <si>
    <t>疏港大道、安海路、河中路人行道及港湾式公交站周边标识线</t>
  </si>
  <si>
    <t>濠江区磊广路（华侨中学处）人行天桥国防光缆加固维护迁改经费</t>
  </si>
  <si>
    <t>濠江区磊广路珠浦人行天桥国防光缆加护维护迁改工程费用</t>
  </si>
  <si>
    <t>经建股</t>
  </si>
  <si>
    <t>区发展和改革局</t>
  </si>
  <si>
    <t>概算审查工作经费</t>
  </si>
  <si>
    <t>12月申请48.79万，未下达。</t>
  </si>
  <si>
    <t>应急救灾物资储备仓库修缮经费</t>
  </si>
  <si>
    <t>区文化广电旅游体育局</t>
  </si>
  <si>
    <t>区图书馆搬迁修缮工程包干经费</t>
  </si>
  <si>
    <t>综合文化中心建设工程项目质量保证金</t>
  </si>
  <si>
    <t>濠江区博物馆装装饰装修工程</t>
  </si>
  <si>
    <t>区综合文化活动中心建设项目夹胶钢化玻璃屋面及新建冲孔板外墙装饰面工程资金</t>
  </si>
  <si>
    <t>区人民政府办公室</t>
  </si>
  <si>
    <t>区政府大院各办公楼及附属楼零星修缮项目</t>
  </si>
  <si>
    <t>达濠国家一级渔港建设项目</t>
  </si>
  <si>
    <t>双泉公园改造（一期）及体育馆建设项目</t>
  </si>
  <si>
    <t>汕头市濠江区2019年“四好农村路”建设工程项目</t>
  </si>
  <si>
    <t>广达大道、达南路、安海路、河浦大道、南滨西段等公交站亭和站牌配套建设</t>
  </si>
  <si>
    <t>冠炜冷链物流生态圈产业园区间道路配套建设</t>
  </si>
  <si>
    <t>购买抽检区内房屋市政工程在建项目建材质量检测服务经费</t>
  </si>
  <si>
    <t>区代建中心、运营中心办公场所修缮改造项目</t>
  </si>
  <si>
    <t>建设项目印花税</t>
  </si>
  <si>
    <t>珠浦医院</t>
  </si>
  <si>
    <t>珠浦医院预防接种门诊标准化改造和污水处理系统建设包干经费</t>
  </si>
  <si>
    <t>区人民医院</t>
  </si>
  <si>
    <t>新住院楼配电扩容工程增项</t>
  </si>
  <si>
    <t>11月申请90.05万，未下达。</t>
  </si>
  <si>
    <t>达濠街道办事处</t>
  </si>
  <si>
    <t>汕头市濠江区沿江路改造升级工程</t>
  </si>
  <si>
    <t>已申请537.25万，未下达。</t>
  </si>
  <si>
    <t>会汀港排洪渠污水整治及生态修复工程</t>
  </si>
  <si>
    <t>汕头市英国领事署旧址修缮工程</t>
  </si>
  <si>
    <t>11月申请3.54万，未下达。</t>
  </si>
  <si>
    <t>区委政法委员会</t>
  </si>
  <si>
    <t>政法信息网工程建设经费</t>
  </si>
  <si>
    <t>濠江区残疾人联合会办公用房修缮项目</t>
  </si>
  <si>
    <t>区卫生健康局</t>
  </si>
  <si>
    <t>濠江区妇幼保健院门诊部建设项目</t>
  </si>
  <si>
    <t>区卫生健康局办公场地改建经费</t>
  </si>
  <si>
    <t>区应急管理局</t>
  </si>
  <si>
    <t>区应急管理局办公场地维修改造经费</t>
  </si>
  <si>
    <t>区市场监督管理局</t>
  </si>
  <si>
    <t>食品药品快筛快检实验室易址建设经费</t>
  </si>
  <si>
    <t>达濠渔港一期周边道路建设</t>
  </si>
  <si>
    <t>区城市管理和综合执法局</t>
  </si>
  <si>
    <t>区劳资纠纷应急指挥（处置）中心重建经费</t>
  </si>
  <si>
    <t>区代建中心</t>
  </si>
  <si>
    <t>汕头市濠江区亚青会基础设施及场馆改造项目（广达大道改造工程）</t>
  </si>
  <si>
    <t>汕头市濠江区亚青会基础设施及场馆改造项目（双泉公园体育馆建设提升改造项目）</t>
  </si>
  <si>
    <t>12月份申请400万元（请款函），未下达。</t>
  </si>
  <si>
    <t>汕头市濠江区亚青会基础设施及场馆改造项目（华南师范大学附属濠江实验学校9#体艺馆提升改造项目）</t>
  </si>
  <si>
    <t>区红十字会</t>
  </si>
  <si>
    <t>区红十字会新迁办公及业务用房维修改造</t>
  </si>
  <si>
    <t>农业股</t>
  </si>
  <si>
    <t>汕头市濠江区城乡雨污分流升级改造项目</t>
  </si>
  <si>
    <t>基建小计</t>
  </si>
  <si>
    <t>区行政服务中心管理办公室</t>
  </si>
  <si>
    <t>购置业务用房经费</t>
  </si>
  <si>
    <t>国有资产投入</t>
  </si>
  <si>
    <t>区人民医院改扩建工程</t>
  </si>
  <si>
    <t>汕头市达濠华侨中学学生宿舍楼及配套建设项目</t>
  </si>
  <si>
    <t>区建设管理和环保局</t>
  </si>
  <si>
    <t>三路一桥</t>
  </si>
  <si>
    <t>茂洲片区新型城镇化综合开发PPP项目股权投资</t>
  </si>
  <si>
    <t>党建中心基建及采购固定资产</t>
  </si>
  <si>
    <t>新办公楼搬迁修缮</t>
  </si>
  <si>
    <t>尚有5%尾款未结清。</t>
  </si>
  <si>
    <t>汕头市濠江区智慧型机械式公共停车楼PPP项目绩效服务费（政府性基金）</t>
  </si>
  <si>
    <t>濠江区五南沟片区内涝整治工程政府购买服务资金</t>
  </si>
  <si>
    <t>一路一桥</t>
  </si>
  <si>
    <t>各街道、财政局（代编）</t>
  </si>
  <si>
    <t>人居环境</t>
  </si>
  <si>
    <t>全区污水管网完善建设项目</t>
  </si>
  <si>
    <t>国有资产投入小计</t>
  </si>
  <si>
    <t>土储购买服务经费支出</t>
  </si>
  <si>
    <t>单位已申请7万，暂未拨付。</t>
  </si>
  <si>
    <t>土地储备业务费补充土储人员与基本经费</t>
  </si>
  <si>
    <t>土地储备项目前期经费支出</t>
  </si>
  <si>
    <t>评估、登报、围网标识、测量及围护等费用。单位已申请57.284797万，暂未拨付。</t>
  </si>
  <si>
    <t>后勤管理服务支出</t>
  </si>
  <si>
    <t>其他土地储备业务经费支出</t>
  </si>
  <si>
    <t>单位已申请0.9792万，暂未拨付。</t>
  </si>
  <si>
    <t>缴纳收购合同印花税</t>
  </si>
  <si>
    <t>农村地籍调查项目</t>
  </si>
  <si>
    <t>第三次全国土地调查</t>
  </si>
  <si>
    <t>汕头市濠江区“房地一体”农村宅基地和集体建设用地确权登记发证</t>
  </si>
  <si>
    <t>年度土地变更调查</t>
  </si>
  <si>
    <t>不动产登记业务经费</t>
  </si>
  <si>
    <t>不动产登记档案管理</t>
  </si>
  <si>
    <t>土地挂牌出让业务费用</t>
  </si>
  <si>
    <t>国有土地资源资产量核算试点项目费用</t>
  </si>
  <si>
    <t>推进工业园区低效产业用地再利用项目费用</t>
  </si>
  <si>
    <t>推进街道辖区低效产业用地再利用项目费用</t>
  </si>
  <si>
    <t>汕头市濠江区永久基本农田调整方案（2020-2030年）编制工作</t>
  </si>
  <si>
    <t>基本农田保护经济补偿区级补助资金</t>
  </si>
  <si>
    <t>濠江区各年度水田耕作层剥离再利用年度实施方案编制工作</t>
  </si>
  <si>
    <t>垦造水田任务专项工作（耕地提质改造项目）</t>
  </si>
  <si>
    <t>汕头市濠江区农村建设用地拆旧复垦项目</t>
  </si>
  <si>
    <t>濠江区农村占用耕地建房摸排工作数据处理及外业核查服务</t>
  </si>
  <si>
    <t>执法监察经费</t>
  </si>
  <si>
    <t>机关公共管理事务支出</t>
  </si>
  <si>
    <t>国土管理业务工作专项购买服务</t>
  </si>
  <si>
    <t>其他业务工作委托业务费</t>
  </si>
  <si>
    <t>基层自然资源管理系统建设管理</t>
  </si>
  <si>
    <t>土地出让管理相关工作经费</t>
  </si>
  <si>
    <t>缴纳国有土地使用权出让合同印花税</t>
  </si>
  <si>
    <t>按照本年土地出让合同金额测算。</t>
  </si>
  <si>
    <t>土地评估费用</t>
  </si>
  <si>
    <t>汕头市濠江区不动产登记“双提升”及“互联网+登记”技术服务</t>
  </si>
  <si>
    <t>汕头市公共卫生医学中心项目土地利用总体规划预留规模落实方案和农保补划方案编制工作</t>
  </si>
  <si>
    <t>汕头市公共卫生医学中心项目占用水田耕作层剥离再利用方案编制工作</t>
  </si>
  <si>
    <t>汕头市濠江区土地利用总体规划（2010-2020年）预留规模落实方案（汕头至汕尾铁路配套用地及历史留用地）编制工作</t>
  </si>
  <si>
    <t>区房屋管理所</t>
  </si>
  <si>
    <t>住房保障工作经费</t>
  </si>
  <si>
    <t>11月申请10万，未下达。</t>
  </si>
  <si>
    <t>保障房物业管理费</t>
  </si>
  <si>
    <t>申请9-11月物业管理费5.925万，未下达。</t>
  </si>
  <si>
    <t>预留公共租赁住房支出</t>
  </si>
  <si>
    <t>77万调整为上缴市。</t>
  </si>
  <si>
    <t>上缴保障性安居工程闲置资金</t>
  </si>
  <si>
    <t>预算股</t>
  </si>
  <si>
    <t>农村保洁员工资待遇保障补助资金</t>
  </si>
  <si>
    <t>专项债券债券利息支出及手续费</t>
  </si>
  <si>
    <t>2320431、2320411、2320498</t>
  </si>
  <si>
    <t>债券发行费及手续费</t>
  </si>
  <si>
    <t>2330431、2330411、2330498</t>
  </si>
  <si>
    <t>其他小计</t>
  </si>
  <si>
    <t>预留国有资产投入经费</t>
  </si>
  <si>
    <t>预留建设前期及其他经费</t>
  </si>
  <si>
    <t>其中2000万元拨付项目：汕头市濠江区亚青会基础设施及场馆改造项目（广达大道改造工程）；96.03万元拨付项目：汕头市公安局濠江分局3号楼维修改造工程建设。</t>
  </si>
  <si>
    <t>预留土地收储平整资金</t>
  </si>
  <si>
    <t>预留土地基金相关项目资金小计</t>
  </si>
  <si>
    <t>汕头市国土空间总体规划濠江区发展规划大纲（2020—2035年）</t>
  </si>
  <si>
    <t>配套费</t>
  </si>
  <si>
    <t>汕头市濠江区HJ007、HJ011、HJ017、HJ022编制单元控制性详细规划（修编）</t>
  </si>
  <si>
    <t>汕头市濠江区七个街道国土空间总体规划</t>
  </si>
  <si>
    <t>中信滨海新城南滨片区控制性详细规划（红星村局部修编）终止费用</t>
  </si>
  <si>
    <t>汕头南综合交通枢纽道路集疏运规划</t>
  </si>
  <si>
    <t>汕头市滨海产业片区控制性详细规划</t>
  </si>
  <si>
    <t>乡村振兴濠江区各社区村庄规划项目</t>
  </si>
  <si>
    <t>中信滨海新城南滨片区控制性详细规划西片区（修编）</t>
  </si>
  <si>
    <t>开展上海电气风电设备运输涉及市政设施迁移及修复项目包干经费</t>
  </si>
  <si>
    <t>区市政设施管理所</t>
  </si>
  <si>
    <t>广澳港口至上海电气公司市政设施迁移及修复项目</t>
  </si>
  <si>
    <t>已申请，未下达。</t>
  </si>
  <si>
    <t>市政设施路灯电费</t>
  </si>
  <si>
    <t>市政设施购买服务管养费</t>
  </si>
  <si>
    <t>2019年4月至2020年6月代垫付园区路灯费</t>
  </si>
  <si>
    <t>区城管局</t>
  </si>
  <si>
    <t>市政设施购买服务管养经费</t>
  </si>
  <si>
    <t>排水设施管养及内涝布防抢险项目</t>
  </si>
  <si>
    <t>区环卫局</t>
  </si>
  <si>
    <t>全区主次干道清扫保洁采购项目经费</t>
  </si>
  <si>
    <t>新增主次干道（中标路段新移交）清扫保洁经费（河浦大道、河中路、安海路、达南路）</t>
  </si>
  <si>
    <t>马滘垃圾压缩站（新建）</t>
  </si>
  <si>
    <t>新增主次干道清扫保洁经费（达南路、河中路）</t>
  </si>
  <si>
    <t>南滨景观平台保洁项目经费</t>
  </si>
  <si>
    <t>河北社区A02-08地块水渠改向建设工程补助资金</t>
  </si>
  <si>
    <t>预留城市基础设施配套费</t>
  </si>
  <si>
    <t>区农农水局</t>
  </si>
  <si>
    <t>上级上年专项结转支出厕所革命</t>
  </si>
  <si>
    <t>二、城市基础设施配套费支出（市政路灯管养、保洁、规划编制项目）合计</t>
  </si>
  <si>
    <t>残疾人医疗康复救助基金区级配套</t>
  </si>
  <si>
    <t>彩票公益金</t>
  </si>
  <si>
    <t>区民政局</t>
  </si>
  <si>
    <t>养老服务体系项目（福利中心消防水池建设项目和地埕修缮项目）</t>
  </si>
  <si>
    <t>养老服务体系项目（福利中心消防改造工程项目）</t>
  </si>
  <si>
    <t>养老服务体系项目</t>
  </si>
  <si>
    <t>区医保局</t>
  </si>
  <si>
    <t>城乡医疗救助项目</t>
  </si>
  <si>
    <t>三、彩票公益金支出合计</t>
  </si>
  <si>
    <t>四、专项债券支出合计</t>
  </si>
  <si>
    <t>政府性基金支出合计</t>
  </si>
  <si>
    <t>调入公共财政预算统筹安排</t>
  </si>
  <si>
    <t>总   计</t>
  </si>
  <si>
    <t>其中：本级项目支出（不含中信项目）</t>
  </si>
  <si>
    <t>附表9</t>
  </si>
  <si>
    <t>2020年收回存量资金及安排表</t>
  </si>
  <si>
    <t>收回存量资金</t>
  </si>
  <si>
    <t>安排存量资金</t>
  </si>
  <si>
    <t>类型</t>
  </si>
  <si>
    <t>部门</t>
  </si>
  <si>
    <t>埭头小学校舍综合改造工程项目</t>
  </si>
  <si>
    <t>政府文件处理表《汕濠办文[2020]Z3-1077号》和《汕濠办文[2020]Z3-1092号》</t>
  </si>
  <si>
    <t>上年未安排数</t>
  </si>
  <si>
    <t>安排消化历年压支挂账</t>
  </si>
  <si>
    <t>部门缴回财政存量资金</t>
  </si>
  <si>
    <t>南山湾办用于偿还南山湾产业园（一期）及连接主干道工程项目贷款</t>
  </si>
  <si>
    <t>收回部门结转结余在支付办存量资金</t>
  </si>
  <si>
    <t>亚青会基础设施及场馆改造项目（广达大道改造工程）</t>
  </si>
  <si>
    <t>转入暂存暂付款调账资金</t>
  </si>
  <si>
    <t>附表10</t>
  </si>
  <si>
    <t>汕头市濠江区2020年国有资本经营预算收入计划调整表</t>
  </si>
  <si>
    <t>科目</t>
  </si>
  <si>
    <t>第四次预算调整计划数</t>
  </si>
  <si>
    <t>一、利润收入</t>
  </si>
  <si>
    <t xml:space="preserve">  运输企业利润收入</t>
  </si>
  <si>
    <t xml:space="preserve">  电子企业利润收入</t>
  </si>
  <si>
    <t xml:space="preserve">  贸易企业利润收入</t>
  </si>
  <si>
    <t xml:space="preserve">  建筑施工企业利润收入</t>
  </si>
  <si>
    <t xml:space="preserve">  其他国有资本经营预算企业利润收入</t>
  </si>
  <si>
    <t>二、股利、股息收入</t>
  </si>
  <si>
    <t>受新冠肺炎疫情影响，收入减少</t>
  </si>
  <si>
    <t>三、产权转让收入</t>
  </si>
  <si>
    <t>四、清算收入</t>
  </si>
  <si>
    <t>五、其他国有资本经营预算收入</t>
  </si>
  <si>
    <t>本年收入合计</t>
  </si>
  <si>
    <t>上年结转收入</t>
  </si>
  <si>
    <t xml:space="preserve">   其中：净结余</t>
  </si>
  <si>
    <t xml:space="preserve">       项目结转</t>
  </si>
  <si>
    <t>收入总计</t>
  </si>
  <si>
    <t>附表11</t>
  </si>
  <si>
    <t>汕头市濠江区2020年国有资本经营预算支出计划调整表</t>
  </si>
  <si>
    <t>一、解决历史遗留问题及改革成本支出</t>
  </si>
  <si>
    <t xml:space="preserve">   国有企业办职教幼教补助支出</t>
  </si>
  <si>
    <t xml:space="preserve">   国有企业改革成本支出</t>
  </si>
  <si>
    <t xml:space="preserve">   其他解决历史遗留问题及改革成本支出</t>
  </si>
  <si>
    <t>达建总35万，会计师事务所9万，剩余收回</t>
  </si>
  <si>
    <t>二、国有企业资本金注入</t>
  </si>
  <si>
    <t xml:space="preserve">   公益性设施投资支出</t>
  </si>
  <si>
    <t xml:space="preserve">   保障国家经济安全支出</t>
  </si>
  <si>
    <t xml:space="preserve">   其他国有企业资本金注入</t>
  </si>
  <si>
    <t>三、国有企业政策性补贴</t>
  </si>
  <si>
    <t xml:space="preserve">   国有企业政策性补贴</t>
  </si>
  <si>
    <t>四、其他国有资本经营预算支出</t>
  </si>
  <si>
    <t>因收入减少，相应调减项目支出</t>
  </si>
  <si>
    <t xml:space="preserve">   其他国有资本经营预算支出</t>
  </si>
  <si>
    <t>本年支出合计</t>
  </si>
  <si>
    <t>结转下年支出</t>
  </si>
  <si>
    <t xml:space="preserve">        项目结转</t>
  </si>
  <si>
    <t>国有资本经营预算调出资金</t>
  </si>
  <si>
    <t>支出总计</t>
  </si>
  <si>
    <t>附表12</t>
  </si>
  <si>
    <t>汕头市濠江区2020年社会保险基金预算收入计划调整表</t>
  </si>
  <si>
    <t>一、社会保险基金预算收入</t>
  </si>
  <si>
    <t xml:space="preserve">     城乡居民基本养老保险基金收入</t>
  </si>
  <si>
    <t xml:space="preserve">       城乡居民基本养老保险基金缴费收入</t>
  </si>
  <si>
    <t xml:space="preserve">       城乡居民基本养老保险基金财政补贴收入</t>
  </si>
  <si>
    <t xml:space="preserve">       城乡居民基本养老保险基金利息收入</t>
  </si>
  <si>
    <t xml:space="preserve">       城乡居民基本养老保险基金委托投资收益</t>
  </si>
  <si>
    <t xml:space="preserve">       城乡居民基本养老保险基金集体补助收入</t>
  </si>
  <si>
    <t xml:space="preserve">       城乡居民基本养老保险基金转移收入</t>
  </si>
  <si>
    <t xml:space="preserve">       城乡居民基本养老保险基金其他收入</t>
  </si>
  <si>
    <t xml:space="preserve">    机关事业单位基本养老保险基金收入</t>
  </si>
  <si>
    <t xml:space="preserve">       机关事业单位基本养老保险费收入</t>
  </si>
  <si>
    <t xml:space="preserve">       机关事业单位基本养老保险基金财政补助收入</t>
  </si>
  <si>
    <t xml:space="preserve">       机关事业单位基本养老保险基金利息收入</t>
  </si>
  <si>
    <t xml:space="preserve">       机关事业单位基本养老保险基金转移收入</t>
  </si>
  <si>
    <t xml:space="preserve">       机关事业单位基本养老保险基金其他收入</t>
  </si>
  <si>
    <t>二、转移性收入</t>
  </si>
  <si>
    <t xml:space="preserve">     上年结余收入</t>
  </si>
  <si>
    <t>城乡</t>
  </si>
  <si>
    <t>机关</t>
  </si>
  <si>
    <t xml:space="preserve">     城乡居民基本养老保险基金上级补助收入</t>
  </si>
  <si>
    <t xml:space="preserve">     机关事业单位基本养老保险基金上级补助收入</t>
  </si>
  <si>
    <t>社会保险基金预算收入</t>
  </si>
  <si>
    <t>附表13</t>
  </si>
  <si>
    <t>汕头市濠江区2020年社会保险基金预算支出计划调整表</t>
  </si>
  <si>
    <t>科目分类</t>
  </si>
  <si>
    <t>209</t>
  </si>
  <si>
    <t>社会保险基金预算支出</t>
  </si>
  <si>
    <t>20910</t>
  </si>
  <si>
    <t xml:space="preserve">   城乡居民基本养老保险基金支出</t>
  </si>
  <si>
    <t>2091001</t>
  </si>
  <si>
    <t xml:space="preserve">     基础养老金支出</t>
  </si>
  <si>
    <t>2091002</t>
  </si>
  <si>
    <t xml:space="preserve">     个人账户养老金支出</t>
  </si>
  <si>
    <t>2091099</t>
  </si>
  <si>
    <t xml:space="preserve">     丧葬抚恤补贴支出</t>
  </si>
  <si>
    <t xml:space="preserve">     转移支出</t>
  </si>
  <si>
    <t xml:space="preserve">     其他支出</t>
  </si>
  <si>
    <t xml:space="preserve">   机关事业单位基本养老保险基金支出</t>
  </si>
  <si>
    <t xml:space="preserve">     基本养老金支出</t>
  </si>
  <si>
    <t xml:space="preserve">     其他机关事业单位基本养老保险基金支出</t>
  </si>
  <si>
    <t xml:space="preserve">   城乡居民基本养老保险基金上解上级支出</t>
  </si>
  <si>
    <t xml:space="preserve">   机关事业单位基本养老保险基金上解上级支出</t>
  </si>
  <si>
    <t>2300903</t>
  </si>
  <si>
    <t xml:space="preserve">   社会保险基金预算年终结余</t>
  </si>
  <si>
    <t>社会保险基金预算支出合计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</si>
</sst>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yyyy/mm/dd"/>
    <numFmt numFmtId="179" formatCode="00000"/>
    <numFmt numFmtId="180" formatCode="#,##0_ "/>
    <numFmt numFmtId="181" formatCode="0.0000_ "/>
    <numFmt numFmtId="182" formatCode="_ * #,##0_ ;_ * \-#,##0_ ;_ * &quot;-&quot;??_ ;_ @_ "/>
    <numFmt numFmtId="183" formatCode="0_ ;[Red]\-0\ "/>
    <numFmt numFmtId="184" formatCode="#,##0.00_ "/>
    <numFmt numFmtId="185" formatCode="0_);[Red]\(0\)"/>
    <numFmt numFmtId="186" formatCode="0.00_);[Red]\(0.00\)"/>
  </numFmts>
  <fonts count="59">
    <font>
      <sz val="12"/>
      <name val="宋体"/>
      <charset val="134"/>
    </font>
    <font>
      <sz val="11"/>
      <color indexed="8"/>
      <name val="宋体"/>
      <charset val="134"/>
    </font>
    <font>
      <sz val="9"/>
      <name val="宋体"/>
      <charset val="134"/>
    </font>
    <font>
      <b/>
      <sz val="12"/>
      <name val="宋体"/>
      <charset val="134"/>
    </font>
    <font>
      <sz val="11"/>
      <name val="宋体"/>
      <charset val="134"/>
    </font>
    <font>
      <b/>
      <sz val="20"/>
      <name val="宋体"/>
      <charset val="134"/>
    </font>
    <font>
      <b/>
      <sz val="9"/>
      <name val="宋体"/>
      <charset val="134"/>
    </font>
    <font>
      <b/>
      <sz val="11"/>
      <name val="宋体"/>
      <charset val="134"/>
    </font>
    <font>
      <sz val="10"/>
      <name val="宋体"/>
      <charset val="134"/>
    </font>
    <font>
      <sz val="11"/>
      <color theme="1"/>
      <name val="宋体"/>
      <charset val="134"/>
    </font>
    <font>
      <sz val="11"/>
      <color theme="1"/>
      <name val="宋体"/>
      <charset val="134"/>
      <scheme val="minor"/>
    </font>
    <font>
      <b/>
      <sz val="11"/>
      <color indexed="8"/>
      <name val="宋体"/>
      <charset val="134"/>
    </font>
    <font>
      <sz val="20"/>
      <color theme="1"/>
      <name val="宋体"/>
      <charset val="134"/>
      <scheme val="minor"/>
    </font>
    <font>
      <sz val="10"/>
      <name val="Arial"/>
      <charset val="134"/>
    </font>
    <font>
      <sz val="9"/>
      <name val="宋体"/>
      <charset val="134"/>
      <scheme val="minor"/>
    </font>
    <font>
      <b/>
      <sz val="10"/>
      <name val="宋体"/>
      <charset val="134"/>
    </font>
    <font>
      <b/>
      <sz val="10"/>
      <name val="Arial"/>
      <charset val="134"/>
    </font>
    <font>
      <sz val="10"/>
      <name val="宋体"/>
      <charset val="134"/>
      <scheme val="minor"/>
    </font>
    <font>
      <sz val="10"/>
      <color indexed="8"/>
      <name val="宋体"/>
      <charset val="134"/>
      <scheme val="minor"/>
    </font>
    <font>
      <sz val="10"/>
      <color theme="1"/>
      <name val="宋体"/>
      <charset val="134"/>
      <scheme val="minor"/>
    </font>
    <font>
      <sz val="9"/>
      <color theme="1"/>
      <name val="宋体"/>
      <charset val="134"/>
      <scheme val="minor"/>
    </font>
    <font>
      <sz val="10"/>
      <name val="Times New Roman"/>
      <charset val="134"/>
    </font>
    <font>
      <sz val="9"/>
      <color theme="1"/>
      <name val="宋体"/>
      <charset val="134"/>
    </font>
    <font>
      <b/>
      <sz val="11"/>
      <color theme="1"/>
      <name val="宋体"/>
      <charset val="134"/>
    </font>
    <font>
      <sz val="10"/>
      <color theme="1"/>
      <name val="宋体"/>
      <charset val="134"/>
    </font>
    <font>
      <sz val="10"/>
      <color indexed="8"/>
      <name val="宋体"/>
      <charset val="134"/>
    </font>
    <font>
      <sz val="10"/>
      <color rgb="FF000000"/>
      <name val="宋体"/>
      <charset val="134"/>
    </font>
    <font>
      <b/>
      <sz val="10"/>
      <color theme="1"/>
      <name val="宋体"/>
      <charset val="134"/>
    </font>
    <font>
      <sz val="11"/>
      <color theme="1"/>
      <name val="仿宋"/>
      <charset val="134"/>
    </font>
    <font>
      <sz val="11"/>
      <name val="宋体"/>
      <charset val="134"/>
      <scheme val="minor"/>
    </font>
    <font>
      <sz val="12"/>
      <name val="宋体"/>
      <charset val="134"/>
      <scheme val="minor"/>
    </font>
    <font>
      <b/>
      <sz val="11"/>
      <color theme="1"/>
      <name val="宋体"/>
      <charset val="134"/>
      <scheme val="minor"/>
    </font>
    <font>
      <b/>
      <sz val="9"/>
      <name val="宋体"/>
      <charset val="134"/>
      <scheme val="minor"/>
    </font>
    <font>
      <b/>
      <sz val="11"/>
      <name val="宋体"/>
      <charset val="134"/>
      <scheme val="minor"/>
    </font>
    <font>
      <sz val="10"/>
      <color rgb="FF000000"/>
      <name val="宋体"/>
      <charset val="134"/>
      <scheme val="minor"/>
    </font>
    <font>
      <b/>
      <sz val="10"/>
      <name val="宋体"/>
      <charset val="134"/>
      <scheme val="minor"/>
    </font>
    <font>
      <b/>
      <sz val="10"/>
      <color indexed="8"/>
      <name val="宋体"/>
      <charset val="134"/>
    </font>
    <font>
      <b/>
      <sz val="20"/>
      <name val="宋体"/>
      <charset val="134"/>
      <scheme val="minor"/>
    </font>
    <font>
      <sz val="16"/>
      <name val="宋体"/>
      <charset val="134"/>
    </font>
    <font>
      <b/>
      <sz val="2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theme="0"/>
        <bgColor indexed="64"/>
      </patternFill>
    </fill>
    <fill>
      <patternFill patternType="solid">
        <fgColor theme="0" tint="-0.14996795556505"/>
        <bgColor indexed="64"/>
      </patternFill>
    </fill>
    <fill>
      <patternFill patternType="solid">
        <fgColor indexed="9"/>
        <bgColor indexed="64"/>
      </patternFill>
    </fill>
    <fill>
      <patternFill patternType="solid">
        <fgColor theme="6" tint="0.599993896298105"/>
        <bgColor indexed="64"/>
      </patternFill>
    </fill>
    <fill>
      <patternFill patternType="solid">
        <fgColor rgb="FFFFFF00"/>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top style="medium">
        <color auto="1"/>
      </top>
      <bottom/>
      <diagonal/>
    </border>
    <border>
      <left style="medium">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xf numFmtId="43" fontId="0" fillId="0" borderId="0" applyFont="0" applyFill="0" applyBorder="0" applyAlignment="0" applyProtection="0"/>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0" fillId="8" borderId="38"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39" applyNumberFormat="0" applyFill="0" applyAlignment="0" applyProtection="0">
      <alignment vertical="center"/>
    </xf>
    <xf numFmtId="0" fontId="46" fillId="0" borderId="39" applyNumberFormat="0" applyFill="0" applyAlignment="0" applyProtection="0">
      <alignment vertical="center"/>
    </xf>
    <xf numFmtId="0" fontId="47" fillId="0" borderId="40" applyNumberFormat="0" applyFill="0" applyAlignment="0" applyProtection="0">
      <alignment vertical="center"/>
    </xf>
    <xf numFmtId="0" fontId="47" fillId="0" borderId="0" applyNumberFormat="0" applyFill="0" applyBorder="0" applyAlignment="0" applyProtection="0">
      <alignment vertical="center"/>
    </xf>
    <xf numFmtId="0" fontId="48" fillId="9" borderId="41" applyNumberFormat="0" applyAlignment="0" applyProtection="0">
      <alignment vertical="center"/>
    </xf>
    <xf numFmtId="0" fontId="49" fillId="10" borderId="42" applyNumberFormat="0" applyAlignment="0" applyProtection="0">
      <alignment vertical="center"/>
    </xf>
    <xf numFmtId="0" fontId="50" fillId="10" borderId="41" applyNumberFormat="0" applyAlignment="0" applyProtection="0">
      <alignment vertical="center"/>
    </xf>
    <xf numFmtId="0" fontId="51" fillId="11" borderId="43" applyNumberFormat="0" applyAlignment="0" applyProtection="0">
      <alignment vertical="center"/>
    </xf>
    <xf numFmtId="0" fontId="52" fillId="0" borderId="44" applyNumberFormat="0" applyFill="0" applyAlignment="0" applyProtection="0">
      <alignment vertical="center"/>
    </xf>
    <xf numFmtId="0" fontId="53" fillId="0" borderId="45" applyNumberFormat="0" applyFill="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6" fillId="14" borderId="0" applyNumberFormat="0" applyBorder="0" applyAlignment="0" applyProtection="0">
      <alignment vertical="center"/>
    </xf>
    <xf numFmtId="0" fontId="57"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8" fillId="24" borderId="0" applyNumberFormat="0" applyBorder="0" applyAlignment="0" applyProtection="0">
      <alignment vertical="center"/>
    </xf>
    <xf numFmtId="0" fontId="58" fillId="5"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7" fillId="33" borderId="0" applyNumberFormat="0" applyBorder="0" applyAlignment="0" applyProtection="0">
      <alignment vertical="center"/>
    </xf>
    <xf numFmtId="0" fontId="57" fillId="34" borderId="0" applyNumberFormat="0" applyBorder="0" applyAlignment="0" applyProtection="0">
      <alignment vertical="center"/>
    </xf>
    <xf numFmtId="0" fontId="58" fillId="35" borderId="0" applyNumberFormat="0" applyBorder="0" applyAlignment="0" applyProtection="0">
      <alignment vertical="center"/>
    </xf>
    <xf numFmtId="0" fontId="58" fillId="36" borderId="0" applyNumberFormat="0" applyBorder="0" applyAlignment="0" applyProtection="0">
      <alignment vertical="center"/>
    </xf>
    <xf numFmtId="0" fontId="57" fillId="37" borderId="0" applyNumberFormat="0" applyBorder="0" applyAlignment="0" applyProtection="0">
      <alignment vertical="center"/>
    </xf>
    <xf numFmtId="0" fontId="0" fillId="0" borderId="0">
      <alignment vertical="center"/>
    </xf>
    <xf numFmtId="0" fontId="1" fillId="0" borderId="0"/>
    <xf numFmtId="0" fontId="13" fillId="0" borderId="0"/>
    <xf numFmtId="0" fontId="0" fillId="0" borderId="0"/>
    <xf numFmtId="0" fontId="0" fillId="0" borderId="0"/>
    <xf numFmtId="0" fontId="0" fillId="0" borderId="0"/>
    <xf numFmtId="0" fontId="8" fillId="0" borderId="0"/>
    <xf numFmtId="0" fontId="1" fillId="0" borderId="0">
      <alignment vertical="center"/>
    </xf>
    <xf numFmtId="0" fontId="8" fillId="0" borderId="0"/>
    <xf numFmtId="0" fontId="0" fillId="0" borderId="0"/>
    <xf numFmtId="0" fontId="8" fillId="0" borderId="0"/>
    <xf numFmtId="0" fontId="8" fillId="0" borderId="0"/>
    <xf numFmtId="43" fontId="0" fillId="0" borderId="0" applyFont="0" applyFill="0" applyBorder="0" applyAlignment="0" applyProtection="0"/>
    <xf numFmtId="0" fontId="0" fillId="0" borderId="0"/>
    <xf numFmtId="0" fontId="0" fillId="0" borderId="0"/>
    <xf numFmtId="0" fontId="10" fillId="0" borderId="0">
      <alignment vertical="center"/>
    </xf>
    <xf numFmtId="0" fontId="0" fillId="0" borderId="0"/>
    <xf numFmtId="0" fontId="0" fillId="0" borderId="0"/>
    <xf numFmtId="43" fontId="0" fillId="0" borderId="0" applyFont="0" applyFill="0" applyBorder="0" applyAlignment="0" applyProtection="0"/>
  </cellStyleXfs>
  <cellXfs count="513">
    <xf numFmtId="0" fontId="0" fillId="0" borderId="0" xfId="0"/>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wrapText="1"/>
    </xf>
    <xf numFmtId="0" fontId="3" fillId="0" borderId="0" xfId="0" applyFont="1" applyFill="1" applyBorder="1" applyAlignment="1">
      <alignment vertical="center"/>
    </xf>
    <xf numFmtId="49" fontId="0" fillId="0" borderId="0" xfId="58"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xf numFmtId="0" fontId="4" fillId="0" borderId="0" xfId="0" applyFont="1" applyFill="1" applyBorder="1" applyAlignment="1">
      <alignment vertical="center"/>
    </xf>
    <xf numFmtId="0" fontId="5"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xf>
    <xf numFmtId="0" fontId="1" fillId="0" borderId="0" xfId="0" applyFont="1" applyFill="1" applyBorder="1" applyAlignment="1">
      <alignment horizontal="right" vertical="center"/>
    </xf>
    <xf numFmtId="49" fontId="6" fillId="2" borderId="0" xfId="0" applyNumberFormat="1" applyFont="1" applyFill="1" applyBorder="1" applyAlignment="1">
      <alignment vertical="center" wrapText="1"/>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vertical="center"/>
    </xf>
    <xf numFmtId="41" fontId="7" fillId="2" borderId="2" xfId="1" applyNumberFormat="1" applyFont="1" applyFill="1" applyBorder="1" applyAlignment="1">
      <alignment horizontal="center" vertical="center"/>
    </xf>
    <xf numFmtId="0" fontId="3" fillId="2" borderId="2" xfId="0" applyFont="1" applyFill="1" applyBorder="1" applyAlignment="1">
      <alignment vertical="center"/>
    </xf>
    <xf numFmtId="0" fontId="4" fillId="2" borderId="2" xfId="0" applyFont="1" applyFill="1" applyBorder="1" applyAlignment="1">
      <alignment vertical="center"/>
    </xf>
    <xf numFmtId="41" fontId="4" fillId="2" borderId="2" xfId="1" applyNumberFormat="1" applyFont="1" applyFill="1" applyBorder="1" applyAlignment="1">
      <alignment horizontal="center" vertical="center"/>
    </xf>
    <xf numFmtId="0" fontId="0" fillId="2" borderId="2" xfId="0" applyFont="1" applyFill="1" applyBorder="1" applyAlignment="1">
      <alignment vertical="center"/>
    </xf>
    <xf numFmtId="41" fontId="4" fillId="2" borderId="2" xfId="0" applyNumberFormat="1" applyFont="1" applyFill="1" applyBorder="1" applyAlignment="1">
      <alignment horizontal="center" vertical="center"/>
    </xf>
    <xf numFmtId="0" fontId="4" fillId="2" borderId="2" xfId="0" applyFont="1" applyFill="1" applyBorder="1" applyAlignment="1">
      <alignment horizontal="left" vertical="center"/>
    </xf>
    <xf numFmtId="41" fontId="4" fillId="2" borderId="2" xfId="61" applyNumberFormat="1" applyFont="1" applyFill="1" applyBorder="1" applyAlignment="1">
      <alignment horizontal="center" vertical="center"/>
    </xf>
    <xf numFmtId="177" fontId="4" fillId="2" borderId="2" xfId="1" applyNumberFormat="1" applyFont="1" applyFill="1" applyBorder="1" applyAlignment="1">
      <alignment horizontal="right" vertical="center"/>
    </xf>
    <xf numFmtId="0" fontId="7" fillId="2" borderId="2" xfId="0" applyFont="1" applyFill="1" applyBorder="1" applyAlignment="1">
      <alignment horizontal="center" vertical="center"/>
    </xf>
    <xf numFmtId="41" fontId="7" fillId="2" borderId="2" xfId="0" applyNumberFormat="1" applyFont="1" applyFill="1" applyBorder="1" applyAlignment="1">
      <alignment horizontal="center" vertical="center"/>
    </xf>
    <xf numFmtId="177" fontId="7" fillId="2" borderId="2" xfId="1" applyNumberFormat="1" applyFont="1" applyFill="1" applyBorder="1" applyAlignment="1">
      <alignment horizontal="right" vertical="center"/>
    </xf>
    <xf numFmtId="0" fontId="3" fillId="0" borderId="0" xfId="0" applyFont="1" applyFill="1" applyBorder="1" applyAlignment="1"/>
    <xf numFmtId="0" fontId="0" fillId="3" borderId="0" xfId="0" applyFont="1" applyFill="1" applyBorder="1" applyAlignment="1">
      <alignment vertical="center"/>
    </xf>
    <xf numFmtId="0" fontId="5" fillId="0" borderId="0" xfId="0" applyFont="1" applyFill="1" applyBorder="1" applyAlignment="1">
      <alignment horizontal="center" vertical="center"/>
    </xf>
    <xf numFmtId="0" fontId="1" fillId="0" borderId="0" xfId="0" applyFont="1" applyFill="1" applyBorder="1" applyAlignment="1">
      <alignment vertical="center" wrapText="1"/>
    </xf>
    <xf numFmtId="176" fontId="1" fillId="0" borderId="0" xfId="0" applyNumberFormat="1" applyFont="1" applyFill="1" applyBorder="1" applyAlignment="1">
      <alignment horizontal="right"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left" vertical="center"/>
    </xf>
    <xf numFmtId="41" fontId="4" fillId="0" borderId="2" xfId="1" applyNumberFormat="1" applyFont="1" applyFill="1" applyBorder="1" applyAlignment="1">
      <alignment horizontal="center" vertical="center"/>
    </xf>
    <xf numFmtId="0" fontId="4" fillId="0" borderId="2" xfId="0" applyFont="1" applyFill="1" applyBorder="1" applyAlignment="1">
      <alignment horizontal="right" vertical="center" wrapText="1"/>
    </xf>
    <xf numFmtId="41" fontId="9" fillId="2" borderId="2" xfId="1" applyNumberFormat="1" applyFont="1" applyFill="1" applyBorder="1" applyAlignment="1">
      <alignment horizontal="center" vertical="center"/>
    </xf>
    <xf numFmtId="41" fontId="0" fillId="2" borderId="2" xfId="0" applyNumberFormat="1" applyFont="1" applyFill="1" applyBorder="1" applyAlignment="1">
      <alignment horizontal="center" vertical="center"/>
    </xf>
    <xf numFmtId="0" fontId="4" fillId="0" borderId="2" xfId="0"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right" vertical="center" wrapText="1"/>
    </xf>
    <xf numFmtId="0" fontId="8" fillId="3" borderId="2" xfId="54" applyFont="1" applyFill="1" applyBorder="1" applyAlignment="1">
      <alignment horizontal="left" vertical="center"/>
    </xf>
    <xf numFmtId="41" fontId="4" fillId="3" borderId="2" xfId="1" applyNumberFormat="1" applyFont="1" applyFill="1" applyBorder="1" applyAlignment="1">
      <alignment horizontal="center" vertical="center"/>
    </xf>
    <xf numFmtId="41" fontId="4" fillId="3" borderId="2" xfId="0" applyNumberFormat="1" applyFont="1" applyFill="1" applyBorder="1" applyAlignment="1">
      <alignment horizontal="center" vertical="center"/>
    </xf>
    <xf numFmtId="0" fontId="4" fillId="3" borderId="2" xfId="0" applyFont="1" applyFill="1" applyBorder="1" applyAlignment="1">
      <alignment horizontal="left" vertical="center" wrapText="1"/>
    </xf>
    <xf numFmtId="0" fontId="10" fillId="0" borderId="0" xfId="0" applyFont="1" applyFill="1" applyAlignment="1">
      <alignment vertical="center"/>
    </xf>
    <xf numFmtId="0" fontId="0" fillId="3" borderId="0" xfId="0" applyFont="1" applyFill="1" applyBorder="1" applyAlignment="1"/>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8" fillId="0" borderId="2" xfId="66" applyFont="1" applyBorder="1" applyAlignment="1">
      <alignment vertical="center" wrapText="1"/>
    </xf>
    <xf numFmtId="41" fontId="0" fillId="0" borderId="2" xfId="0" applyNumberFormat="1" applyFont="1" applyFill="1" applyBorder="1" applyAlignment="1">
      <alignment horizontal="center" vertical="center"/>
    </xf>
    <xf numFmtId="41" fontId="0" fillId="4" borderId="2" xfId="0" applyNumberFormat="1" applyFont="1" applyFill="1" applyBorder="1" applyAlignment="1">
      <alignment horizontal="center" vertical="center"/>
    </xf>
    <xf numFmtId="0" fontId="0" fillId="0" borderId="2" xfId="0" applyFont="1" applyFill="1" applyBorder="1" applyAlignment="1">
      <alignment horizontal="center" vertical="center"/>
    </xf>
    <xf numFmtId="41" fontId="0" fillId="0" borderId="3" xfId="0" applyNumberFormat="1" applyFont="1" applyFill="1" applyBorder="1" applyAlignment="1">
      <alignment horizontal="center" vertical="center"/>
    </xf>
    <xf numFmtId="41" fontId="0" fillId="0" borderId="4" xfId="0" applyNumberFormat="1" applyFont="1" applyFill="1" applyBorder="1" applyAlignment="1">
      <alignment horizontal="center" vertical="center"/>
    </xf>
    <xf numFmtId="0" fontId="7" fillId="0" borderId="2" xfId="66" applyFont="1" applyBorder="1" applyAlignment="1">
      <alignment horizontal="center" vertical="center" wrapText="1"/>
    </xf>
    <xf numFmtId="41" fontId="3" fillId="0" borderId="2" xfId="0" applyNumberFormat="1" applyFont="1" applyFill="1" applyBorder="1" applyAlignment="1">
      <alignment horizontal="center" vertical="center"/>
    </xf>
    <xf numFmtId="41" fontId="3" fillId="4"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8" fillId="0" borderId="2" xfId="66" applyFont="1" applyBorder="1" applyAlignment="1">
      <alignment horizontal="left" vertical="center" wrapText="1"/>
    </xf>
    <xf numFmtId="0" fontId="3" fillId="0" borderId="2" xfId="66" applyFont="1" applyBorder="1" applyAlignment="1">
      <alignment horizontal="center" vertical="center" wrapText="1"/>
    </xf>
    <xf numFmtId="0" fontId="8" fillId="0" borderId="2" xfId="66" applyFont="1" applyBorder="1" applyAlignment="1">
      <alignment vertical="center"/>
    </xf>
    <xf numFmtId="176" fontId="1" fillId="0" borderId="0" xfId="0" applyNumberFormat="1" applyFont="1" applyFill="1" applyBorder="1" applyAlignment="1">
      <alignment vertical="center"/>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176" fontId="11" fillId="0" borderId="6"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1" fontId="1" fillId="0" borderId="5" xfId="0" applyNumberFormat="1" applyFont="1" applyFill="1" applyBorder="1" applyAlignment="1">
      <alignment horizontal="center" vertical="center" wrapText="1"/>
    </xf>
    <xf numFmtId="41" fontId="1" fillId="0" borderId="2" xfId="0" applyNumberFormat="1" applyFont="1" applyFill="1" applyBorder="1" applyAlignment="1">
      <alignment horizontal="center" vertical="center" wrapText="1"/>
    </xf>
    <xf numFmtId="41" fontId="11" fillId="0" borderId="5"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12" fillId="0" borderId="0" xfId="0" applyFont="1" applyFill="1" applyAlignment="1">
      <alignment horizontal="center" vertical="center" wrapText="1"/>
    </xf>
    <xf numFmtId="0" fontId="13" fillId="0" borderId="0" xfId="55" applyNumberFormat="1" applyFont="1" applyFill="1" applyAlignment="1">
      <alignment horizontal="center" wrapText="1"/>
    </xf>
    <xf numFmtId="0" fontId="13" fillId="0" borderId="0" xfId="55" applyFont="1" applyFill="1" applyAlignment="1">
      <alignment horizontal="center" wrapText="1"/>
    </xf>
    <xf numFmtId="0" fontId="13" fillId="0" borderId="0" xfId="55" applyFont="1" applyFill="1" applyAlignment="1">
      <alignment horizontal="center" vertical="center" wrapText="1"/>
    </xf>
    <xf numFmtId="0" fontId="13" fillId="0" borderId="0" xfId="55" applyNumberFormat="1" applyFont="1" applyFill="1" applyAlignment="1">
      <alignment horizontal="left" wrapText="1"/>
    </xf>
    <xf numFmtId="0" fontId="0" fillId="0" borderId="0" xfId="0" applyAlignment="1">
      <alignment horizontal="center" wrapText="1"/>
    </xf>
    <xf numFmtId="0" fontId="0" fillId="0" borderId="0" xfId="0" applyFont="1" applyFill="1" applyBorder="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14" fillId="0" borderId="0" xfId="0" applyFont="1" applyFill="1" applyAlignment="1">
      <alignment horizontal="center" vertical="center" wrapText="1"/>
    </xf>
    <xf numFmtId="41" fontId="14" fillId="0" borderId="0" xfId="0" applyNumberFormat="1" applyFont="1" applyFill="1" applyAlignment="1">
      <alignment horizontal="center" vertical="center" wrapText="1"/>
    </xf>
    <xf numFmtId="41" fontId="14" fillId="0" borderId="0" xfId="0" applyNumberFormat="1" applyFont="1" applyFill="1" applyAlignment="1">
      <alignment horizontal="right" vertical="center" wrapText="1"/>
    </xf>
    <xf numFmtId="0" fontId="15" fillId="0" borderId="2" xfId="55" applyNumberFormat="1" applyFont="1" applyFill="1" applyBorder="1" applyAlignment="1">
      <alignment horizontal="center" vertical="center" wrapText="1"/>
    </xf>
    <xf numFmtId="0" fontId="16" fillId="0" borderId="2" xfId="55" applyNumberFormat="1" applyFont="1" applyFill="1" applyBorder="1" applyAlignment="1">
      <alignment horizontal="center" vertical="center" wrapText="1"/>
    </xf>
    <xf numFmtId="0" fontId="15" fillId="0" borderId="2" xfId="55" applyFont="1" applyFill="1" applyBorder="1" applyAlignment="1">
      <alignment horizontal="center" vertical="center" wrapText="1"/>
    </xf>
    <xf numFmtId="0" fontId="17" fillId="0" borderId="2" xfId="55" applyNumberFormat="1" applyFont="1" applyFill="1" applyBorder="1" applyAlignment="1">
      <alignment horizontal="center" vertical="center" wrapText="1"/>
    </xf>
    <xf numFmtId="0" fontId="17" fillId="0" borderId="2" xfId="55" applyNumberFormat="1" applyFont="1" applyFill="1" applyBorder="1" applyAlignment="1">
      <alignment horizontal="left" vertical="center" wrapText="1"/>
    </xf>
    <xf numFmtId="41" fontId="17" fillId="0" borderId="2" xfId="55" applyNumberFormat="1" applyFont="1" applyFill="1" applyBorder="1" applyAlignment="1">
      <alignment horizontal="center" vertical="center" wrapText="1"/>
    </xf>
    <xf numFmtId="176" fontId="17" fillId="0" borderId="2" xfId="55" applyNumberFormat="1" applyFont="1" applyFill="1" applyBorder="1" applyAlignment="1">
      <alignment horizontal="left" vertical="center" wrapText="1"/>
    </xf>
    <xf numFmtId="0" fontId="17" fillId="5" borderId="2" xfId="55" applyNumberFormat="1" applyFont="1" applyFill="1" applyBorder="1" applyAlignment="1">
      <alignment horizontal="center" vertical="center" wrapText="1"/>
    </xf>
    <xf numFmtId="41" fontId="17" fillId="5" borderId="2" xfId="55" applyNumberFormat="1" applyFont="1" applyFill="1" applyBorder="1" applyAlignment="1">
      <alignment horizontal="center" vertical="center" wrapText="1"/>
    </xf>
    <xf numFmtId="176" fontId="17" fillId="5" borderId="2" xfId="55" applyNumberFormat="1" applyFont="1" applyFill="1" applyBorder="1" applyAlignment="1">
      <alignment horizontal="left" vertical="center" wrapText="1"/>
    </xf>
    <xf numFmtId="41" fontId="17" fillId="0" borderId="7" xfId="55" applyNumberFormat="1" applyFont="1" applyFill="1" applyBorder="1" applyAlignment="1">
      <alignment horizontal="center" vertical="center" wrapText="1"/>
    </xf>
    <xf numFmtId="176" fontId="17" fillId="0" borderId="7" xfId="55" applyNumberFormat="1" applyFont="1" applyFill="1" applyBorder="1" applyAlignment="1">
      <alignment horizontal="left" vertical="center" wrapText="1"/>
    </xf>
    <xf numFmtId="0" fontId="17" fillId="0" borderId="2" xfId="57" applyNumberFormat="1" applyFont="1" applyFill="1" applyBorder="1" applyAlignment="1" applyProtection="1">
      <alignment horizontal="center" vertical="center" wrapText="1"/>
    </xf>
    <xf numFmtId="0" fontId="17" fillId="0" borderId="2" xfId="65" applyNumberFormat="1" applyFont="1" applyFill="1" applyBorder="1" applyAlignment="1">
      <alignment horizontal="left" vertical="center" wrapText="1"/>
    </xf>
    <xf numFmtId="0" fontId="17" fillId="0" borderId="2" xfId="51" applyNumberFormat="1" applyFont="1" applyFill="1" applyBorder="1" applyAlignment="1">
      <alignment horizontal="left" vertical="center" wrapText="1"/>
    </xf>
    <xf numFmtId="41" fontId="17" fillId="0" borderId="2" xfId="51" applyNumberFormat="1" applyFont="1" applyFill="1" applyBorder="1" applyAlignment="1">
      <alignment horizontal="center" vertical="center" wrapText="1"/>
    </xf>
    <xf numFmtId="49" fontId="13" fillId="0" borderId="2" xfId="55" applyNumberFormat="1" applyFont="1" applyFill="1" applyBorder="1" applyAlignment="1">
      <alignment horizontal="left" vertical="center" wrapText="1"/>
    </xf>
    <xf numFmtId="0" fontId="18" fillId="0" borderId="2" xfId="57" applyNumberFormat="1" applyFont="1" applyFill="1" applyBorder="1" applyAlignment="1" applyProtection="1">
      <alignment horizontal="center" vertical="center" wrapText="1"/>
    </xf>
    <xf numFmtId="41" fontId="17" fillId="0" borderId="2" xfId="0" applyNumberFormat="1" applyFont="1" applyFill="1" applyBorder="1" applyAlignment="1">
      <alignment horizontal="center" vertical="center" wrapText="1"/>
    </xf>
    <xf numFmtId="0" fontId="15" fillId="0" borderId="8" xfId="55" applyNumberFormat="1" applyFont="1" applyFill="1" applyBorder="1" applyAlignment="1">
      <alignment horizontal="center" vertical="center" wrapText="1"/>
    </xf>
    <xf numFmtId="0" fontId="15" fillId="0" borderId="9" xfId="55" applyNumberFormat="1" applyFont="1" applyFill="1" applyBorder="1" applyAlignment="1">
      <alignment horizontal="center" vertical="center" wrapText="1"/>
    </xf>
    <xf numFmtId="0" fontId="17" fillId="0" borderId="2" xfId="65" applyNumberFormat="1" applyFont="1" applyFill="1" applyBorder="1" applyAlignment="1">
      <alignment horizontal="center" vertical="center" wrapText="1"/>
    </xf>
    <xf numFmtId="0" fontId="19" fillId="0" borderId="2" xfId="55" applyNumberFormat="1" applyFont="1" applyFill="1" applyBorder="1" applyAlignment="1">
      <alignment horizontal="center" vertical="center" wrapText="1"/>
    </xf>
    <xf numFmtId="0" fontId="20" fillId="0" borderId="0" xfId="0" applyFont="1" applyFill="1" applyAlignment="1">
      <alignment horizontal="center" vertical="center" wrapText="1"/>
    </xf>
    <xf numFmtId="41" fontId="17" fillId="0" borderId="2" xfId="65" applyNumberFormat="1" applyFont="1" applyFill="1" applyBorder="1" applyAlignment="1">
      <alignment horizontal="center" vertical="center" wrapText="1"/>
    </xf>
    <xf numFmtId="176" fontId="17" fillId="0" borderId="3" xfId="55" applyNumberFormat="1" applyFont="1" applyFill="1" applyBorder="1" applyAlignment="1">
      <alignment horizontal="left" vertical="center" wrapText="1"/>
    </xf>
    <xf numFmtId="176" fontId="17" fillId="0" borderId="4" xfId="55" applyNumberFormat="1" applyFont="1" applyFill="1" applyBorder="1" applyAlignment="1">
      <alignment horizontal="left" vertical="center" wrapText="1"/>
    </xf>
    <xf numFmtId="41" fontId="17" fillId="2" borderId="2" xfId="55" applyNumberFormat="1" applyFont="1" applyFill="1" applyBorder="1" applyAlignment="1">
      <alignment horizontal="center" vertical="center" wrapText="1"/>
    </xf>
    <xf numFmtId="41" fontId="19" fillId="0" borderId="2" xfId="55" applyNumberFormat="1" applyFont="1" applyFill="1" applyBorder="1" applyAlignment="1">
      <alignment horizontal="center" vertical="center" wrapText="1"/>
    </xf>
    <xf numFmtId="0" fontId="17" fillId="0" borderId="2" xfId="55" applyNumberFormat="1" applyFont="1" applyFill="1" applyBorder="1" applyAlignment="1" applyProtection="1">
      <alignment horizontal="center" vertical="center" wrapText="1"/>
    </xf>
    <xf numFmtId="0" fontId="18" fillId="0" borderId="2" xfId="55" applyNumberFormat="1" applyFont="1" applyFill="1" applyBorder="1" applyAlignment="1" applyProtection="1">
      <alignment horizontal="left" vertical="center" wrapText="1"/>
    </xf>
    <xf numFmtId="0" fontId="18" fillId="0" borderId="2" xfId="55" applyNumberFormat="1" applyFont="1" applyFill="1" applyBorder="1" applyAlignment="1" applyProtection="1">
      <alignment horizontal="center" vertical="center" wrapText="1"/>
    </xf>
    <xf numFmtId="0" fontId="17" fillId="6" borderId="2" xfId="55"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7" fillId="5" borderId="5" xfId="55" applyNumberFormat="1" applyFont="1" applyFill="1" applyBorder="1" applyAlignment="1">
      <alignment horizontal="center" vertical="center" wrapText="1"/>
    </xf>
    <xf numFmtId="0" fontId="17" fillId="5" borderId="6" xfId="55" applyNumberFormat="1" applyFont="1" applyFill="1" applyBorder="1" applyAlignment="1">
      <alignment horizontal="center" vertical="center" wrapText="1"/>
    </xf>
    <xf numFmtId="0" fontId="17" fillId="5" borderId="7" xfId="55" applyNumberFormat="1" applyFont="1" applyFill="1" applyBorder="1" applyAlignment="1">
      <alignment horizontal="center" vertical="center" wrapText="1"/>
    </xf>
    <xf numFmtId="0" fontId="12" fillId="0" borderId="0" xfId="0" applyFont="1" applyFill="1" applyAlignment="1">
      <alignment vertical="center"/>
    </xf>
    <xf numFmtId="49" fontId="0" fillId="0" borderId="0" xfId="58" applyNumberFormat="1" applyFill="1" applyAlignment="1">
      <alignment horizontal="center" vertical="center"/>
    </xf>
    <xf numFmtId="0" fontId="0" fillId="0" borderId="0" xfId="58" applyFill="1" applyAlignment="1">
      <alignment vertical="center"/>
    </xf>
    <xf numFmtId="177" fontId="0" fillId="0" borderId="0" xfId="0" applyNumberFormat="1" applyFont="1" applyFill="1" applyBorder="1" applyAlignment="1">
      <alignment vertical="center"/>
    </xf>
    <xf numFmtId="0" fontId="14" fillId="0" borderId="0" xfId="0" applyFont="1" applyFill="1" applyAlignment="1">
      <alignment vertical="center"/>
    </xf>
    <xf numFmtId="41" fontId="14" fillId="0" borderId="0" xfId="0" applyNumberFormat="1" applyFont="1" applyFill="1" applyAlignment="1">
      <alignment vertical="center"/>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178" fontId="3"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41" fontId="2" fillId="0" borderId="2" xfId="1" applyNumberFormat="1" applyFont="1" applyFill="1" applyBorder="1" applyAlignment="1">
      <alignment vertical="center"/>
    </xf>
    <xf numFmtId="179"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vertical="center" wrapText="1"/>
    </xf>
    <xf numFmtId="49" fontId="21" fillId="0" borderId="2" xfId="0" applyNumberFormat="1" applyFont="1" applyFill="1" applyBorder="1" applyAlignment="1">
      <alignment vertical="center" wrapText="1"/>
    </xf>
    <xf numFmtId="41" fontId="2" fillId="0" borderId="2" xfId="67" applyNumberFormat="1" applyFont="1" applyFill="1" applyBorder="1" applyAlignment="1">
      <alignment vertical="center"/>
    </xf>
    <xf numFmtId="41" fontId="22" fillId="0" borderId="2" xfId="1" applyNumberFormat="1" applyFont="1" applyFill="1" applyBorder="1" applyAlignment="1">
      <alignment vertical="center"/>
    </xf>
    <xf numFmtId="41" fontId="22" fillId="0" borderId="2" xfId="67" applyNumberFormat="1" applyFont="1" applyFill="1" applyBorder="1" applyAlignment="1">
      <alignment vertical="center"/>
    </xf>
    <xf numFmtId="177" fontId="3" fillId="0" borderId="2" xfId="0" applyNumberFormat="1" applyFont="1" applyFill="1" applyBorder="1" applyAlignment="1">
      <alignment horizontal="center" vertical="center" wrapText="1"/>
    </xf>
    <xf numFmtId="41" fontId="2" fillId="0" borderId="2" xfId="0" applyNumberFormat="1" applyFont="1" applyFill="1" applyBorder="1" applyAlignment="1">
      <alignment vertical="center"/>
    </xf>
    <xf numFmtId="0" fontId="20" fillId="0" borderId="0" xfId="0" applyFont="1" applyFill="1" applyAlignment="1">
      <alignment horizontal="right" vertical="center"/>
    </xf>
    <xf numFmtId="0" fontId="8" fillId="0" borderId="2" xfId="0" applyFont="1" applyFill="1" applyBorder="1" applyAlignment="1">
      <alignment vertical="center"/>
    </xf>
    <xf numFmtId="0" fontId="8" fillId="0" borderId="2" xfId="0" applyFont="1" applyFill="1" applyBorder="1" applyAlignment="1">
      <alignment vertical="center" wrapText="1"/>
    </xf>
    <xf numFmtId="49" fontId="8" fillId="0" borderId="2" xfId="0" applyNumberFormat="1" applyFont="1" applyFill="1" applyBorder="1" applyAlignment="1">
      <alignment horizontal="center" vertical="center" wrapText="1"/>
    </xf>
    <xf numFmtId="49" fontId="21" fillId="0" borderId="2" xfId="0"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180" fontId="2" fillId="0" borderId="2" xfId="1" applyNumberFormat="1" applyFont="1" applyFill="1" applyBorder="1" applyAlignment="1">
      <alignment vertical="center"/>
    </xf>
    <xf numFmtId="49" fontId="15" fillId="0" borderId="2" xfId="0" applyNumberFormat="1" applyFont="1" applyFill="1" applyBorder="1" applyAlignment="1">
      <alignment horizontal="center" vertical="center" wrapText="1"/>
    </xf>
    <xf numFmtId="179" fontId="15" fillId="0" borderId="2" xfId="0" applyNumberFormat="1" applyFont="1" applyFill="1" applyBorder="1" applyAlignment="1">
      <alignment horizontal="center" vertical="center" wrapText="1"/>
    </xf>
    <xf numFmtId="41" fontId="6" fillId="0" borderId="2" xfId="1" applyNumberFormat="1" applyFont="1" applyFill="1" applyBorder="1" applyAlignment="1">
      <alignment vertical="center"/>
    </xf>
    <xf numFmtId="180" fontId="0" fillId="0" borderId="0" xfId="0" applyNumberFormat="1" applyFont="1" applyFill="1" applyBorder="1" applyAlignment="1">
      <alignment vertical="center"/>
    </xf>
    <xf numFmtId="41" fontId="6" fillId="0" borderId="2" xfId="0" applyNumberFormat="1" applyFont="1" applyFill="1" applyBorder="1" applyAlignment="1">
      <alignment vertical="center"/>
    </xf>
    <xf numFmtId="0" fontId="15" fillId="0" borderId="2" xfId="0" applyFont="1" applyFill="1" applyBorder="1" applyAlignment="1">
      <alignment vertical="center"/>
    </xf>
    <xf numFmtId="0" fontId="10" fillId="0" borderId="0" xfId="0" applyFont="1" applyFill="1" applyAlignment="1">
      <alignment horizontal="center"/>
    </xf>
    <xf numFmtId="0" fontId="10" fillId="0" borderId="0" xfId="0" applyFont="1" applyFill="1" applyAlignment="1">
      <alignment vertical="center" wrapText="1"/>
    </xf>
    <xf numFmtId="0" fontId="10" fillId="0" borderId="0" xfId="0" applyFont="1" applyFill="1" applyAlignment="1">
      <alignment wrapText="1"/>
    </xf>
    <xf numFmtId="0" fontId="10" fillId="0" borderId="0" xfId="0" applyFont="1" applyFill="1" applyAlignment="1">
      <alignment horizontal="center" vertical="center"/>
    </xf>
    <xf numFmtId="0" fontId="10" fillId="0" borderId="0" xfId="0" applyFont="1" applyFill="1" applyAlignment="1"/>
    <xf numFmtId="0" fontId="3" fillId="2" borderId="2" xfId="62" applyFont="1" applyFill="1" applyBorder="1" applyAlignment="1">
      <alignment horizontal="center" vertical="center" wrapText="1"/>
    </xf>
    <xf numFmtId="0" fontId="3" fillId="2" borderId="2" xfId="0" applyFont="1" applyFill="1" applyBorder="1" applyAlignment="1">
      <alignment horizontal="center" vertical="center" wrapText="1"/>
    </xf>
    <xf numFmtId="0" fontId="8" fillId="2" borderId="2" xfId="62"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41" fontId="8" fillId="2" borderId="2" xfId="0" applyNumberFormat="1" applyFont="1" applyFill="1" applyBorder="1" applyAlignment="1">
      <alignment horizontal="center" vertical="center" wrapText="1"/>
    </xf>
    <xf numFmtId="41" fontId="8" fillId="0"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xf>
    <xf numFmtId="41" fontId="15" fillId="2" borderId="2" xfId="62" applyNumberFormat="1" applyFont="1" applyFill="1" applyBorder="1" applyAlignment="1">
      <alignment horizontal="center" vertical="center" wrapText="1"/>
    </xf>
    <xf numFmtId="0" fontId="24" fillId="0" borderId="2" xfId="0" applyFont="1" applyFill="1" applyBorder="1" applyAlignment="1">
      <alignment horizontal="center" vertical="center"/>
    </xf>
    <xf numFmtId="0" fontId="25" fillId="0" borderId="2" xfId="53" applyFont="1" applyBorder="1" applyAlignment="1">
      <alignment horizontal="center" vertical="center" wrapText="1"/>
    </xf>
    <xf numFmtId="41" fontId="24" fillId="0" borderId="2" xfId="0" applyNumberFormat="1" applyFont="1" applyFill="1" applyBorder="1" applyAlignment="1">
      <alignment horizontal="center" vertical="center" wrapText="1"/>
    </xf>
    <xf numFmtId="41" fontId="8" fillId="2" borderId="2" xfId="62" applyNumberFormat="1" applyFont="1" applyFill="1" applyBorder="1" applyAlignment="1">
      <alignment horizontal="center" vertical="center" wrapText="1"/>
    </xf>
    <xf numFmtId="0" fontId="8" fillId="2" borderId="2" xfId="52" applyFont="1" applyFill="1" applyBorder="1" applyAlignment="1">
      <alignment horizontal="center" vertical="center" wrapText="1"/>
    </xf>
    <xf numFmtId="0" fontId="8" fillId="2" borderId="2" xfId="53" applyFont="1" applyFill="1" applyBorder="1" applyAlignment="1">
      <alignment horizontal="center" vertical="center" wrapText="1"/>
    </xf>
    <xf numFmtId="41" fontId="24" fillId="2" borderId="2" xfId="0" applyNumberFormat="1" applyFont="1" applyFill="1" applyBorder="1" applyAlignment="1">
      <alignment horizontal="center" vertical="center" wrapText="1"/>
    </xf>
    <xf numFmtId="181" fontId="8" fillId="0" borderId="2" xfId="0"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41" fontId="8" fillId="2" borderId="2" xfId="63"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8" fillId="2" borderId="2" xfId="59" applyFont="1" applyFill="1" applyBorder="1" applyAlignment="1">
      <alignment horizontal="center" vertical="center" wrapText="1"/>
    </xf>
    <xf numFmtId="0" fontId="23" fillId="0" borderId="2" xfId="0" applyFont="1" applyFill="1" applyBorder="1" applyAlignment="1">
      <alignment horizontal="center" vertical="center" wrapText="1"/>
    </xf>
    <xf numFmtId="41" fontId="15" fillId="0" borderId="2" xfId="52" applyNumberFormat="1" applyFont="1" applyBorder="1" applyAlignment="1">
      <alignment horizontal="center" vertical="center" wrapText="1"/>
    </xf>
    <xf numFmtId="41" fontId="15" fillId="2" borderId="2" xfId="0" applyNumberFormat="1" applyFont="1" applyFill="1" applyBorder="1" applyAlignment="1">
      <alignment horizontal="center" vertical="center" wrapText="1"/>
    </xf>
    <xf numFmtId="41" fontId="27" fillId="0" borderId="2" xfId="0" applyNumberFormat="1" applyFont="1" applyFill="1" applyBorder="1" applyAlignment="1">
      <alignment horizontal="center" vertical="center"/>
    </xf>
    <xf numFmtId="41" fontId="15" fillId="0" borderId="2" xfId="63" applyNumberFormat="1" applyFont="1" applyFill="1" applyBorder="1" applyAlignment="1">
      <alignment horizontal="center" vertical="center" wrapText="1"/>
    </xf>
    <xf numFmtId="41" fontId="15" fillId="0" borderId="2" xfId="0" applyNumberFormat="1" applyFont="1" applyFill="1" applyBorder="1" applyAlignment="1">
      <alignment horizontal="center" vertical="center" wrapText="1"/>
    </xf>
    <xf numFmtId="0" fontId="28" fillId="0" borderId="0" xfId="0" applyFont="1" applyFill="1" applyAlignment="1">
      <alignment vertical="center" wrapText="1"/>
    </xf>
    <xf numFmtId="0" fontId="28" fillId="0" borderId="0" xfId="0" applyFont="1" applyFill="1" applyAlignment="1">
      <alignment wrapText="1"/>
    </xf>
    <xf numFmtId="0" fontId="28" fillId="0" borderId="0" xfId="0" applyFont="1" applyFill="1" applyAlignment="1">
      <alignment horizontal="center" vertical="center"/>
    </xf>
    <xf numFmtId="0" fontId="2" fillId="0" borderId="0" xfId="0" applyFont="1" applyFill="1" applyBorder="1" applyAlignment="1">
      <alignment horizontal="right" vertical="center"/>
    </xf>
    <xf numFmtId="0" fontId="4" fillId="0" borderId="0" xfId="0" applyFont="1" applyFill="1" applyBorder="1" applyAlignment="1">
      <alignment horizontal="right" vertical="center"/>
    </xf>
    <xf numFmtId="0" fontId="3" fillId="2" borderId="2" xfId="0" applyFont="1" applyFill="1" applyBorder="1" applyAlignment="1">
      <alignment horizontal="center" vertical="center"/>
    </xf>
    <xf numFmtId="0" fontId="8" fillId="2" borderId="2" xfId="64" applyFont="1" applyFill="1" applyBorder="1" applyAlignment="1">
      <alignment horizontal="center" vertical="center" wrapText="1"/>
    </xf>
    <xf numFmtId="0" fontId="27" fillId="0" borderId="2" xfId="0" applyFont="1" applyFill="1" applyBorder="1" applyAlignment="1">
      <alignment horizontal="center"/>
    </xf>
    <xf numFmtId="0" fontId="27" fillId="0" borderId="2" xfId="0" applyFont="1" applyFill="1" applyBorder="1" applyAlignment="1">
      <alignment horizontal="center" vertical="center"/>
    </xf>
    <xf numFmtId="177" fontId="15" fillId="0" borderId="2" xfId="63" applyNumberFormat="1" applyFont="1" applyFill="1" applyBorder="1" applyAlignment="1">
      <alignment horizontal="center" vertical="center" wrapText="1"/>
    </xf>
    <xf numFmtId="177" fontId="27" fillId="0" borderId="2" xfId="0" applyNumberFormat="1" applyFont="1" applyFill="1" applyBorder="1" applyAlignment="1">
      <alignment horizontal="center" vertical="center"/>
    </xf>
    <xf numFmtId="0" fontId="4"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2" xfId="0" applyFont="1" applyFill="1" applyBorder="1" applyAlignment="1">
      <alignment horizontal="center" vertical="center" shrinkToFit="1"/>
    </xf>
    <xf numFmtId="0" fontId="4" fillId="0" borderId="2" xfId="0" applyFont="1" applyFill="1" applyBorder="1" applyAlignment="1">
      <alignment horizontal="left" vertical="center"/>
    </xf>
    <xf numFmtId="182" fontId="2" fillId="0" borderId="2" xfId="1" applyNumberFormat="1" applyFont="1" applyFill="1" applyBorder="1" applyAlignment="1">
      <alignment vertical="center"/>
    </xf>
    <xf numFmtId="183" fontId="2" fillId="0" borderId="2" xfId="0" applyNumberFormat="1" applyFont="1" applyFill="1" applyBorder="1" applyAlignment="1">
      <alignment vertical="center"/>
    </xf>
    <xf numFmtId="0" fontId="7" fillId="0" borderId="2" xfId="0" applyFont="1" applyFill="1" applyBorder="1" applyAlignment="1">
      <alignment horizontal="left" vertical="center" wrapText="1"/>
    </xf>
    <xf numFmtId="41" fontId="15" fillId="0" borderId="2" xfId="0" applyNumberFormat="1" applyFont="1" applyFill="1" applyBorder="1" applyAlignment="1">
      <alignment vertical="center"/>
    </xf>
    <xf numFmtId="41" fontId="8" fillId="0" borderId="2" xfId="1" applyNumberFormat="1" applyFont="1" applyFill="1" applyBorder="1" applyAlignment="1">
      <alignment vertical="center"/>
    </xf>
    <xf numFmtId="41" fontId="8" fillId="0" borderId="2" xfId="0" applyNumberFormat="1" applyFont="1" applyFill="1" applyBorder="1" applyAlignment="1">
      <alignment vertical="center"/>
    </xf>
    <xf numFmtId="41" fontId="15" fillId="0" borderId="2" xfId="1" applyNumberFormat="1" applyFont="1" applyFill="1" applyBorder="1" applyAlignment="1">
      <alignment vertical="center"/>
    </xf>
    <xf numFmtId="0" fontId="7" fillId="0" borderId="2" xfId="0" applyFont="1" applyFill="1" applyBorder="1" applyAlignment="1">
      <alignment horizontal="left" vertical="center"/>
    </xf>
    <xf numFmtId="0" fontId="29" fillId="0" borderId="0" xfId="0" applyFont="1" applyFill="1" applyAlignment="1">
      <alignment vertical="center"/>
    </xf>
    <xf numFmtId="0" fontId="15" fillId="0" borderId="0" xfId="0" applyFont="1" applyFill="1" applyAlignment="1">
      <alignment vertical="center" wrapText="1"/>
    </xf>
    <xf numFmtId="0" fontId="8" fillId="0" borderId="0" xfId="0" applyFont="1" applyFill="1" applyAlignment="1">
      <alignment vertical="center" wrapText="1"/>
    </xf>
    <xf numFmtId="0" fontId="8" fillId="0" borderId="0" xfId="0" applyFont="1" applyFill="1" applyAlignment="1"/>
    <xf numFmtId="177" fontId="8" fillId="0" borderId="0" xfId="0" applyNumberFormat="1" applyFont="1" applyFill="1" applyAlignment="1">
      <alignment horizontal="center"/>
    </xf>
    <xf numFmtId="177" fontId="8" fillId="0" borderId="0" xfId="0" applyNumberFormat="1" applyFont="1" applyFill="1" applyAlignment="1"/>
    <xf numFmtId="0" fontId="30" fillId="0" borderId="0" xfId="0" applyFont="1" applyFill="1" applyBorder="1" applyAlignment="1">
      <alignment horizontal="left" vertical="center"/>
    </xf>
    <xf numFmtId="0" fontId="17" fillId="0" borderId="0" xfId="0" applyFont="1" applyFill="1" applyBorder="1" applyAlignment="1">
      <alignment horizontal="left" vertical="center"/>
    </xf>
    <xf numFmtId="0" fontId="17" fillId="0" borderId="0" xfId="0" applyFont="1" applyFill="1" applyBorder="1" applyAlignment="1">
      <alignment horizontal="center" vertical="center" wrapText="1"/>
    </xf>
    <xf numFmtId="43" fontId="17" fillId="0" borderId="0" xfId="0" applyNumberFormat="1" applyFont="1" applyFill="1" applyBorder="1" applyAlignment="1">
      <alignment horizontal="center" vertical="center"/>
    </xf>
    <xf numFmtId="176" fontId="17" fillId="0" borderId="0" xfId="0" applyNumberFormat="1" applyFont="1" applyFill="1" applyBorder="1" applyAlignment="1">
      <alignment horizontal="left" vertical="center" wrapText="1"/>
    </xf>
    <xf numFmtId="176" fontId="17" fillId="0" borderId="0" xfId="0" applyNumberFormat="1" applyFont="1" applyFill="1" applyBorder="1" applyAlignment="1">
      <alignment horizontal="center" vertical="center"/>
    </xf>
    <xf numFmtId="0" fontId="15" fillId="0" borderId="0" xfId="0" applyFont="1" applyFill="1" applyAlignment="1">
      <alignment horizontal="center" vertical="center"/>
    </xf>
    <xf numFmtId="0" fontId="3"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3" fillId="0" borderId="13" xfId="0" applyFont="1" applyFill="1" applyBorder="1" applyAlignment="1">
      <alignment horizontal="center" vertical="center"/>
    </xf>
    <xf numFmtId="177" fontId="15"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8" fillId="0" borderId="13" xfId="0" applyFont="1" applyFill="1" applyBorder="1" applyAlignment="1">
      <alignment vertical="center" wrapText="1"/>
    </xf>
    <xf numFmtId="177" fontId="8" fillId="0" borderId="2" xfId="0" applyNumberFormat="1" applyFont="1" applyFill="1" applyBorder="1" applyAlignment="1">
      <alignment vertical="center" wrapText="1"/>
    </xf>
    <xf numFmtId="0" fontId="15" fillId="0" borderId="14" xfId="0" applyFont="1" applyFill="1" applyBorder="1" applyAlignment="1">
      <alignment horizontal="center" vertical="center" wrapText="1"/>
    </xf>
    <xf numFmtId="177" fontId="15" fillId="0" borderId="15" xfId="0" applyNumberFormat="1" applyFont="1" applyFill="1" applyBorder="1" applyAlignment="1">
      <alignment horizontal="center" vertical="center" wrapText="1"/>
    </xf>
    <xf numFmtId="177" fontId="15" fillId="0" borderId="15" xfId="0" applyNumberFormat="1" applyFont="1" applyFill="1" applyBorder="1" applyAlignment="1">
      <alignment vertical="center" wrapText="1"/>
    </xf>
    <xf numFmtId="0" fontId="15" fillId="0" borderId="0" xfId="0" applyFont="1" applyFill="1" applyAlignment="1">
      <alignment horizontal="center" vertical="center" wrapText="1"/>
    </xf>
    <xf numFmtId="177" fontId="15" fillId="0" borderId="0" xfId="0" applyNumberFormat="1" applyFont="1" applyFill="1" applyAlignment="1">
      <alignment horizontal="center" vertical="center" wrapText="1"/>
    </xf>
    <xf numFmtId="177" fontId="15" fillId="0" borderId="0" xfId="0" applyNumberFormat="1" applyFont="1" applyFill="1" applyAlignment="1">
      <alignment vertical="center" wrapText="1"/>
    </xf>
    <xf numFmtId="0" fontId="17" fillId="0" borderId="0" xfId="0" applyFont="1" applyFill="1" applyBorder="1" applyAlignment="1">
      <alignment horizontal="center" vertical="center"/>
    </xf>
    <xf numFmtId="0" fontId="15" fillId="0" borderId="16" xfId="0" applyFont="1" applyFill="1" applyBorder="1" applyAlignment="1">
      <alignment horizontal="center" vertical="center"/>
    </xf>
    <xf numFmtId="0" fontId="3" fillId="0" borderId="17" xfId="0" applyFont="1" applyFill="1" applyBorder="1" applyAlignment="1">
      <alignment horizontal="center" vertical="center"/>
    </xf>
    <xf numFmtId="177" fontId="4" fillId="0" borderId="2" xfId="0" applyNumberFormat="1" applyFont="1" applyFill="1" applyBorder="1" applyAlignment="1">
      <alignment vertical="center" wrapText="1"/>
    </xf>
    <xf numFmtId="177" fontId="7" fillId="0" borderId="15" xfId="0" applyNumberFormat="1" applyFont="1" applyFill="1" applyBorder="1" applyAlignment="1">
      <alignment vertical="center" wrapText="1"/>
    </xf>
    <xf numFmtId="177" fontId="7" fillId="0" borderId="0" xfId="0" applyNumberFormat="1" applyFont="1" applyFill="1" applyAlignment="1">
      <alignment vertical="center" wrapText="1"/>
    </xf>
    <xf numFmtId="0" fontId="8" fillId="0" borderId="0" xfId="0" applyFont="1" applyFill="1" applyAlignment="1">
      <alignment horizontal="right"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15" fillId="0" borderId="2" xfId="0" applyNumberFormat="1" applyFont="1" applyFill="1" applyBorder="1" applyAlignment="1" applyProtection="1">
      <alignment vertical="center" wrapText="1"/>
    </xf>
    <xf numFmtId="0" fontId="8" fillId="0" borderId="19" xfId="0" applyFont="1" applyFill="1" applyBorder="1" applyAlignment="1">
      <alignment vertical="center" wrapText="1"/>
    </xf>
    <xf numFmtId="0" fontId="15" fillId="0" borderId="20" xfId="0" applyFont="1" applyFill="1" applyBorder="1" applyAlignment="1">
      <alignment vertical="center" wrapText="1"/>
    </xf>
    <xf numFmtId="0" fontId="31" fillId="0" borderId="0" xfId="0" applyFont="1" applyFill="1" applyAlignment="1">
      <alignment horizontal="center" vertical="center" wrapText="1"/>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43" fontId="10" fillId="0" borderId="0" xfId="0" applyNumberFormat="1" applyFont="1" applyFill="1" applyAlignment="1">
      <alignment horizontal="center" vertical="center" wrapText="1"/>
    </xf>
    <xf numFmtId="184" fontId="10" fillId="0" borderId="0" xfId="0" applyNumberFormat="1" applyFont="1" applyFill="1" applyAlignment="1">
      <alignment horizontal="center" vertical="center" wrapText="1"/>
    </xf>
    <xf numFmtId="0" fontId="32" fillId="0" borderId="21" xfId="0" applyFont="1" applyFill="1" applyBorder="1" applyAlignment="1">
      <alignment horizontal="center" vertical="center" wrapText="1"/>
    </xf>
    <xf numFmtId="0" fontId="33" fillId="0" borderId="10" xfId="0" applyFont="1" applyFill="1" applyBorder="1" applyAlignment="1">
      <alignment horizontal="center" vertical="center" wrapText="1"/>
    </xf>
    <xf numFmtId="0" fontId="33" fillId="0" borderId="17" xfId="0" applyFont="1" applyFill="1" applyBorder="1" applyAlignment="1">
      <alignment horizontal="center" vertical="center" wrapText="1"/>
    </xf>
    <xf numFmtId="43" fontId="33" fillId="0" borderId="17" xfId="0" applyNumberFormat="1" applyFont="1" applyFill="1" applyBorder="1" applyAlignment="1">
      <alignment horizontal="center" vertical="center" wrapText="1"/>
    </xf>
    <xf numFmtId="0" fontId="33" fillId="0" borderId="18" xfId="0" applyFont="1" applyFill="1" applyBorder="1" applyAlignment="1">
      <alignment horizontal="center" vertical="center" wrapText="1"/>
    </xf>
    <xf numFmtId="176" fontId="33" fillId="0" borderId="12" xfId="0" applyNumberFormat="1" applyFont="1" applyFill="1" applyBorder="1" applyAlignment="1">
      <alignment horizontal="center" vertical="center" wrapText="1"/>
    </xf>
    <xf numFmtId="176" fontId="33" fillId="0" borderId="10" xfId="0" applyNumberFormat="1" applyFont="1" applyFill="1" applyBorder="1" applyAlignment="1">
      <alignment horizontal="center" vertical="center" wrapText="1"/>
    </xf>
    <xf numFmtId="0" fontId="32" fillId="0" borderId="22"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2" xfId="0" applyFont="1" applyFill="1" applyBorder="1" applyAlignment="1">
      <alignment horizontal="center" vertical="center" wrapText="1"/>
    </xf>
    <xf numFmtId="185" fontId="33" fillId="0" borderId="2" xfId="0" applyNumberFormat="1" applyFont="1" applyFill="1" applyBorder="1" applyAlignment="1">
      <alignment horizontal="center" vertical="center" wrapText="1"/>
    </xf>
    <xf numFmtId="43" fontId="33" fillId="0" borderId="2" xfId="0" applyNumberFormat="1" applyFont="1" applyFill="1" applyBorder="1" applyAlignment="1">
      <alignment horizontal="center" vertical="center" wrapText="1"/>
    </xf>
    <xf numFmtId="176" fontId="33" fillId="0" borderId="19" xfId="0" applyNumberFormat="1" applyFont="1" applyFill="1" applyBorder="1" applyAlignment="1">
      <alignment horizontal="center" vertical="center" wrapText="1"/>
    </xf>
    <xf numFmtId="0" fontId="33" fillId="0" borderId="6" xfId="0" applyFont="1" applyFill="1" applyBorder="1" applyAlignment="1">
      <alignment horizontal="center" vertical="center" wrapText="1"/>
    </xf>
    <xf numFmtId="176" fontId="33" fillId="0" borderId="13" xfId="0" applyNumberFormat="1" applyFont="1" applyFill="1" applyBorder="1" applyAlignment="1">
      <alignment horizontal="center" vertical="center" wrapText="1"/>
    </xf>
    <xf numFmtId="176" fontId="33" fillId="0" borderId="19" xfId="0" applyNumberFormat="1" applyFont="1" applyFill="1" applyBorder="1" applyAlignment="1">
      <alignment horizontal="left" vertical="center" wrapText="1"/>
    </xf>
    <xf numFmtId="176" fontId="33" fillId="0" borderId="6" xfId="0" applyNumberFormat="1" applyFont="1" applyFill="1" applyBorder="1" applyAlignment="1">
      <alignment horizontal="center" vertical="center" wrapText="1"/>
    </xf>
    <xf numFmtId="0" fontId="2" fillId="0" borderId="22" xfId="0" applyFont="1" applyFill="1" applyBorder="1" applyAlignment="1">
      <alignment horizontal="center" vertical="center"/>
    </xf>
    <xf numFmtId="0" fontId="8" fillId="0" borderId="13" xfId="0"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43" fontId="8" fillId="0" borderId="2" xfId="0" applyNumberFormat="1" applyFont="1" applyFill="1" applyBorder="1" applyAlignment="1">
      <alignment horizontal="center" vertical="center"/>
    </xf>
    <xf numFmtId="176" fontId="8" fillId="0" borderId="19" xfId="0" applyNumberFormat="1" applyFont="1" applyFill="1" applyBorder="1" applyAlignment="1">
      <alignment horizontal="left" vertical="center" wrapText="1"/>
    </xf>
    <xf numFmtId="0" fontId="17" fillId="0" borderId="6" xfId="0" applyFont="1" applyFill="1" applyBorder="1" applyAlignment="1">
      <alignment horizontal="center" vertical="center"/>
    </xf>
    <xf numFmtId="186" fontId="17" fillId="0" borderId="13" xfId="0" applyNumberFormat="1" applyFont="1" applyFill="1" applyBorder="1" applyAlignment="1">
      <alignment horizontal="left" vertical="center" wrapText="1"/>
    </xf>
    <xf numFmtId="0" fontId="17" fillId="0" borderId="13" xfId="0" applyFont="1" applyFill="1" applyBorder="1" applyAlignment="1">
      <alignment horizontal="left" vertical="center" wrapText="1"/>
    </xf>
    <xf numFmtId="186" fontId="8" fillId="0" borderId="13" xfId="0" applyNumberFormat="1" applyFont="1" applyFill="1" applyBorder="1" applyAlignment="1">
      <alignment horizontal="left" vertical="center" wrapText="1"/>
    </xf>
    <xf numFmtId="186" fontId="8" fillId="0" borderId="2" xfId="0" applyNumberFormat="1" applyFont="1" applyFill="1" applyBorder="1" applyAlignment="1">
      <alignment horizontal="left" vertical="center" wrapText="1"/>
    </xf>
    <xf numFmtId="185" fontId="8" fillId="0" borderId="2" xfId="0" applyNumberFormat="1" applyFont="1" applyFill="1" applyBorder="1" applyAlignment="1">
      <alignment horizontal="center" vertical="center"/>
    </xf>
    <xf numFmtId="43" fontId="8" fillId="0" borderId="2" xfId="0" applyNumberFormat="1" applyFont="1" applyFill="1" applyBorder="1" applyAlignment="1">
      <alignment horizontal="center" vertical="center"/>
    </xf>
    <xf numFmtId="177" fontId="17" fillId="0" borderId="13" xfId="0" applyNumberFormat="1" applyFont="1" applyFill="1" applyBorder="1" applyAlignment="1">
      <alignment horizontal="left" vertical="center" wrapText="1"/>
    </xf>
    <xf numFmtId="177" fontId="8" fillId="0" borderId="13" xfId="0" applyNumberFormat="1" applyFont="1" applyFill="1" applyBorder="1" applyAlignment="1">
      <alignment horizontal="left" vertical="center" wrapText="1"/>
    </xf>
    <xf numFmtId="185" fontId="8" fillId="0" borderId="2" xfId="0" applyNumberFormat="1" applyFont="1" applyFill="1" applyBorder="1" applyAlignment="1">
      <alignment horizontal="center" vertical="center" wrapText="1"/>
    </xf>
    <xf numFmtId="43" fontId="25"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43" fontId="8" fillId="0" borderId="2" xfId="0" applyNumberFormat="1" applyFont="1" applyFill="1" applyBorder="1" applyAlignment="1">
      <alignment horizontal="center" vertical="center" wrapText="1"/>
    </xf>
    <xf numFmtId="0" fontId="17" fillId="0" borderId="6" xfId="0" applyFont="1" applyFill="1" applyBorder="1" applyAlignment="1">
      <alignment horizontal="center" vertical="center" wrapText="1"/>
    </xf>
    <xf numFmtId="0" fontId="14" fillId="0" borderId="22" xfId="0" applyFont="1" applyFill="1" applyBorder="1" applyAlignment="1">
      <alignment horizontal="center" vertical="center"/>
    </xf>
    <xf numFmtId="177" fontId="8" fillId="0" borderId="13" xfId="0" applyNumberFormat="1" applyFont="1" applyFill="1" applyBorder="1" applyAlignment="1">
      <alignment horizontal="left" vertical="center" wrapText="1"/>
    </xf>
    <xf numFmtId="49" fontId="8" fillId="0" borderId="2" xfId="0" applyNumberFormat="1" applyFont="1" applyFill="1" applyBorder="1" applyAlignment="1">
      <alignment horizontal="left" vertical="center" wrapText="1"/>
    </xf>
    <xf numFmtId="49" fontId="8" fillId="0" borderId="2" xfId="0" applyNumberFormat="1" applyFont="1" applyFill="1" applyBorder="1" applyAlignment="1">
      <alignment horizontal="center" vertical="center" wrapText="1"/>
    </xf>
    <xf numFmtId="43" fontId="8" fillId="0" borderId="2" xfId="0" applyNumberFormat="1" applyFont="1" applyFill="1" applyBorder="1" applyAlignment="1">
      <alignment horizontal="center" vertical="center" wrapText="1"/>
    </xf>
    <xf numFmtId="176" fontId="8" fillId="0" borderId="19" xfId="0" applyNumberFormat="1" applyFont="1" applyFill="1" applyBorder="1" applyAlignment="1">
      <alignment horizontal="left" vertical="center" wrapText="1"/>
    </xf>
    <xf numFmtId="0" fontId="17" fillId="0" borderId="6" xfId="0" applyFont="1" applyFill="1" applyBorder="1" applyAlignment="1">
      <alignment horizontal="center" vertical="center"/>
    </xf>
    <xf numFmtId="186" fontId="17" fillId="0" borderId="13" xfId="0" applyNumberFormat="1" applyFont="1" applyFill="1" applyBorder="1" applyAlignment="1">
      <alignment horizontal="left" vertical="center" wrapText="1"/>
    </xf>
    <xf numFmtId="0" fontId="14" fillId="0" borderId="22"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2" xfId="0" applyFont="1" applyFill="1" applyBorder="1" applyAlignment="1">
      <alignment horizontal="center" vertical="center" wrapText="1"/>
    </xf>
    <xf numFmtId="43" fontId="33" fillId="0" borderId="2" xfId="0" applyNumberFormat="1" applyFont="1" applyFill="1" applyBorder="1" applyAlignment="1">
      <alignment horizontal="center" vertical="center" wrapText="1"/>
    </xf>
    <xf numFmtId="176" fontId="33" fillId="0" borderId="19" xfId="0" applyNumberFormat="1" applyFont="1" applyFill="1" applyBorder="1" applyAlignment="1">
      <alignment horizontal="left" vertical="center" wrapText="1"/>
    </xf>
    <xf numFmtId="186" fontId="17" fillId="0" borderId="13" xfId="0" applyNumberFormat="1" applyFont="1" applyFill="1" applyBorder="1" applyAlignment="1">
      <alignment horizontal="left" vertical="center" wrapText="1"/>
    </xf>
    <xf numFmtId="186" fontId="17" fillId="0" borderId="2" xfId="0" applyNumberFormat="1" applyFont="1" applyFill="1" applyBorder="1" applyAlignment="1">
      <alignment horizontal="left" vertical="center" wrapText="1"/>
    </xf>
    <xf numFmtId="185" fontId="17" fillId="0" borderId="2" xfId="0" applyNumberFormat="1" applyFont="1" applyFill="1" applyBorder="1" applyAlignment="1">
      <alignment horizontal="center" vertical="center"/>
    </xf>
    <xf numFmtId="43" fontId="17" fillId="0" borderId="2" xfId="0" applyNumberFormat="1" applyFont="1" applyFill="1" applyBorder="1" applyAlignment="1">
      <alignment horizontal="center" vertical="center"/>
    </xf>
    <xf numFmtId="176" fontId="17" fillId="0" borderId="19" xfId="0" applyNumberFormat="1" applyFont="1" applyFill="1" applyBorder="1" applyAlignment="1">
      <alignment horizontal="left" vertical="center" wrapText="1"/>
    </xf>
    <xf numFmtId="0" fontId="17" fillId="0" borderId="13" xfId="0" applyNumberFormat="1" applyFont="1" applyFill="1" applyBorder="1" applyAlignment="1">
      <alignment horizontal="left" vertical="center" wrapText="1"/>
    </xf>
    <xf numFmtId="0" fontId="17" fillId="0" borderId="2" xfId="0" applyNumberFormat="1" applyFont="1" applyFill="1" applyBorder="1" applyAlignment="1">
      <alignment horizontal="left" vertical="center" wrapText="1"/>
    </xf>
    <xf numFmtId="177" fontId="17" fillId="0" borderId="2" xfId="0" applyNumberFormat="1" applyFont="1" applyFill="1" applyBorder="1" applyAlignment="1">
      <alignment horizontal="center" vertical="center" wrapText="1"/>
    </xf>
    <xf numFmtId="43" fontId="17" fillId="0" borderId="2" xfId="60" applyNumberFormat="1" applyFont="1" applyFill="1" applyBorder="1" applyAlignment="1">
      <alignment horizontal="center" vertical="center"/>
    </xf>
    <xf numFmtId="176" fontId="14" fillId="0" borderId="2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wrapText="1"/>
    </xf>
    <xf numFmtId="43" fontId="18" fillId="0" borderId="2" xfId="0" applyNumberFormat="1" applyFont="1" applyFill="1" applyBorder="1" applyAlignment="1">
      <alignment horizontal="center" vertical="center" wrapText="1"/>
    </xf>
    <xf numFmtId="0" fontId="17" fillId="0" borderId="19" xfId="0" applyFont="1" applyFill="1" applyBorder="1" applyAlignment="1">
      <alignment horizontal="left" vertical="center" wrapText="1"/>
    </xf>
    <xf numFmtId="176" fontId="18" fillId="0" borderId="13" xfId="0" applyNumberFormat="1" applyFont="1" applyFill="1" applyBorder="1" applyAlignment="1">
      <alignment horizontal="left" vertical="center" wrapText="1"/>
    </xf>
    <xf numFmtId="176" fontId="18" fillId="0" borderId="2" xfId="0" applyNumberFormat="1" applyFont="1" applyFill="1" applyBorder="1" applyAlignment="1">
      <alignment horizontal="left" vertical="center" wrapText="1"/>
    </xf>
    <xf numFmtId="43" fontId="17" fillId="0" borderId="2" xfId="0" applyNumberFormat="1" applyFont="1" applyFill="1" applyBorder="1" applyAlignment="1">
      <alignment horizontal="center" vertical="center" wrapText="1"/>
    </xf>
    <xf numFmtId="0" fontId="17" fillId="0" borderId="13" xfId="0" applyFont="1" applyFill="1" applyBorder="1" applyAlignment="1">
      <alignment horizontal="left" vertical="center" wrapText="1"/>
    </xf>
    <xf numFmtId="0" fontId="17" fillId="0" borderId="2" xfId="0" applyFont="1" applyFill="1" applyBorder="1" applyAlignment="1">
      <alignment horizontal="left" vertical="center" wrapText="1"/>
    </xf>
    <xf numFmtId="49" fontId="17" fillId="0" borderId="2" xfId="0" applyNumberFormat="1" applyFont="1" applyFill="1" applyBorder="1" applyAlignment="1">
      <alignment horizontal="center" vertical="center" wrapText="1"/>
    </xf>
    <xf numFmtId="43" fontId="18" fillId="0" borderId="2" xfId="0" applyNumberFormat="1" applyFont="1" applyFill="1" applyBorder="1" applyAlignment="1">
      <alignment horizontal="center" vertical="center" wrapText="1"/>
    </xf>
    <xf numFmtId="176" fontId="14" fillId="0" borderId="22" xfId="0" applyNumberFormat="1" applyFont="1" applyFill="1" applyBorder="1" applyAlignment="1">
      <alignment horizontal="center" vertical="center"/>
    </xf>
    <xf numFmtId="0" fontId="17" fillId="0" borderId="2" xfId="0" applyFont="1" applyFill="1" applyBorder="1" applyAlignment="1">
      <alignment horizontal="center" vertical="center"/>
    </xf>
    <xf numFmtId="49" fontId="17" fillId="0" borderId="13" xfId="0" applyNumberFormat="1" applyFont="1" applyFill="1" applyBorder="1" applyAlignment="1">
      <alignment horizontal="left" vertical="center" wrapText="1"/>
    </xf>
    <xf numFmtId="49" fontId="17" fillId="0" borderId="2" xfId="0" applyNumberFormat="1" applyFont="1" applyFill="1" applyBorder="1" applyAlignment="1">
      <alignment horizontal="left" vertical="center" wrapText="1"/>
    </xf>
    <xf numFmtId="0" fontId="17" fillId="0" borderId="13" xfId="0" applyNumberFormat="1" applyFont="1" applyFill="1" applyBorder="1" applyAlignment="1">
      <alignment horizontal="left" vertical="center" wrapText="1"/>
    </xf>
    <xf numFmtId="176" fontId="17" fillId="0" borderId="13" xfId="0" applyNumberFormat="1" applyFont="1" applyFill="1" applyBorder="1" applyAlignment="1">
      <alignment horizontal="left" vertical="center" wrapText="1"/>
    </xf>
    <xf numFmtId="176" fontId="17" fillId="0" borderId="2" xfId="0" applyNumberFormat="1" applyFont="1" applyFill="1" applyBorder="1" applyAlignment="1">
      <alignment horizontal="left" vertical="center" wrapText="1"/>
    </xf>
    <xf numFmtId="0" fontId="18" fillId="0" borderId="2" xfId="0" applyNumberFormat="1" applyFont="1" applyFill="1" applyBorder="1" applyAlignment="1">
      <alignment horizontal="center" vertical="center" wrapText="1"/>
    </xf>
    <xf numFmtId="176" fontId="34" fillId="0" borderId="2" xfId="0" applyNumberFormat="1" applyFont="1" applyFill="1" applyBorder="1" applyAlignment="1">
      <alignment horizontal="left" vertical="center" wrapText="1"/>
    </xf>
    <xf numFmtId="176" fontId="34" fillId="0" borderId="2" xfId="0" applyNumberFormat="1" applyFont="1" applyFill="1" applyBorder="1" applyAlignment="1">
      <alignment horizontal="center" vertical="center" wrapText="1"/>
    </xf>
    <xf numFmtId="176" fontId="35" fillId="0" borderId="19" xfId="0" applyNumberFormat="1" applyFont="1" applyFill="1" applyBorder="1" applyAlignment="1">
      <alignment horizontal="left" vertical="center" wrapText="1"/>
    </xf>
    <xf numFmtId="0" fontId="17" fillId="0" borderId="2" xfId="0" applyNumberFormat="1" applyFont="1" applyFill="1" applyBorder="1" applyAlignment="1">
      <alignment horizontal="left" vertical="center" wrapText="1"/>
    </xf>
    <xf numFmtId="176" fontId="18"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20" fillId="0" borderId="22" xfId="0" applyFont="1" applyFill="1" applyBorder="1" applyAlignment="1">
      <alignment horizontal="center" vertical="center" wrapText="1"/>
    </xf>
    <xf numFmtId="41" fontId="17" fillId="0" borderId="2" xfId="0" applyNumberFormat="1" applyFont="1" applyFill="1" applyBorder="1" applyAlignment="1">
      <alignment horizontal="center" vertical="center" wrapText="1"/>
    </xf>
    <xf numFmtId="43" fontId="17" fillId="0" borderId="2"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76" fontId="18" fillId="0" borderId="13" xfId="0" applyNumberFormat="1" applyFont="1" applyFill="1" applyBorder="1" applyAlignment="1">
      <alignment horizontal="left" vertical="center" wrapText="1"/>
    </xf>
    <xf numFmtId="176" fontId="18" fillId="0" borderId="2" xfId="0" applyNumberFormat="1" applyFont="1" applyFill="1" applyBorder="1" applyAlignment="1">
      <alignment horizontal="left" vertical="center" wrapText="1"/>
    </xf>
    <xf numFmtId="176" fontId="18" fillId="0" borderId="2" xfId="0" applyNumberFormat="1" applyFont="1" applyFill="1" applyBorder="1" applyAlignment="1">
      <alignment horizontal="center" vertical="center" wrapText="1"/>
    </xf>
    <xf numFmtId="43" fontId="18" fillId="0" borderId="2" xfId="0" applyNumberFormat="1" applyFont="1" applyFill="1" applyBorder="1" applyAlignment="1">
      <alignment horizontal="center" vertical="center" wrapText="1"/>
    </xf>
    <xf numFmtId="0" fontId="19" fillId="0" borderId="19" xfId="0" applyFont="1" applyFill="1" applyBorder="1" applyAlignment="1">
      <alignment horizontal="left" vertical="center" wrapText="1"/>
    </xf>
    <xf numFmtId="0" fontId="17" fillId="0" borderId="13" xfId="0" applyNumberFormat="1"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43" fontId="19" fillId="0" borderId="2" xfId="0" applyNumberFormat="1" applyFont="1" applyFill="1" applyBorder="1" applyAlignment="1">
      <alignment horizontal="center" vertical="center" wrapText="1"/>
    </xf>
    <xf numFmtId="176" fontId="33" fillId="0" borderId="17" xfId="0" applyNumberFormat="1" applyFont="1" applyFill="1" applyBorder="1" applyAlignment="1">
      <alignment horizontal="center" vertical="center" wrapText="1"/>
    </xf>
    <xf numFmtId="176" fontId="33" fillId="0" borderId="18"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184" fontId="31" fillId="0" borderId="2" xfId="0" applyNumberFormat="1" applyFont="1" applyFill="1" applyBorder="1" applyAlignment="1">
      <alignment horizontal="center" vertical="center" wrapText="1"/>
    </xf>
    <xf numFmtId="176" fontId="33" fillId="0" borderId="2" xfId="0" applyNumberFormat="1"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left" vertical="center" wrapText="1"/>
    </xf>
    <xf numFmtId="186" fontId="17" fillId="0" borderId="2" xfId="0" applyNumberFormat="1" applyFont="1" applyFill="1" applyBorder="1" applyAlignment="1">
      <alignment horizontal="left" vertical="center" wrapText="1"/>
    </xf>
    <xf numFmtId="0" fontId="17" fillId="0" borderId="2" xfId="0" applyFont="1" applyFill="1" applyBorder="1" applyAlignment="1">
      <alignment horizontal="center" vertical="center"/>
    </xf>
    <xf numFmtId="43" fontId="17" fillId="0" borderId="2" xfId="0" applyNumberFormat="1" applyFont="1" applyFill="1" applyBorder="1" applyAlignment="1">
      <alignment horizontal="center" vertical="center"/>
    </xf>
    <xf numFmtId="0" fontId="17" fillId="0" borderId="19" xfId="0" applyFont="1" applyFill="1" applyBorder="1" applyAlignment="1">
      <alignment horizontal="left" vertical="center"/>
    </xf>
    <xf numFmtId="0" fontId="10" fillId="0" borderId="2" xfId="0" applyFont="1" applyFill="1" applyBorder="1" applyAlignment="1">
      <alignment horizontal="center" vertical="center" wrapText="1"/>
    </xf>
    <xf numFmtId="184" fontId="10" fillId="0" borderId="2"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49" fontId="17" fillId="0" borderId="2" xfId="0" applyNumberFormat="1" applyFont="1" applyFill="1" applyBorder="1" applyAlignment="1">
      <alignment horizontal="left" vertical="center" wrapText="1"/>
    </xf>
    <xf numFmtId="185" fontId="17" fillId="0" borderId="2" xfId="0" applyNumberFormat="1" applyFont="1" applyFill="1" applyBorder="1" applyAlignment="1">
      <alignment horizontal="center" vertical="center"/>
    </xf>
    <xf numFmtId="0" fontId="8" fillId="0" borderId="7" xfId="0" applyFont="1" applyFill="1" applyBorder="1" applyAlignment="1">
      <alignment horizontal="center" vertical="center"/>
    </xf>
    <xf numFmtId="43" fontId="17" fillId="0" borderId="2" xfId="0" applyNumberFormat="1" applyFont="1" applyFill="1" applyBorder="1" applyAlignment="1">
      <alignment horizontal="right" vertical="center"/>
    </xf>
    <xf numFmtId="186" fontId="17" fillId="0" borderId="2" xfId="0" applyNumberFormat="1" applyFont="1" applyFill="1" applyBorder="1" applyAlignment="1">
      <alignment horizontal="left" vertical="center" wrapText="1"/>
    </xf>
    <xf numFmtId="0" fontId="17" fillId="0" borderId="2" xfId="57" applyNumberFormat="1" applyFont="1" applyFill="1" applyBorder="1" applyAlignment="1">
      <alignment horizontal="left" vertical="center" wrapText="1"/>
    </xf>
    <xf numFmtId="0" fontId="17" fillId="0" borderId="2" xfId="0" applyFont="1" applyFill="1" applyBorder="1" applyAlignment="1">
      <alignment horizontal="center" vertical="center" wrapText="1"/>
    </xf>
    <xf numFmtId="177" fontId="17" fillId="0" borderId="2" xfId="0" applyNumberFormat="1" applyFont="1" applyFill="1" applyBorder="1" applyAlignment="1">
      <alignment horizontal="center" vertical="center" wrapText="1"/>
    </xf>
    <xf numFmtId="43" fontId="17" fillId="0" borderId="2" xfId="0" applyNumberFormat="1" applyFont="1" applyFill="1" applyBorder="1" applyAlignment="1">
      <alignment horizontal="center" vertical="center" wrapText="1"/>
    </xf>
    <xf numFmtId="0" fontId="3" fillId="0" borderId="7" xfId="0" applyFont="1" applyFill="1" applyBorder="1" applyAlignment="1">
      <alignment horizontal="center" vertical="center"/>
    </xf>
    <xf numFmtId="0" fontId="17" fillId="0" borderId="2" xfId="0" applyNumberFormat="1" applyFont="1" applyFill="1" applyBorder="1" applyAlignment="1">
      <alignment horizontal="left" vertical="center" wrapText="1"/>
    </xf>
    <xf numFmtId="185" fontId="17" fillId="0" borderId="2" xfId="0" applyNumberFormat="1" applyFont="1" applyFill="1" applyBorder="1" applyAlignment="1">
      <alignment horizontal="center" vertical="center" wrapText="1"/>
    </xf>
    <xf numFmtId="49" fontId="17" fillId="0" borderId="13" xfId="0" applyNumberFormat="1" applyFont="1" applyFill="1" applyBorder="1" applyAlignment="1">
      <alignment horizontal="left" vertical="center" wrapText="1"/>
    </xf>
    <xf numFmtId="0" fontId="35" fillId="0" borderId="6" xfId="0" applyFont="1" applyFill="1" applyBorder="1" applyAlignment="1">
      <alignment horizontal="center" vertical="center" wrapText="1"/>
    </xf>
    <xf numFmtId="177" fontId="18" fillId="0" borderId="2" xfId="0" applyNumberFormat="1" applyFont="1" applyFill="1" applyBorder="1" applyAlignment="1">
      <alignment horizontal="center" vertical="center" wrapText="1"/>
    </xf>
    <xf numFmtId="0" fontId="17" fillId="0" borderId="2" xfId="57" applyNumberFormat="1" applyFont="1" applyFill="1" applyBorder="1" applyAlignment="1">
      <alignment horizontal="left" vertical="center" wrapText="1"/>
    </xf>
    <xf numFmtId="0" fontId="17" fillId="0" borderId="19" xfId="0" applyFont="1" applyFill="1" applyBorder="1" applyAlignment="1">
      <alignment horizontal="left" vertical="center" wrapText="1"/>
    </xf>
    <xf numFmtId="184" fontId="0" fillId="0" borderId="0" xfId="0" applyNumberFormat="1" applyFont="1" applyFill="1" applyBorder="1" applyAlignment="1">
      <alignment horizontal="center" vertical="center"/>
    </xf>
    <xf numFmtId="43" fontId="17" fillId="0" borderId="2" xfId="57" applyNumberFormat="1" applyFont="1" applyFill="1" applyBorder="1" applyAlignment="1">
      <alignment horizontal="center" vertical="center"/>
    </xf>
    <xf numFmtId="0" fontId="3" fillId="0" borderId="7"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6" xfId="0" applyNumberFormat="1" applyFont="1" applyFill="1" applyBorder="1" applyAlignment="1">
      <alignment horizontal="center" vertical="center"/>
    </xf>
    <xf numFmtId="0" fontId="18" fillId="0" borderId="2" xfId="0" applyNumberFormat="1" applyFont="1" applyFill="1" applyBorder="1" applyAlignment="1">
      <alignment horizontal="center" vertical="center" wrapText="1"/>
    </xf>
    <xf numFmtId="0" fontId="18" fillId="0" borderId="2" xfId="0" applyNumberFormat="1" applyFont="1" applyFill="1" applyBorder="1" applyAlignment="1">
      <alignment horizontal="left" vertical="center" wrapText="1"/>
    </xf>
    <xf numFmtId="176" fontId="17" fillId="0" borderId="2" xfId="0" applyNumberFormat="1" applyFont="1" applyFill="1" applyBorder="1" applyAlignment="1">
      <alignment horizontal="left" vertical="center" wrapText="1"/>
    </xf>
    <xf numFmtId="0" fontId="10" fillId="0" borderId="22" xfId="0" applyFont="1" applyFill="1" applyBorder="1" applyAlignment="1">
      <alignment horizontal="center" vertical="center" wrapText="1"/>
    </xf>
    <xf numFmtId="0" fontId="10" fillId="0" borderId="23" xfId="0" applyFont="1" applyFill="1" applyBorder="1" applyAlignment="1">
      <alignment horizontal="center" vertical="center" wrapText="1"/>
    </xf>
    <xf numFmtId="176" fontId="18" fillId="0" borderId="14" xfId="0" applyNumberFormat="1" applyFont="1" applyFill="1" applyBorder="1" applyAlignment="1">
      <alignment horizontal="left" vertical="center" wrapText="1"/>
    </xf>
    <xf numFmtId="0" fontId="18" fillId="0" borderId="15" xfId="56" applyNumberFormat="1" applyFont="1" applyFill="1" applyBorder="1" applyAlignment="1" applyProtection="1">
      <alignment horizontal="left" vertical="center" wrapText="1"/>
    </xf>
    <xf numFmtId="0" fontId="18" fillId="0" borderId="15" xfId="0" applyNumberFormat="1" applyFont="1" applyFill="1" applyBorder="1" applyAlignment="1">
      <alignment horizontal="center" vertical="center" wrapText="1"/>
    </xf>
    <xf numFmtId="43" fontId="17" fillId="0" borderId="15" xfId="0" applyNumberFormat="1" applyFont="1" applyFill="1" applyBorder="1" applyAlignment="1">
      <alignment horizontal="center" vertical="center"/>
    </xf>
    <xf numFmtId="0" fontId="17" fillId="0" borderId="20" xfId="0" applyFont="1" applyFill="1" applyBorder="1" applyAlignment="1">
      <alignment horizontal="left" vertical="center"/>
    </xf>
    <xf numFmtId="0" fontId="8" fillId="0" borderId="0" xfId="0" applyFont="1" applyFill="1" applyBorder="1" applyAlignment="1">
      <alignment horizontal="center" vertical="center"/>
    </xf>
    <xf numFmtId="0" fontId="15" fillId="0" borderId="0" xfId="0" applyFont="1" applyFill="1" applyBorder="1" applyAlignment="1">
      <alignment vertical="center"/>
    </xf>
    <xf numFmtId="185" fontId="8" fillId="0" borderId="0" xfId="0" applyNumberFormat="1" applyFont="1" applyFill="1" applyBorder="1" applyAlignment="1">
      <alignment horizontal="left" vertical="center"/>
    </xf>
    <xf numFmtId="0" fontId="8" fillId="0" borderId="0" xfId="0" applyFont="1" applyFill="1" applyBorder="1" applyAlignment="1">
      <alignment horizontal="left" vertical="center"/>
    </xf>
    <xf numFmtId="177" fontId="8" fillId="0" borderId="0" xfId="0" applyNumberFormat="1" applyFont="1" applyFill="1" applyBorder="1" applyAlignment="1">
      <alignment horizontal="right" vertical="center"/>
    </xf>
    <xf numFmtId="0" fontId="8" fillId="0" borderId="0" xfId="0" applyFont="1" applyFill="1" applyBorder="1" applyAlignment="1">
      <alignment vertical="center" wrapText="1"/>
    </xf>
    <xf numFmtId="0" fontId="8" fillId="0" borderId="0" xfId="0" applyFont="1" applyFill="1" applyAlignment="1">
      <alignment vertical="center"/>
    </xf>
    <xf numFmtId="0" fontId="15" fillId="0" borderId="10" xfId="0" applyFont="1" applyFill="1" applyBorder="1" applyAlignment="1">
      <alignment horizontal="center" vertical="center" wrapText="1"/>
    </xf>
    <xf numFmtId="0" fontId="15" fillId="0" borderId="17" xfId="0" applyFont="1" applyFill="1" applyBorder="1" applyAlignment="1">
      <alignment horizontal="center" vertical="center" wrapText="1"/>
    </xf>
    <xf numFmtId="177" fontId="15" fillId="0" borderId="17" xfId="0" applyNumberFormat="1" applyFont="1" applyFill="1" applyBorder="1" applyAlignment="1">
      <alignment horizontal="center" vertical="center" wrapText="1"/>
    </xf>
    <xf numFmtId="177" fontId="15" fillId="0" borderId="11" xfId="0" applyNumberFormat="1" applyFont="1" applyFill="1" applyBorder="1" applyAlignment="1">
      <alignment horizontal="center" vertical="center" wrapText="1"/>
    </xf>
    <xf numFmtId="177" fontId="15" fillId="0" borderId="12" xfId="0" applyNumberFormat="1" applyFont="1" applyFill="1" applyBorder="1" applyAlignment="1">
      <alignment horizontal="center" vertical="center" wrapText="1"/>
    </xf>
    <xf numFmtId="0" fontId="15" fillId="0" borderId="13" xfId="0" applyFont="1" applyFill="1" applyBorder="1" applyAlignment="1">
      <alignment horizontal="center" vertical="center" wrapText="1"/>
    </xf>
    <xf numFmtId="185" fontId="8" fillId="0" borderId="13" xfId="0" applyNumberFormat="1" applyFont="1" applyFill="1" applyBorder="1" applyAlignment="1">
      <alignment horizontal="left" vertical="center" wrapText="1"/>
    </xf>
    <xf numFmtId="41" fontId="8" fillId="0" borderId="2" xfId="0" applyNumberFormat="1" applyFont="1" applyFill="1" applyBorder="1" applyAlignment="1">
      <alignment horizontal="right" vertical="center" wrapText="1"/>
    </xf>
    <xf numFmtId="41" fontId="8" fillId="0" borderId="2" xfId="0" applyNumberFormat="1" applyFont="1" applyFill="1" applyBorder="1" applyAlignment="1">
      <alignment horizontal="right" vertical="center"/>
    </xf>
    <xf numFmtId="177" fontId="15" fillId="0" borderId="16" xfId="0" applyNumberFormat="1" applyFont="1" applyFill="1" applyBorder="1" applyAlignment="1">
      <alignment horizontal="center" vertical="center" wrapText="1"/>
    </xf>
    <xf numFmtId="177" fontId="15" fillId="0" borderId="24" xfId="0" applyNumberFormat="1" applyFont="1" applyFill="1" applyBorder="1" applyAlignment="1">
      <alignment horizontal="center" vertical="center" wrapText="1"/>
    </xf>
    <xf numFmtId="0" fontId="36" fillId="0" borderId="18" xfId="0" applyFont="1" applyFill="1" applyBorder="1" applyAlignment="1">
      <alignment horizontal="center" vertical="center" wrapText="1"/>
    </xf>
    <xf numFmtId="177" fontId="15" fillId="0" borderId="4" xfId="0" applyNumberFormat="1" applyFont="1" applyFill="1" applyBorder="1" applyAlignment="1">
      <alignment horizontal="center" vertical="center" wrapText="1"/>
    </xf>
    <xf numFmtId="0" fontId="36" fillId="0" borderId="19" xfId="0" applyFont="1" applyFill="1" applyBorder="1" applyAlignment="1">
      <alignment horizontal="center" vertical="center" wrapText="1"/>
    </xf>
    <xf numFmtId="186" fontId="8" fillId="0" borderId="19" xfId="0" applyNumberFormat="1" applyFont="1" applyFill="1" applyBorder="1" applyAlignment="1">
      <alignment vertical="center" wrapText="1"/>
    </xf>
    <xf numFmtId="185" fontId="8" fillId="0" borderId="25"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41" fontId="8" fillId="0" borderId="3" xfId="0" applyNumberFormat="1" applyFont="1" applyFill="1" applyBorder="1" applyAlignment="1">
      <alignment horizontal="right" vertical="center" wrapText="1"/>
    </xf>
    <xf numFmtId="185" fontId="15" fillId="0" borderId="26" xfId="0" applyNumberFormat="1" applyFont="1" applyFill="1" applyBorder="1" applyAlignment="1">
      <alignment horizontal="center" vertical="center" wrapText="1"/>
    </xf>
    <xf numFmtId="185" fontId="15" fillId="0" borderId="27" xfId="0" applyNumberFormat="1" applyFont="1" applyFill="1" applyBorder="1" applyAlignment="1">
      <alignment horizontal="center" vertical="center" wrapText="1"/>
    </xf>
    <xf numFmtId="41" fontId="15" fillId="0" borderId="28" xfId="0" applyNumberFormat="1" applyFont="1" applyFill="1" applyBorder="1" applyAlignment="1">
      <alignment horizontal="right" vertical="center" wrapText="1"/>
    </xf>
    <xf numFmtId="186" fontId="8" fillId="0" borderId="29" xfId="0" applyNumberFormat="1" applyFont="1" applyFill="1" applyBorder="1" applyAlignment="1">
      <alignment vertical="center" wrapText="1"/>
    </xf>
    <xf numFmtId="186" fontId="15" fillId="0" borderId="30" xfId="0" applyNumberFormat="1" applyFont="1" applyFill="1" applyBorder="1" applyAlignment="1">
      <alignment vertical="center" wrapText="1"/>
    </xf>
    <xf numFmtId="0" fontId="20" fillId="0" borderId="0" xfId="0" applyFont="1" applyFill="1" applyAlignment="1">
      <alignment vertical="center"/>
    </xf>
    <xf numFmtId="0" fontId="0" fillId="0" borderId="0" xfId="0" applyFont="1" applyAlignment="1">
      <alignment vertical="center"/>
    </xf>
    <xf numFmtId="0" fontId="0" fillId="0" borderId="0" xfId="0" applyFont="1" applyFill="1" applyAlignment="1" applyProtection="1">
      <alignment vertical="center"/>
    </xf>
    <xf numFmtId="0" fontId="0" fillId="7" borderId="0" xfId="0" applyFont="1" applyFill="1" applyAlignment="1">
      <alignment vertical="center"/>
    </xf>
    <xf numFmtId="9" fontId="0" fillId="0" borderId="0" xfId="0" applyNumberFormat="1" applyFont="1" applyAlignment="1">
      <alignment vertical="center"/>
    </xf>
    <xf numFmtId="0" fontId="17" fillId="0" borderId="0" xfId="0" applyFont="1" applyFill="1" applyBorder="1" applyAlignment="1" applyProtection="1">
      <alignment horizontal="left" vertical="center"/>
    </xf>
    <xf numFmtId="177" fontId="17" fillId="0" borderId="0" xfId="0" applyNumberFormat="1" applyFont="1" applyFill="1" applyBorder="1" applyAlignment="1" applyProtection="1">
      <alignment horizontal="right" vertical="center" wrapText="1"/>
    </xf>
    <xf numFmtId="177" fontId="17" fillId="0" borderId="0" xfId="0" applyNumberFormat="1" applyFont="1" applyFill="1" applyBorder="1" applyAlignment="1">
      <alignment horizontal="right" vertical="center"/>
    </xf>
    <xf numFmtId="177" fontId="17" fillId="0" borderId="0" xfId="0" applyNumberFormat="1" applyFont="1" applyFill="1" applyBorder="1" applyAlignment="1">
      <alignment horizontal="right" vertical="center" wrapText="1"/>
    </xf>
    <xf numFmtId="0" fontId="37" fillId="0" borderId="0" xfId="0" applyFont="1" applyFill="1" applyAlignment="1">
      <alignment horizontal="center" vertical="center"/>
    </xf>
    <xf numFmtId="0" fontId="37" fillId="0" borderId="0" xfId="0" applyFont="1" applyFill="1" applyAlignment="1" applyProtection="1">
      <alignment horizontal="center" vertical="center"/>
    </xf>
    <xf numFmtId="0" fontId="14" fillId="0" borderId="0" xfId="0" applyFont="1" applyFill="1" applyBorder="1" applyAlignment="1">
      <alignment vertical="center"/>
    </xf>
    <xf numFmtId="0" fontId="14" fillId="0" borderId="0" xfId="0" applyFont="1" applyFill="1" applyBorder="1" applyAlignment="1" applyProtection="1">
      <alignment vertical="center"/>
    </xf>
    <xf numFmtId="177" fontId="14" fillId="0" borderId="0" xfId="0" applyNumberFormat="1" applyFont="1" applyFill="1" applyBorder="1" applyAlignment="1" applyProtection="1">
      <alignment vertical="center" wrapText="1"/>
    </xf>
    <xf numFmtId="177" fontId="14" fillId="0" borderId="0" xfId="0" applyNumberFormat="1" applyFont="1" applyFill="1" applyBorder="1" applyAlignment="1">
      <alignment vertical="center"/>
    </xf>
    <xf numFmtId="177" fontId="14" fillId="0" borderId="0" xfId="0" applyNumberFormat="1" applyFont="1" applyFill="1" applyBorder="1" applyAlignment="1">
      <alignment vertical="center" wrapText="1"/>
    </xf>
    <xf numFmtId="0" fontId="7" fillId="0" borderId="31" xfId="0" applyFont="1" applyFill="1" applyBorder="1" applyAlignment="1">
      <alignment horizontal="center" vertical="center" wrapText="1"/>
    </xf>
    <xf numFmtId="0" fontId="7" fillId="0" borderId="32"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wrapText="1"/>
    </xf>
    <xf numFmtId="0" fontId="7" fillId="0" borderId="32"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shrinkToFit="1"/>
    </xf>
    <xf numFmtId="0" fontId="8" fillId="0" borderId="13" xfId="0" applyFont="1" applyFill="1" applyBorder="1" applyAlignment="1">
      <alignment vertical="center"/>
    </xf>
    <xf numFmtId="41" fontId="8" fillId="0" borderId="2" xfId="1" applyNumberFormat="1" applyFont="1" applyFill="1" applyBorder="1" applyAlignment="1" applyProtection="1">
      <alignment vertical="center"/>
    </xf>
    <xf numFmtId="41" fontId="2" fillId="0" borderId="2" xfId="1" applyNumberFormat="1" applyFont="1" applyFill="1" applyBorder="1" applyAlignment="1" applyProtection="1">
      <alignment vertical="center"/>
    </xf>
    <xf numFmtId="0" fontId="8" fillId="0" borderId="13" xfId="0" applyFont="1" applyFill="1" applyBorder="1" applyAlignment="1">
      <alignment horizontal="left" vertical="center"/>
    </xf>
    <xf numFmtId="0" fontId="15" fillId="0" borderId="35" xfId="0" applyFont="1" applyFill="1" applyBorder="1" applyAlignment="1">
      <alignment horizontal="center" vertical="center"/>
    </xf>
    <xf numFmtId="41" fontId="15" fillId="0" borderId="4" xfId="1" applyNumberFormat="1" applyFont="1" applyFill="1" applyBorder="1" applyAlignment="1" applyProtection="1">
      <alignment vertical="center"/>
    </xf>
    <xf numFmtId="41" fontId="15" fillId="0" borderId="4" xfId="1" applyNumberFormat="1" applyFont="1" applyFill="1" applyBorder="1" applyAlignment="1">
      <alignment vertical="center"/>
    </xf>
    <xf numFmtId="0" fontId="8" fillId="0" borderId="35" xfId="0" applyFont="1" applyFill="1" applyBorder="1" applyAlignment="1">
      <alignment horizontal="left" vertical="center"/>
    </xf>
    <xf numFmtId="41" fontId="8" fillId="0" borderId="4" xfId="1" applyNumberFormat="1" applyFont="1" applyFill="1" applyBorder="1" applyAlignment="1" applyProtection="1">
      <alignment vertical="center"/>
    </xf>
    <xf numFmtId="41" fontId="8" fillId="0" borderId="4" xfId="1" applyNumberFormat="1" applyFont="1" applyFill="1" applyBorder="1" applyAlignment="1">
      <alignment vertical="center"/>
    </xf>
    <xf numFmtId="0" fontId="8" fillId="0" borderId="14" xfId="0" applyFont="1" applyFill="1" applyBorder="1" applyAlignment="1">
      <alignment horizontal="left" vertical="center"/>
    </xf>
    <xf numFmtId="41" fontId="8" fillId="0" borderId="15" xfId="1" applyNumberFormat="1" applyFont="1" applyFill="1" applyBorder="1" applyAlignment="1" applyProtection="1">
      <alignment vertical="center"/>
    </xf>
    <xf numFmtId="41" fontId="8" fillId="0" borderId="15" xfId="1" applyNumberFormat="1" applyFont="1" applyFill="1" applyBorder="1" applyAlignment="1">
      <alignment vertical="center"/>
    </xf>
    <xf numFmtId="41" fontId="8" fillId="0" borderId="2" xfId="1" applyNumberFormat="1" applyFont="1" applyFill="1" applyBorder="1" applyAlignment="1" applyProtection="1">
      <alignment vertical="center"/>
      <protection locked="0"/>
    </xf>
    <xf numFmtId="41" fontId="8" fillId="0" borderId="3" xfId="1" applyNumberFormat="1" applyFont="1" applyFill="1" applyBorder="1" applyAlignment="1">
      <alignment vertical="center"/>
    </xf>
    <xf numFmtId="0" fontId="8" fillId="0" borderId="25" xfId="0" applyFont="1" applyFill="1" applyBorder="1" applyAlignment="1">
      <alignment horizontal="left" vertical="center"/>
    </xf>
    <xf numFmtId="41" fontId="8" fillId="0" borderId="3" xfId="1" applyNumberFormat="1" applyFont="1" applyFill="1" applyBorder="1" applyAlignment="1" applyProtection="1">
      <alignment vertical="center"/>
    </xf>
    <xf numFmtId="0" fontId="15" fillId="0" borderId="36" xfId="0" applyFont="1" applyFill="1" applyBorder="1" applyAlignment="1">
      <alignment horizontal="center" vertical="center"/>
    </xf>
    <xf numFmtId="41" fontId="15" fillId="0" borderId="28" xfId="1" applyNumberFormat="1" applyFont="1" applyFill="1" applyBorder="1" applyAlignment="1" applyProtection="1">
      <alignment vertical="center"/>
    </xf>
    <xf numFmtId="41" fontId="15" fillId="0" borderId="28" xfId="1" applyNumberFormat="1" applyFont="1" applyFill="1" applyBorder="1" applyAlignment="1">
      <alignment vertical="center"/>
    </xf>
    <xf numFmtId="177" fontId="10" fillId="0" borderId="0" xfId="0" applyNumberFormat="1" applyFont="1" applyFill="1" applyAlignment="1">
      <alignment horizontal="right" vertical="center"/>
    </xf>
    <xf numFmtId="177" fontId="37" fillId="0" borderId="0" xfId="0" applyNumberFormat="1" applyFont="1" applyFill="1" applyAlignment="1">
      <alignment vertical="center"/>
    </xf>
    <xf numFmtId="0" fontId="37" fillId="0" borderId="0" xfId="0" applyFont="1" applyFill="1" applyAlignment="1">
      <alignment vertical="center"/>
    </xf>
    <xf numFmtId="177" fontId="20" fillId="0" borderId="0" xfId="0" applyNumberFormat="1" applyFont="1" applyFill="1" applyAlignment="1">
      <alignment vertical="center"/>
    </xf>
    <xf numFmtId="177" fontId="20" fillId="0" borderId="0" xfId="0" applyNumberFormat="1" applyFont="1" applyFill="1" applyAlignment="1">
      <alignment horizontal="right" vertical="center"/>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8" fillId="0" borderId="19" xfId="0" applyFont="1" applyFill="1" applyBorder="1" applyAlignment="1">
      <alignment vertical="center"/>
    </xf>
    <xf numFmtId="0" fontId="0" fillId="0" borderId="0" xfId="0" applyFont="1" applyFill="1" applyAlignment="1">
      <alignment vertical="center"/>
    </xf>
    <xf numFmtId="0" fontId="8" fillId="0" borderId="19" xfId="0" applyFont="1" applyFill="1" applyBorder="1" applyAlignment="1">
      <alignment horizontal="left" vertical="center"/>
    </xf>
    <xf numFmtId="176" fontId="8" fillId="0" borderId="19" xfId="0" applyNumberFormat="1" applyFont="1" applyFill="1" applyBorder="1" applyAlignment="1">
      <alignment vertical="center" wrapText="1"/>
    </xf>
    <xf numFmtId="41" fontId="15" fillId="0" borderId="4" xfId="0" applyNumberFormat="1" applyFont="1" applyFill="1" applyBorder="1" applyAlignment="1">
      <alignment vertical="center"/>
    </xf>
    <xf numFmtId="0" fontId="15" fillId="0" borderId="37" xfId="0" applyFont="1" applyFill="1" applyBorder="1" applyAlignment="1">
      <alignment vertical="center"/>
    </xf>
    <xf numFmtId="41" fontId="8" fillId="0" borderId="4" xfId="0" applyNumberFormat="1" applyFont="1" applyFill="1" applyBorder="1" applyAlignment="1">
      <alignment vertical="center"/>
    </xf>
    <xf numFmtId="0" fontId="8" fillId="0" borderId="37" xfId="0" applyFont="1" applyFill="1" applyBorder="1" applyAlignment="1">
      <alignment vertical="center"/>
    </xf>
    <xf numFmtId="41" fontId="8" fillId="0" borderId="15" xfId="0" applyNumberFormat="1" applyFont="1" applyFill="1" applyBorder="1" applyAlignment="1">
      <alignment vertical="center"/>
    </xf>
    <xf numFmtId="0" fontId="8" fillId="0" borderId="20" xfId="0" applyFont="1" applyFill="1" applyBorder="1" applyAlignment="1">
      <alignment vertical="center"/>
    </xf>
    <xf numFmtId="41" fontId="8" fillId="0" borderId="3" xfId="0" applyNumberFormat="1" applyFont="1" applyFill="1" applyBorder="1" applyAlignment="1">
      <alignment vertical="center"/>
    </xf>
    <xf numFmtId="0" fontId="8" fillId="0" borderId="29" xfId="0" applyFont="1" applyFill="1" applyBorder="1" applyAlignment="1">
      <alignment vertical="center" wrapText="1"/>
    </xf>
    <xf numFmtId="41" fontId="15" fillId="0" borderId="28" xfId="0" applyNumberFormat="1" applyFont="1" applyFill="1" applyBorder="1" applyAlignment="1">
      <alignment vertical="center"/>
    </xf>
    <xf numFmtId="0" fontId="15" fillId="0" borderId="30" xfId="0" applyFont="1" applyFill="1" applyBorder="1" applyAlignment="1">
      <alignment vertical="center"/>
    </xf>
    <xf numFmtId="9" fontId="4" fillId="0" borderId="0" xfId="0" applyNumberFormat="1" applyFont="1" applyFill="1" applyAlignment="1">
      <alignment vertical="center" wrapText="1"/>
    </xf>
    <xf numFmtId="9" fontId="0" fillId="0" borderId="0" xfId="0" applyNumberFormat="1" applyFont="1" applyFill="1" applyAlignment="1">
      <alignment vertical="center"/>
    </xf>
    <xf numFmtId="0" fontId="38" fillId="0" borderId="0" xfId="0" applyFont="1" applyAlignment="1">
      <alignment horizontal="left"/>
    </xf>
    <xf numFmtId="0" fontId="38" fillId="0" borderId="0" xfId="0" applyFont="1"/>
    <xf numFmtId="0" fontId="39" fillId="0" borderId="0" xfId="0" applyFont="1" applyAlignment="1">
      <alignment horizontal="center"/>
    </xf>
    <xf numFmtId="0" fontId="38" fillId="0" borderId="0" xfId="0" applyFont="1" applyAlignment="1">
      <alignment horizontal="center"/>
    </xf>
    <xf numFmtId="0" fontId="38" fillId="0" borderId="0" xfId="0" applyFont="1" applyAlignment="1">
      <alignment horizontal="right"/>
    </xf>
    <xf numFmtId="0" fontId="39" fillId="0" borderId="0" xfId="0" applyFont="1" applyAlignment="1"/>
    <xf numFmtId="0" fontId="38" fillId="0" borderId="0" xfId="0" applyFont="1" applyAlignment="1"/>
    <xf numFmtId="0" fontId="8" fillId="0" borderId="13" xfId="0" applyFont="1" applyFill="1" applyBorder="1" applyAlignment="1" quotePrefix="1">
      <alignment vertical="center"/>
    </xf>
    <xf numFmtId="0" fontId="8" fillId="0" borderId="13" xfId="0" applyFont="1" applyFill="1" applyBorder="1" applyAlignment="1" quotePrefix="1">
      <alignment horizontal="left" vertical="center"/>
    </xf>
    <xf numFmtId="0" fontId="8" fillId="0" borderId="25" xfId="0" applyFont="1" applyFill="1" applyBorder="1" applyAlignment="1" quotePrefix="1">
      <alignment horizontal="left" vertical="center"/>
    </xf>
    <xf numFmtId="0" fontId="8" fillId="0" borderId="2" xfId="0" applyFont="1" applyFill="1" applyBorder="1" applyAlignment="1" quotePrefix="1">
      <alignment horizontal="left" vertical="center" wrapText="1"/>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10 2 2 3" xfId="50"/>
    <cellStyle name="常规 195" xfId="51"/>
    <cellStyle name="常规 10 2" xfId="52"/>
    <cellStyle name="常规_土地基金收入调整" xfId="53"/>
    <cellStyle name="常规 194" xfId="54"/>
    <cellStyle name="常规 2" xfId="55"/>
    <cellStyle name="常规 2 19" xfId="56"/>
    <cellStyle name="常规 2 2" xfId="57"/>
    <cellStyle name="常规_2006区级预算追加情况表" xfId="58"/>
    <cellStyle name="常规 2 5 2" xfId="59"/>
    <cellStyle name="常规 3" xfId="60"/>
    <cellStyle name="千位分隔 2 10" xfId="61"/>
    <cellStyle name="常规 30 2" xfId="62"/>
    <cellStyle name="常规 32 2" xfId="63"/>
    <cellStyle name="常规 33 2" xfId="64"/>
    <cellStyle name="常规 4 2" xfId="65"/>
    <cellStyle name="常规_Sheet2" xfId="66"/>
    <cellStyle name="千位分隔 3" xfId="67"/>
  </cellStyles>
  <tableStyles count="0" defaultTableStyle="TableStyleMedium9"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8"/>
  <sheetViews>
    <sheetView tabSelected="1" view="pageBreakPreview" zoomScaleNormal="100" workbookViewId="0">
      <selection activeCell="A2" sqref="A2:C2"/>
    </sheetView>
  </sheetViews>
  <sheetFormatPr defaultColWidth="9" defaultRowHeight="14.25"/>
  <cols>
    <col min="6" max="6" width="12.625" customWidth="1"/>
    <col min="7" max="7" width="27"/>
    <col min="9" max="9" width="9.75" customWidth="1"/>
  </cols>
  <sheetData>
    <row r="2" ht="20.25" spans="1:10">
      <c r="A2" s="506"/>
      <c r="B2" s="506"/>
      <c r="C2" s="506"/>
      <c r="D2" s="507"/>
      <c r="E2" s="507"/>
      <c r="F2" s="507"/>
      <c r="G2" s="507"/>
      <c r="H2" s="507"/>
      <c r="I2" s="507"/>
      <c r="J2" s="507"/>
    </row>
    <row r="3" ht="20.25" spans="3:10">
      <c r="C3" s="507"/>
      <c r="D3" s="507"/>
      <c r="E3" s="507"/>
      <c r="F3" s="507"/>
      <c r="G3" s="507"/>
      <c r="H3" s="507"/>
      <c r="I3" s="507"/>
      <c r="J3" s="507"/>
    </row>
    <row r="4" ht="20.25" spans="3:10">
      <c r="C4" s="507"/>
      <c r="D4" s="507"/>
      <c r="E4" s="507"/>
      <c r="F4" s="507"/>
      <c r="G4" s="507"/>
      <c r="H4" s="507"/>
      <c r="I4" s="507"/>
      <c r="J4" s="507"/>
    </row>
    <row r="5" ht="20.25" spans="3:12">
      <c r="C5" s="507"/>
      <c r="D5" s="507"/>
      <c r="E5" s="507"/>
      <c r="F5" s="507"/>
      <c r="G5" s="507"/>
      <c r="H5" s="507"/>
      <c r="I5" s="507"/>
      <c r="L5" s="507"/>
    </row>
    <row r="8" ht="35.25" spans="1:12">
      <c r="A8" s="508" t="s">
        <v>0</v>
      </c>
      <c r="B8" s="508"/>
      <c r="C8" s="508"/>
      <c r="D8" s="508"/>
      <c r="E8" s="508"/>
      <c r="F8" s="508"/>
      <c r="G8" s="508"/>
      <c r="H8" s="508"/>
      <c r="I8" s="508"/>
      <c r="J8" s="508"/>
      <c r="K8" s="508"/>
      <c r="L8" s="511"/>
    </row>
    <row r="15" ht="20.25" spans="1:12">
      <c r="A15" s="509" t="s">
        <v>1</v>
      </c>
      <c r="B15" s="509"/>
      <c r="C15" s="509"/>
      <c r="D15" s="509"/>
      <c r="E15" s="509"/>
      <c r="F15" s="509"/>
      <c r="G15" s="509"/>
      <c r="H15" s="509"/>
      <c r="I15" s="509"/>
      <c r="J15" s="509"/>
      <c r="K15" s="509"/>
      <c r="L15" s="512"/>
    </row>
    <row r="16" ht="20.25" spans="3:8">
      <c r="C16" s="507"/>
      <c r="D16" s="507"/>
      <c r="E16" s="507"/>
      <c r="F16" s="510"/>
      <c r="G16" s="507"/>
      <c r="H16" s="507"/>
    </row>
    <row r="17" ht="20.25" spans="3:8">
      <c r="C17" s="507"/>
      <c r="D17" s="507"/>
      <c r="E17" s="507"/>
      <c r="F17" s="510"/>
      <c r="G17" s="507"/>
      <c r="H17" s="507"/>
    </row>
    <row r="18" ht="20.25" spans="1:12">
      <c r="A18" s="509" t="s">
        <v>2</v>
      </c>
      <c r="B18" s="509"/>
      <c r="C18" s="509"/>
      <c r="D18" s="509"/>
      <c r="E18" s="509"/>
      <c r="F18" s="509"/>
      <c r="G18" s="509"/>
      <c r="H18" s="509"/>
      <c r="I18" s="509"/>
      <c r="J18" s="509"/>
      <c r="K18" s="509"/>
      <c r="L18" s="512"/>
    </row>
  </sheetData>
  <mergeCells count="4">
    <mergeCell ref="A2:C2"/>
    <mergeCell ref="A8:K8"/>
    <mergeCell ref="A15:K15"/>
    <mergeCell ref="A18:K18"/>
  </mergeCells>
  <printOptions horizontalCentered="1"/>
  <pageMargins left="0.786805555555556" right="0.786805555555556" top="0.786805555555556" bottom="0.786805555555556" header="0.196527777777778" footer="0.196527777777778"/>
  <pageSetup paperSize="9" scale="93"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1"/>
  <sheetViews>
    <sheetView workbookViewId="0">
      <selection activeCell="C10" sqref="C10"/>
    </sheetView>
  </sheetViews>
  <sheetFormatPr defaultColWidth="9" defaultRowHeight="13.5"/>
  <cols>
    <col min="1" max="1" width="30.625" style="2" customWidth="1"/>
    <col min="2" max="3" width="15.625" style="2" customWidth="1"/>
    <col min="4" max="4" width="30.625" style="37" customWidth="1"/>
    <col min="5" max="5" width="15.625" style="69" customWidth="1"/>
    <col min="6" max="6" width="30.625" style="2" customWidth="1"/>
    <col min="7" max="16384" width="9" style="2"/>
  </cols>
  <sheetData>
    <row r="1" s="1" customFormat="1" ht="20" customHeight="1" spans="1:256">
      <c r="A1" s="1" t="s">
        <v>1481</v>
      </c>
      <c r="IV1" s="9"/>
    </row>
    <row r="2" s="1" customFormat="1" ht="25" customHeight="1" spans="1:256">
      <c r="A2" s="11" t="s">
        <v>1482</v>
      </c>
      <c r="B2" s="11"/>
      <c r="C2" s="11"/>
      <c r="D2" s="11"/>
      <c r="E2" s="11"/>
      <c r="F2" s="11"/>
      <c r="IV2" s="9"/>
    </row>
    <row r="3" ht="20.1" customHeight="1" spans="6:6">
      <c r="F3" s="15" t="s">
        <v>5</v>
      </c>
    </row>
    <row r="4" ht="54.95" customHeight="1" spans="1:6">
      <c r="A4" s="70" t="s">
        <v>1483</v>
      </c>
      <c r="B4" s="71"/>
      <c r="C4" s="71" t="s">
        <v>1484</v>
      </c>
      <c r="D4" s="72"/>
      <c r="E4" s="73"/>
      <c r="F4" s="74"/>
    </row>
    <row r="5" ht="54.95" customHeight="1" spans="1:6">
      <c r="A5" s="75" t="s">
        <v>1485</v>
      </c>
      <c r="B5" s="76" t="s">
        <v>478</v>
      </c>
      <c r="C5" s="75" t="s">
        <v>1486</v>
      </c>
      <c r="D5" s="75" t="s">
        <v>6</v>
      </c>
      <c r="E5" s="77" t="s">
        <v>478</v>
      </c>
      <c r="F5" s="75" t="s">
        <v>11</v>
      </c>
    </row>
    <row r="6" ht="54.95" customHeight="1" spans="1:6">
      <c r="A6" s="75" t="s">
        <v>828</v>
      </c>
      <c r="B6" s="78">
        <v>117</v>
      </c>
      <c r="C6" s="75" t="s">
        <v>567</v>
      </c>
      <c r="D6" s="75" t="s">
        <v>1487</v>
      </c>
      <c r="E6" s="79">
        <v>92.83</v>
      </c>
      <c r="F6" s="75" t="s">
        <v>1488</v>
      </c>
    </row>
    <row r="7" ht="54.95" customHeight="1" spans="1:6">
      <c r="A7" s="75" t="s">
        <v>1489</v>
      </c>
      <c r="B7" s="78">
        <f>972.894274-117</f>
        <v>855.894274</v>
      </c>
      <c r="C7" s="75" t="s">
        <v>498</v>
      </c>
      <c r="D7" s="75" t="s">
        <v>1490</v>
      </c>
      <c r="E7" s="79">
        <v>1023.4</v>
      </c>
      <c r="F7" s="75"/>
    </row>
    <row r="8" ht="54.95" customHeight="1" spans="1:6">
      <c r="A8" s="75" t="s">
        <v>1491</v>
      </c>
      <c r="B8" s="78">
        <f>5973.635003-B9-B10</f>
        <v>5667.515003</v>
      </c>
      <c r="C8" s="75" t="s">
        <v>1235</v>
      </c>
      <c r="D8" s="75" t="s">
        <v>1492</v>
      </c>
      <c r="E8" s="79">
        <v>3420.96</v>
      </c>
      <c r="F8" s="75"/>
    </row>
    <row r="9" ht="54.95" customHeight="1" spans="1:6">
      <c r="A9" s="75" t="s">
        <v>1493</v>
      </c>
      <c r="B9" s="78">
        <v>3.12</v>
      </c>
      <c r="C9" s="75" t="s">
        <v>577</v>
      </c>
      <c r="D9" s="75" t="s">
        <v>1494</v>
      </c>
      <c r="E9" s="79">
        <v>2410</v>
      </c>
      <c r="F9" s="75"/>
    </row>
    <row r="10" ht="54.95" customHeight="1" spans="1:6">
      <c r="A10" s="75" t="s">
        <v>1495</v>
      </c>
      <c r="B10" s="78">
        <v>303</v>
      </c>
      <c r="C10" s="75"/>
      <c r="D10" s="75"/>
      <c r="E10" s="79"/>
      <c r="F10" s="75"/>
    </row>
    <row r="11" ht="54.95" customHeight="1" spans="1:6">
      <c r="A11" s="70" t="s">
        <v>470</v>
      </c>
      <c r="B11" s="80">
        <f>SUM(B6:B10)</f>
        <v>6946.529277</v>
      </c>
      <c r="C11" s="71" t="s">
        <v>470</v>
      </c>
      <c r="D11" s="74"/>
      <c r="E11" s="80">
        <f>SUM(E6:E10)</f>
        <v>6947.19</v>
      </c>
      <c r="F11" s="81"/>
    </row>
  </sheetData>
  <mergeCells count="5">
    <mergeCell ref="A2:F2"/>
    <mergeCell ref="A4:B4"/>
    <mergeCell ref="C4:F4"/>
    <mergeCell ref="C11:D11"/>
    <mergeCell ref="F6:F8"/>
  </mergeCells>
  <printOptions horizontalCentered="1"/>
  <pageMargins left="0.393055555555556" right="0.393055555555556" top="0.393055555555556" bottom="0.393055555555556" header="0.196527777777778" footer="0.196527777777778"/>
  <pageSetup paperSize="9" scale="94" orientation="landscape"/>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1"/>
  <sheetViews>
    <sheetView topLeftCell="A12" workbookViewId="0">
      <selection activeCell="D12" sqref="D12"/>
    </sheetView>
  </sheetViews>
  <sheetFormatPr defaultColWidth="9" defaultRowHeight="14.25"/>
  <cols>
    <col min="1" max="1" width="40.625" style="1" customWidth="1"/>
    <col min="2" max="2" width="20.625" style="1" customWidth="1"/>
    <col min="3" max="3" width="15.625" style="1" customWidth="1"/>
    <col min="4" max="4" width="25.625" style="1" customWidth="1"/>
    <col min="5" max="5" width="35.625" style="1" customWidth="1"/>
    <col min="6" max="255" width="9" style="1"/>
    <col min="256" max="16384" width="9" style="9"/>
  </cols>
  <sheetData>
    <row r="1" s="1" customFormat="1" ht="20" customHeight="1" spans="1:256">
      <c r="A1" s="1" t="s">
        <v>1496</v>
      </c>
      <c r="IV1" s="9"/>
    </row>
    <row r="2" s="1" customFormat="1" ht="25" customHeight="1" spans="1:256">
      <c r="A2" s="36" t="s">
        <v>1497</v>
      </c>
      <c r="B2" s="36"/>
      <c r="C2" s="36"/>
      <c r="D2" s="36"/>
      <c r="E2" s="36"/>
      <c r="IV2" s="9"/>
    </row>
    <row r="3" s="2" customFormat="1" ht="20.1" customHeight="1" spans="4:6">
      <c r="D3" s="37"/>
      <c r="E3" s="38" t="s">
        <v>5</v>
      </c>
      <c r="F3" s="15"/>
    </row>
    <row r="4" s="3" customFormat="1" ht="28.5" hidden="1" customHeight="1" spans="2:5">
      <c r="B4" s="54"/>
      <c r="C4" s="55"/>
      <c r="D4" s="54"/>
      <c r="E4" s="54"/>
    </row>
    <row r="5" s="3" customFormat="1" ht="24.95" customHeight="1" spans="1:5">
      <c r="A5" s="46" t="s">
        <v>1498</v>
      </c>
      <c r="B5" s="46" t="s">
        <v>7</v>
      </c>
      <c r="C5" s="46" t="s">
        <v>8</v>
      </c>
      <c r="D5" s="39" t="s">
        <v>1499</v>
      </c>
      <c r="E5" s="46" t="s">
        <v>11</v>
      </c>
    </row>
    <row r="6" s="3" customFormat="1" ht="24.95" customHeight="1" spans="1:5">
      <c r="A6" s="46"/>
      <c r="B6" s="46"/>
      <c r="C6" s="46"/>
      <c r="D6" s="39"/>
      <c r="E6" s="46"/>
    </row>
    <row r="7" s="1" customFormat="1" ht="24.95" customHeight="1" spans="1:256">
      <c r="A7" s="56" t="s">
        <v>1500</v>
      </c>
      <c r="B7" s="57">
        <v>50</v>
      </c>
      <c r="C7" s="57"/>
      <c r="D7" s="57">
        <v>50</v>
      </c>
      <c r="E7" s="59"/>
      <c r="IV7" s="9"/>
    </row>
    <row r="8" s="1" customFormat="1" ht="24.95" customHeight="1" spans="1:256">
      <c r="A8" s="56" t="s">
        <v>1501</v>
      </c>
      <c r="B8" s="57"/>
      <c r="C8" s="57"/>
      <c r="D8" s="57">
        <f t="shared" ref="D8:D12" si="0">B8+C8</f>
        <v>0</v>
      </c>
      <c r="E8" s="59"/>
      <c r="IV8" s="9"/>
    </row>
    <row r="9" s="1" customFormat="1" ht="24.95" customHeight="1" spans="1:256">
      <c r="A9" s="56" t="s">
        <v>1502</v>
      </c>
      <c r="B9" s="57"/>
      <c r="C9" s="57"/>
      <c r="D9" s="57">
        <f t="shared" si="0"/>
        <v>0</v>
      </c>
      <c r="E9" s="59"/>
      <c r="IV9" s="9"/>
    </row>
    <row r="10" s="1" customFormat="1" ht="24.95" customHeight="1" spans="1:256">
      <c r="A10" s="56" t="s">
        <v>1503</v>
      </c>
      <c r="B10" s="57"/>
      <c r="C10" s="57"/>
      <c r="D10" s="57">
        <f t="shared" si="0"/>
        <v>0</v>
      </c>
      <c r="E10" s="59"/>
      <c r="IV10" s="9"/>
    </row>
    <row r="11" s="1" customFormat="1" ht="24.95" customHeight="1" spans="1:256">
      <c r="A11" s="68" t="s">
        <v>1504</v>
      </c>
      <c r="B11" s="57"/>
      <c r="C11" s="57"/>
      <c r="D11" s="57">
        <f t="shared" si="0"/>
        <v>0</v>
      </c>
      <c r="E11" s="59"/>
      <c r="IV11" s="9"/>
    </row>
    <row r="12" s="1" customFormat="1" ht="24.95" customHeight="1" spans="1:256">
      <c r="A12" s="56" t="s">
        <v>1505</v>
      </c>
      <c r="B12" s="57">
        <v>50</v>
      </c>
      <c r="C12" s="57"/>
      <c r="D12" s="57">
        <f t="shared" si="0"/>
        <v>50</v>
      </c>
      <c r="E12" s="59"/>
      <c r="IV12" s="9"/>
    </row>
    <row r="13" s="1" customFormat="1" ht="24.95" customHeight="1" spans="1:256">
      <c r="A13" s="56" t="s">
        <v>1506</v>
      </c>
      <c r="B13" s="60">
        <v>6690</v>
      </c>
      <c r="C13" s="57">
        <f>-1077.58+0.1</f>
        <v>-1077.48</v>
      </c>
      <c r="D13" s="57">
        <v>5612.42</v>
      </c>
      <c r="E13" s="59" t="s">
        <v>1507</v>
      </c>
      <c r="IV13" s="9"/>
    </row>
    <row r="14" s="1" customFormat="1" ht="24.95" customHeight="1" spans="1:256">
      <c r="A14" s="56" t="s">
        <v>1508</v>
      </c>
      <c r="B14" s="57"/>
      <c r="C14" s="57"/>
      <c r="D14" s="57">
        <f t="shared" ref="D14:D20" si="1">B14+C14</f>
        <v>0</v>
      </c>
      <c r="E14" s="59"/>
      <c r="IV14" s="9"/>
    </row>
    <row r="15" s="1" customFormat="1" ht="24.95" customHeight="1" spans="1:256">
      <c r="A15" s="56" t="s">
        <v>1509</v>
      </c>
      <c r="B15" s="61"/>
      <c r="C15" s="57"/>
      <c r="D15" s="57">
        <f t="shared" si="1"/>
        <v>0</v>
      </c>
      <c r="E15" s="59"/>
      <c r="IV15" s="9"/>
    </row>
    <row r="16" s="1" customFormat="1" ht="24.95" customHeight="1" spans="1:256">
      <c r="A16" s="56" t="s">
        <v>1510</v>
      </c>
      <c r="B16" s="57"/>
      <c r="C16" s="57"/>
      <c r="D16" s="57">
        <f t="shared" si="1"/>
        <v>0</v>
      </c>
      <c r="E16" s="59"/>
      <c r="IV16" s="9"/>
    </row>
    <row r="17" s="6" customFormat="1" ht="24.95" customHeight="1" spans="1:256">
      <c r="A17" s="62" t="s">
        <v>1511</v>
      </c>
      <c r="B17" s="63">
        <f>B7+B13</f>
        <v>6740</v>
      </c>
      <c r="C17" s="63">
        <f>C7+C13</f>
        <v>-1077.48</v>
      </c>
      <c r="D17" s="63">
        <f t="shared" si="1"/>
        <v>5662.52</v>
      </c>
      <c r="E17" s="65" t="s">
        <v>1507</v>
      </c>
      <c r="IV17" s="34"/>
    </row>
    <row r="18" s="1" customFormat="1" ht="24.95" customHeight="1" spans="1:256">
      <c r="A18" s="56" t="s">
        <v>1512</v>
      </c>
      <c r="B18" s="57">
        <v>13.25</v>
      </c>
      <c r="C18" s="57"/>
      <c r="D18" s="57">
        <f t="shared" si="1"/>
        <v>13.25</v>
      </c>
      <c r="E18" s="59"/>
      <c r="IV18" s="9"/>
    </row>
    <row r="19" s="1" customFormat="1" ht="24.95" customHeight="1" spans="1:256">
      <c r="A19" s="56" t="s">
        <v>1513</v>
      </c>
      <c r="B19" s="57">
        <v>13.25</v>
      </c>
      <c r="C19" s="57"/>
      <c r="D19" s="57">
        <f t="shared" si="1"/>
        <v>13.25</v>
      </c>
      <c r="E19" s="59"/>
      <c r="IV19" s="9"/>
    </row>
    <row r="20" s="1" customFormat="1" ht="24.95" customHeight="1" spans="1:256">
      <c r="A20" s="56" t="s">
        <v>1514</v>
      </c>
      <c r="B20" s="57"/>
      <c r="C20" s="57"/>
      <c r="D20" s="57">
        <f t="shared" si="1"/>
        <v>0</v>
      </c>
      <c r="E20" s="59"/>
      <c r="IV20" s="9"/>
    </row>
    <row r="21" s="6" customFormat="1" ht="24.95" customHeight="1" spans="1:256">
      <c r="A21" s="67" t="s">
        <v>1515</v>
      </c>
      <c r="B21" s="63">
        <f>B17+B18</f>
        <v>6753.25</v>
      </c>
      <c r="C21" s="63">
        <f>C17+C18</f>
        <v>-1077.48</v>
      </c>
      <c r="D21" s="63">
        <f>D17+D18</f>
        <v>5675.77</v>
      </c>
      <c r="E21" s="65" t="s">
        <v>1507</v>
      </c>
      <c r="IV21" s="34"/>
    </row>
  </sheetData>
  <mergeCells count="6">
    <mergeCell ref="A2:E2"/>
    <mergeCell ref="A5:A6"/>
    <mergeCell ref="B5:B6"/>
    <mergeCell ref="C5:C6"/>
    <mergeCell ref="D5:D6"/>
    <mergeCell ref="E5:E6"/>
  </mergeCells>
  <printOptions horizontalCentered="1"/>
  <pageMargins left="0.393055555555556" right="0.393055555555556" top="0.393055555555556" bottom="0.393055555555556" header="0.196527777777778" footer="0.196527777777778"/>
  <pageSetup paperSize="9" scale="94" orientation="landscape"/>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4"/>
  <sheetViews>
    <sheetView topLeftCell="A17" workbookViewId="0">
      <selection activeCell="C9" sqref="C9"/>
    </sheetView>
  </sheetViews>
  <sheetFormatPr defaultColWidth="9" defaultRowHeight="14.25"/>
  <cols>
    <col min="1" max="1" width="35.625" style="1" customWidth="1"/>
    <col min="2" max="2" width="25.625" style="1" customWidth="1"/>
    <col min="3" max="3" width="20.625" style="1" customWidth="1"/>
    <col min="4" max="4" width="25.625" style="1" customWidth="1"/>
    <col min="5" max="5" width="45.625" style="1" customWidth="1"/>
    <col min="6" max="255" width="9" style="1"/>
    <col min="256" max="16384" width="9" style="9"/>
  </cols>
  <sheetData>
    <row r="1" s="1" customFormat="1" ht="20" customHeight="1" spans="1:256">
      <c r="A1" s="1" t="s">
        <v>1516</v>
      </c>
      <c r="IV1" s="9"/>
    </row>
    <row r="2" s="1" customFormat="1" ht="25" customHeight="1" spans="1:256">
      <c r="A2" s="36" t="s">
        <v>1517</v>
      </c>
      <c r="B2" s="36"/>
      <c r="C2" s="36"/>
      <c r="D2" s="36"/>
      <c r="E2" s="36"/>
      <c r="IV2" s="9"/>
    </row>
    <row r="3" s="2" customFormat="1" ht="20.1" customHeight="1" spans="4:6">
      <c r="D3" s="37"/>
      <c r="E3" s="38" t="s">
        <v>5</v>
      </c>
      <c r="F3" s="15"/>
    </row>
    <row r="4" s="3" customFormat="1" ht="28.5" hidden="1" customHeight="1" spans="2:5">
      <c r="B4" s="54"/>
      <c r="C4" s="55"/>
      <c r="D4" s="54"/>
      <c r="E4" s="54"/>
    </row>
    <row r="5" s="3" customFormat="1" ht="28.5" customHeight="1" spans="1:5">
      <c r="A5" s="46" t="s">
        <v>1498</v>
      </c>
      <c r="B5" s="46" t="s">
        <v>7</v>
      </c>
      <c r="C5" s="46" t="s">
        <v>8</v>
      </c>
      <c r="D5" s="39" t="s">
        <v>1499</v>
      </c>
      <c r="E5" s="46" t="s">
        <v>11</v>
      </c>
    </row>
    <row r="6" s="3" customFormat="1" ht="28.5" customHeight="1" spans="1:5">
      <c r="A6" s="46"/>
      <c r="B6" s="46"/>
      <c r="C6" s="46"/>
      <c r="D6" s="39"/>
      <c r="E6" s="46"/>
    </row>
    <row r="7" s="1" customFormat="1" ht="24.95" customHeight="1" spans="1:256">
      <c r="A7" s="56" t="s">
        <v>1518</v>
      </c>
      <c r="B7" s="57">
        <v>85</v>
      </c>
      <c r="C7" s="57">
        <v>-41</v>
      </c>
      <c r="D7" s="58">
        <v>44</v>
      </c>
      <c r="E7" s="59"/>
      <c r="IV7" s="9"/>
    </row>
    <row r="8" s="1" customFormat="1" ht="30.95" hidden="1" customHeight="1" spans="1:256">
      <c r="A8" s="56" t="s">
        <v>1519</v>
      </c>
      <c r="B8" s="57"/>
      <c r="C8" s="57"/>
      <c r="D8" s="57"/>
      <c r="E8" s="59"/>
      <c r="IV8" s="9"/>
    </row>
    <row r="9" s="1" customFormat="1" ht="24.95" customHeight="1" spans="1:256">
      <c r="A9" s="56" t="s">
        <v>1520</v>
      </c>
      <c r="B9" s="57"/>
      <c r="C9" s="57"/>
      <c r="D9" s="57"/>
      <c r="E9" s="59"/>
      <c r="IV9" s="9"/>
    </row>
    <row r="10" s="1" customFormat="1" ht="24.95" customHeight="1" spans="1:256">
      <c r="A10" s="56" t="s">
        <v>1521</v>
      </c>
      <c r="B10" s="57">
        <v>85</v>
      </c>
      <c r="C10" s="57">
        <v>-41</v>
      </c>
      <c r="D10" s="58">
        <v>44</v>
      </c>
      <c r="E10" s="59" t="s">
        <v>1522</v>
      </c>
      <c r="IV10" s="9"/>
    </row>
    <row r="11" s="1" customFormat="1" ht="24.95" customHeight="1" spans="1:256">
      <c r="A11" s="56" t="s">
        <v>1523</v>
      </c>
      <c r="B11" s="57">
        <v>0</v>
      </c>
      <c r="C11" s="57"/>
      <c r="D11" s="57"/>
      <c r="E11" s="59"/>
      <c r="IV11" s="9"/>
    </row>
    <row r="12" s="1" customFormat="1" ht="24.95" customHeight="1" spans="1:256">
      <c r="A12" s="56" t="s">
        <v>1524</v>
      </c>
      <c r="B12" s="57"/>
      <c r="C12" s="57"/>
      <c r="D12" s="57"/>
      <c r="E12" s="59"/>
      <c r="IV12" s="9"/>
    </row>
    <row r="13" s="1" customFormat="1" ht="24.95" customHeight="1" spans="1:256">
      <c r="A13" s="56" t="s">
        <v>1525</v>
      </c>
      <c r="B13" s="60"/>
      <c r="C13" s="57"/>
      <c r="D13" s="57"/>
      <c r="E13" s="59"/>
      <c r="IV13" s="9"/>
    </row>
    <row r="14" s="1" customFormat="1" ht="24.95" customHeight="1" spans="1:256">
      <c r="A14" s="56" t="s">
        <v>1526</v>
      </c>
      <c r="B14" s="57">
        <v>0</v>
      </c>
      <c r="C14" s="57"/>
      <c r="D14" s="57"/>
      <c r="E14" s="59"/>
      <c r="IV14" s="9"/>
    </row>
    <row r="15" s="1" customFormat="1" ht="24.95" customHeight="1" spans="1:256">
      <c r="A15" s="56" t="s">
        <v>1527</v>
      </c>
      <c r="B15" s="61"/>
      <c r="C15" s="57"/>
      <c r="D15" s="61"/>
      <c r="E15" s="59"/>
      <c r="IV15" s="9"/>
    </row>
    <row r="16" s="1" customFormat="1" ht="24.95" customHeight="1" spans="1:256">
      <c r="A16" s="56" t="s">
        <v>1528</v>
      </c>
      <c r="B16" s="57"/>
      <c r="C16" s="57"/>
      <c r="D16" s="57"/>
      <c r="E16" s="59"/>
      <c r="IV16" s="9"/>
    </row>
    <row r="17" s="1" customFormat="1" ht="24.95" customHeight="1" spans="1:256">
      <c r="A17" s="56" t="s">
        <v>1529</v>
      </c>
      <c r="B17" s="57">
        <v>4646.25</v>
      </c>
      <c r="C17" s="58">
        <f>-753.6124+0.2</f>
        <v>-753.4124</v>
      </c>
      <c r="D17" s="58">
        <v>3892.6376</v>
      </c>
      <c r="E17" s="59" t="s">
        <v>1530</v>
      </c>
      <c r="IV17" s="9"/>
    </row>
    <row r="18" s="1" customFormat="1" ht="24.95" customHeight="1" spans="1:256">
      <c r="A18" s="56" t="s">
        <v>1531</v>
      </c>
      <c r="B18" s="57">
        <v>4646.25</v>
      </c>
      <c r="C18" s="58">
        <f>-753.6124+0.2</f>
        <v>-753.4124</v>
      </c>
      <c r="D18" s="58">
        <v>3892.6376</v>
      </c>
      <c r="E18" s="59" t="s">
        <v>1530</v>
      </c>
      <c r="IV18" s="9"/>
    </row>
    <row r="19" s="6" customFormat="1" ht="24.95" customHeight="1" spans="1:256">
      <c r="A19" s="62" t="s">
        <v>1532</v>
      </c>
      <c r="B19" s="63">
        <f>B7+B11+B15+B17</f>
        <v>4731.25</v>
      </c>
      <c r="C19" s="63">
        <f>C7+C11+C15+C17</f>
        <v>-794.4124</v>
      </c>
      <c r="D19" s="64">
        <f>D7+D11+D15+D17</f>
        <v>3936.6376</v>
      </c>
      <c r="E19" s="65" t="s">
        <v>1530</v>
      </c>
      <c r="IV19" s="34"/>
    </row>
    <row r="20" s="1" customFormat="1" ht="24.95" customHeight="1" spans="1:256">
      <c r="A20" s="66" t="s">
        <v>1533</v>
      </c>
      <c r="B20" s="57"/>
      <c r="C20" s="58">
        <v>40.3064</v>
      </c>
      <c r="D20" s="58">
        <v>40.3064</v>
      </c>
      <c r="E20" s="59"/>
      <c r="IV20" s="9"/>
    </row>
    <row r="21" s="1" customFormat="1" ht="24.95" customHeight="1" spans="1:256">
      <c r="A21" s="56" t="s">
        <v>1513</v>
      </c>
      <c r="B21" s="57"/>
      <c r="C21" s="58">
        <v>40.3064</v>
      </c>
      <c r="D21" s="58">
        <v>40.3064</v>
      </c>
      <c r="E21" s="59"/>
      <c r="IV21" s="9"/>
    </row>
    <row r="22" s="1" customFormat="1" ht="24.95" customHeight="1" spans="1:256">
      <c r="A22" s="56" t="s">
        <v>1534</v>
      </c>
      <c r="B22" s="57"/>
      <c r="C22" s="57"/>
      <c r="D22" s="57"/>
      <c r="E22" s="59"/>
      <c r="IV22" s="9"/>
    </row>
    <row r="23" s="1" customFormat="1" ht="24.95" customHeight="1" spans="1:256">
      <c r="A23" s="66" t="s">
        <v>1535</v>
      </c>
      <c r="B23" s="57">
        <v>2022</v>
      </c>
      <c r="C23" s="57">
        <v>-323.274</v>
      </c>
      <c r="D23" s="57">
        <v>1698.726</v>
      </c>
      <c r="E23" s="59" t="s">
        <v>1530</v>
      </c>
      <c r="IV23" s="9"/>
    </row>
    <row r="24" s="6" customFormat="1" ht="24.95" customHeight="1" spans="1:256">
      <c r="A24" s="67" t="s">
        <v>1536</v>
      </c>
      <c r="B24" s="63">
        <f>B19+B20+B23</f>
        <v>6753.25</v>
      </c>
      <c r="C24" s="63">
        <f>C19+C20+C23</f>
        <v>-1077.38</v>
      </c>
      <c r="D24" s="63">
        <f>D19+D20+D23</f>
        <v>5675.67</v>
      </c>
      <c r="E24" s="65" t="s">
        <v>1530</v>
      </c>
      <c r="IV24" s="34"/>
    </row>
  </sheetData>
  <mergeCells count="6">
    <mergeCell ref="A2:E2"/>
    <mergeCell ref="A5:A6"/>
    <mergeCell ref="B5:B6"/>
    <mergeCell ref="C5:C6"/>
    <mergeCell ref="D5:D6"/>
    <mergeCell ref="E5:E6"/>
  </mergeCells>
  <printOptions horizontalCentered="1"/>
  <pageMargins left="0.393055555555556" right="0.393055555555556" top="0.393055555555556" bottom="0.393055555555556" header="0.196527777777778" footer="0.196527777777778"/>
  <pageSetup paperSize="9" scale="85" orientation="landscape"/>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workbookViewId="0">
      <selection activeCell="A1" sqref="A1"/>
    </sheetView>
  </sheetViews>
  <sheetFormatPr defaultColWidth="9" defaultRowHeight="14.25"/>
  <cols>
    <col min="1" max="1" width="60.625" style="1" customWidth="1"/>
    <col min="2" max="4" width="20.625" style="1" customWidth="1"/>
    <col min="5" max="5" width="20.625" style="5" customWidth="1"/>
    <col min="6" max="252" width="9" style="1"/>
    <col min="253" max="16383" width="9" style="9"/>
  </cols>
  <sheetData>
    <row r="1" s="1" customFormat="1" ht="20" customHeight="1" spans="1:256">
      <c r="A1" s="1" t="s">
        <v>1537</v>
      </c>
      <c r="IV1" s="9"/>
    </row>
    <row r="2" s="1" customFormat="1" ht="25" customHeight="1" spans="1:256">
      <c r="A2" s="36" t="s">
        <v>1538</v>
      </c>
      <c r="B2" s="36"/>
      <c r="C2" s="36"/>
      <c r="D2" s="36"/>
      <c r="E2" s="36"/>
      <c r="IV2" s="9"/>
    </row>
    <row r="3" s="2" customFormat="1" ht="20.1" customHeight="1" spans="4:6">
      <c r="D3" s="37"/>
      <c r="E3" s="38" t="s">
        <v>5</v>
      </c>
      <c r="F3" s="15"/>
    </row>
    <row r="4" s="3" customFormat="1" ht="50.1" customHeight="1" spans="1:5">
      <c r="A4" s="39" t="s">
        <v>1498</v>
      </c>
      <c r="B4" s="39" t="s">
        <v>7</v>
      </c>
      <c r="C4" s="39" t="s">
        <v>8</v>
      </c>
      <c r="D4" s="39" t="s">
        <v>9</v>
      </c>
      <c r="E4" s="39" t="s">
        <v>11</v>
      </c>
    </row>
    <row r="5" s="1" customFormat="1" ht="20.1" customHeight="1" spans="1:255">
      <c r="A5" s="40" t="s">
        <v>1539</v>
      </c>
      <c r="B5" s="41">
        <f>SUM(B6,B14)</f>
        <v>30432</v>
      </c>
      <c r="C5" s="41">
        <f>SUM(C6,C14)</f>
        <v>1284</v>
      </c>
      <c r="D5" s="41">
        <f>SUM(D6,D14)</f>
        <v>31716</v>
      </c>
      <c r="E5" s="42"/>
      <c r="IS5" s="9"/>
      <c r="IT5" s="9"/>
      <c r="IU5" s="9"/>
    </row>
    <row r="6" s="1" customFormat="1" ht="20.1" customHeight="1" spans="1:255">
      <c r="A6" s="40" t="s">
        <v>1540</v>
      </c>
      <c r="B6" s="25">
        <f>SUM(B7:B13)</f>
        <v>10618</v>
      </c>
      <c r="C6" s="25">
        <f>SUM(C7:C13)</f>
        <v>1014</v>
      </c>
      <c r="D6" s="25">
        <f>SUM(D7:D13)</f>
        <v>11632</v>
      </c>
      <c r="E6" s="42"/>
      <c r="IS6" s="9"/>
      <c r="IT6" s="9"/>
      <c r="IU6" s="9"/>
    </row>
    <row r="7" s="1" customFormat="1" ht="20.1" customHeight="1" spans="1:255">
      <c r="A7" s="40" t="s">
        <v>1541</v>
      </c>
      <c r="B7" s="25">
        <v>905</v>
      </c>
      <c r="C7" s="25">
        <v>556</v>
      </c>
      <c r="D7" s="25">
        <f t="shared" ref="D7:D13" si="0">SUM(B7:C7)</f>
        <v>1461</v>
      </c>
      <c r="E7" s="42"/>
      <c r="IS7" s="9"/>
      <c r="IT7" s="9"/>
      <c r="IU7" s="9"/>
    </row>
    <row r="8" s="1" customFormat="1" ht="20.1" customHeight="1" spans="1:255">
      <c r="A8" s="40" t="s">
        <v>1542</v>
      </c>
      <c r="B8" s="25">
        <v>8894</v>
      </c>
      <c r="C8" s="27">
        <v>543</v>
      </c>
      <c r="D8" s="25">
        <f t="shared" si="0"/>
        <v>9437</v>
      </c>
      <c r="E8" s="42"/>
      <c r="IS8" s="9"/>
      <c r="IT8" s="9"/>
      <c r="IU8" s="9"/>
    </row>
    <row r="9" s="1" customFormat="1" ht="20.1" customHeight="1" spans="1:255">
      <c r="A9" s="40" t="s">
        <v>1543</v>
      </c>
      <c r="B9" s="25">
        <v>274</v>
      </c>
      <c r="C9" s="27">
        <v>54</v>
      </c>
      <c r="D9" s="43">
        <f t="shared" si="0"/>
        <v>328</v>
      </c>
      <c r="E9" s="42"/>
      <c r="IS9" s="9"/>
      <c r="IT9" s="9"/>
      <c r="IU9" s="9"/>
    </row>
    <row r="10" s="1" customFormat="1" ht="20.1" customHeight="1" spans="1:255">
      <c r="A10" s="40" t="s">
        <v>1544</v>
      </c>
      <c r="B10" s="25">
        <v>55</v>
      </c>
      <c r="C10" s="27">
        <v>0</v>
      </c>
      <c r="D10" s="25">
        <f t="shared" si="0"/>
        <v>55</v>
      </c>
      <c r="E10" s="42"/>
      <c r="IS10" s="9"/>
      <c r="IT10" s="9"/>
      <c r="IU10" s="9"/>
    </row>
    <row r="11" s="1" customFormat="1" ht="20.1" customHeight="1" spans="1:255">
      <c r="A11" s="40" t="s">
        <v>1545</v>
      </c>
      <c r="B11" s="25">
        <v>445</v>
      </c>
      <c r="C11" s="27">
        <v>-145</v>
      </c>
      <c r="D11" s="25">
        <f t="shared" si="0"/>
        <v>300</v>
      </c>
      <c r="E11" s="42"/>
      <c r="IS11" s="9"/>
      <c r="IT11" s="9"/>
      <c r="IU11" s="9"/>
    </row>
    <row r="12" s="1" customFormat="1" ht="20.1" customHeight="1" spans="1:255">
      <c r="A12" s="40" t="s">
        <v>1546</v>
      </c>
      <c r="B12" s="25">
        <v>5</v>
      </c>
      <c r="C12" s="27">
        <v>2</v>
      </c>
      <c r="D12" s="25">
        <f t="shared" si="0"/>
        <v>7</v>
      </c>
      <c r="E12" s="42"/>
      <c r="IS12" s="9"/>
      <c r="IT12" s="9"/>
      <c r="IU12" s="9"/>
    </row>
    <row r="13" s="1" customFormat="1" ht="20.1" customHeight="1" spans="1:255">
      <c r="A13" s="40" t="s">
        <v>1547</v>
      </c>
      <c r="B13" s="44">
        <v>40</v>
      </c>
      <c r="C13" s="25">
        <v>4</v>
      </c>
      <c r="D13" s="25">
        <f t="shared" si="0"/>
        <v>44</v>
      </c>
      <c r="E13" s="42"/>
      <c r="IS13" s="9"/>
      <c r="IT13" s="9"/>
      <c r="IU13" s="9"/>
    </row>
    <row r="14" s="1" customFormat="1" ht="20.1" customHeight="1" spans="1:255">
      <c r="A14" s="40" t="s">
        <v>1548</v>
      </c>
      <c r="B14" s="25">
        <f>SUM(B15:B19)</f>
        <v>19814</v>
      </c>
      <c r="C14" s="25">
        <f>SUM(C15:C19)</f>
        <v>270</v>
      </c>
      <c r="D14" s="25">
        <f>SUM(D15:D19)</f>
        <v>20084</v>
      </c>
      <c r="E14" s="42"/>
      <c r="IS14" s="9"/>
      <c r="IT14" s="9"/>
      <c r="IU14" s="9"/>
    </row>
    <row r="15" s="1" customFormat="1" ht="20.1" customHeight="1" spans="1:255">
      <c r="A15" s="40" t="s">
        <v>1549</v>
      </c>
      <c r="B15" s="25">
        <v>10152</v>
      </c>
      <c r="C15" s="27">
        <v>419</v>
      </c>
      <c r="D15" s="25">
        <f t="shared" ref="D15:D19" si="1">SUM(B15:C15)</f>
        <v>10571</v>
      </c>
      <c r="E15" s="45"/>
      <c r="IS15" s="9"/>
      <c r="IT15" s="9"/>
      <c r="IU15" s="9"/>
    </row>
    <row r="16" s="1" customFormat="1" ht="20.1" customHeight="1" spans="1:255">
      <c r="A16" s="40" t="s">
        <v>1550</v>
      </c>
      <c r="B16" s="25">
        <v>9464</v>
      </c>
      <c r="C16" s="27">
        <v>-69</v>
      </c>
      <c r="D16" s="25">
        <f t="shared" si="1"/>
        <v>9395</v>
      </c>
      <c r="E16" s="42"/>
      <c r="IS16" s="9"/>
      <c r="IT16" s="9"/>
      <c r="IU16" s="9"/>
    </row>
    <row r="17" s="1" customFormat="1" ht="20.1" customHeight="1" spans="1:255">
      <c r="A17" s="40" t="s">
        <v>1551</v>
      </c>
      <c r="B17" s="25">
        <v>40</v>
      </c>
      <c r="C17" s="27">
        <v>-13</v>
      </c>
      <c r="D17" s="25">
        <f t="shared" si="1"/>
        <v>27</v>
      </c>
      <c r="E17" s="42"/>
      <c r="IS17" s="9"/>
      <c r="IT17" s="9"/>
      <c r="IU17" s="9"/>
    </row>
    <row r="18" s="1" customFormat="1" ht="20.1" customHeight="1" spans="1:255">
      <c r="A18" s="40" t="s">
        <v>1552</v>
      </c>
      <c r="B18" s="25">
        <v>157</v>
      </c>
      <c r="C18" s="25">
        <v>-67</v>
      </c>
      <c r="D18" s="25">
        <f t="shared" si="1"/>
        <v>90</v>
      </c>
      <c r="E18" s="42"/>
      <c r="IS18" s="9"/>
      <c r="IT18" s="9"/>
      <c r="IU18" s="9"/>
    </row>
    <row r="19" s="1" customFormat="1" ht="20.1" customHeight="1" spans="1:255">
      <c r="A19" s="40" t="s">
        <v>1553</v>
      </c>
      <c r="B19" s="25">
        <v>1</v>
      </c>
      <c r="C19" s="25">
        <v>0</v>
      </c>
      <c r="D19" s="25">
        <f t="shared" si="1"/>
        <v>1</v>
      </c>
      <c r="E19" s="42"/>
      <c r="IS19" s="9"/>
      <c r="IT19" s="9"/>
      <c r="IU19" s="9"/>
    </row>
    <row r="20" s="1" customFormat="1" ht="20.1" customHeight="1" spans="1:255">
      <c r="A20" s="46" t="s">
        <v>43</v>
      </c>
      <c r="B20" s="22">
        <f>SUM(B5)</f>
        <v>30432</v>
      </c>
      <c r="C20" s="22">
        <f>D20-B20</f>
        <v>1284</v>
      </c>
      <c r="D20" s="22">
        <f>SUM(D5)</f>
        <v>31716</v>
      </c>
      <c r="E20" s="47"/>
      <c r="IS20" s="9"/>
      <c r="IT20" s="9"/>
      <c r="IU20" s="9"/>
    </row>
    <row r="21" s="1" customFormat="1" ht="20.1" customHeight="1" spans="1:255">
      <c r="A21" s="40" t="s">
        <v>1554</v>
      </c>
      <c r="B21" s="25">
        <f>B22+B25+B26</f>
        <v>33621</v>
      </c>
      <c r="C21" s="25">
        <f>C22+C25+C26</f>
        <v>1880</v>
      </c>
      <c r="D21" s="25">
        <f>D22+D25+D26</f>
        <v>35501</v>
      </c>
      <c r="E21" s="42"/>
      <c r="IS21" s="9"/>
      <c r="IT21" s="9"/>
      <c r="IU21" s="9"/>
    </row>
    <row r="22" s="1" customFormat="1" ht="20.1" customHeight="1" spans="1:255">
      <c r="A22" s="40" t="s">
        <v>1555</v>
      </c>
      <c r="B22" s="25">
        <v>29789</v>
      </c>
      <c r="C22" s="27">
        <v>0</v>
      </c>
      <c r="D22" s="25">
        <f t="shared" ref="D22:D26" si="2">SUM(B22:C22)</f>
        <v>29789</v>
      </c>
      <c r="E22" s="45"/>
      <c r="IS22" s="9"/>
      <c r="IT22" s="9"/>
      <c r="IU22" s="9"/>
    </row>
    <row r="23" s="35" customFormat="1" ht="20.1" customHeight="1" spans="1:255">
      <c r="A23" s="48" t="s">
        <v>1556</v>
      </c>
      <c r="B23" s="49">
        <v>21882</v>
      </c>
      <c r="C23" s="50"/>
      <c r="D23" s="49">
        <f>B23+C23</f>
        <v>21882</v>
      </c>
      <c r="E23" s="51"/>
      <c r="IS23" s="53"/>
      <c r="IT23" s="53"/>
      <c r="IU23" s="53"/>
    </row>
    <row r="24" s="35" customFormat="1" ht="20.1" customHeight="1" spans="1:255">
      <c r="A24" s="48" t="s">
        <v>1557</v>
      </c>
      <c r="B24" s="49">
        <v>7901</v>
      </c>
      <c r="C24" s="50"/>
      <c r="D24" s="49">
        <f>B24+C24</f>
        <v>7901</v>
      </c>
      <c r="E24" s="51"/>
      <c r="IS24" s="53"/>
      <c r="IT24" s="53"/>
      <c r="IU24" s="53"/>
    </row>
    <row r="25" s="1" customFormat="1" ht="20.1" customHeight="1" spans="1:255">
      <c r="A25" s="40" t="s">
        <v>1558</v>
      </c>
      <c r="B25" s="25">
        <v>3542</v>
      </c>
      <c r="C25" s="25">
        <v>1870</v>
      </c>
      <c r="D25" s="44">
        <f t="shared" si="2"/>
        <v>5412</v>
      </c>
      <c r="E25" s="42"/>
      <c r="IS25" s="9"/>
      <c r="IT25" s="9"/>
      <c r="IU25" s="9"/>
    </row>
    <row r="26" s="1" customFormat="1" ht="20.1" customHeight="1" spans="1:255">
      <c r="A26" s="40" t="s">
        <v>1559</v>
      </c>
      <c r="B26" s="25">
        <v>290</v>
      </c>
      <c r="C26" s="25">
        <v>10</v>
      </c>
      <c r="D26" s="44">
        <f t="shared" si="2"/>
        <v>300</v>
      </c>
      <c r="E26" s="42"/>
      <c r="IS26" s="9"/>
      <c r="IT26" s="9"/>
      <c r="IU26" s="9"/>
    </row>
    <row r="27" s="1" customFormat="1" ht="20.1" customHeight="1" spans="1:255">
      <c r="A27" s="46" t="s">
        <v>1560</v>
      </c>
      <c r="B27" s="32">
        <f>B20+B21</f>
        <v>64053</v>
      </c>
      <c r="C27" s="32">
        <f>D27-B27</f>
        <v>3164</v>
      </c>
      <c r="D27" s="32">
        <f>D20+D21</f>
        <v>67217</v>
      </c>
      <c r="E27" s="42"/>
      <c r="IS27" s="9"/>
      <c r="IT27" s="9"/>
      <c r="IU27" s="9"/>
    </row>
    <row r="28" s="1" customFormat="1" spans="5:255">
      <c r="E28" s="5"/>
      <c r="IS28" s="9"/>
      <c r="IT28" s="9"/>
      <c r="IU28" s="9"/>
    </row>
    <row r="29" s="1" customFormat="1" ht="17.25" customHeight="1" spans="5:255">
      <c r="E29" s="5"/>
      <c r="IS29" s="9"/>
      <c r="IT29" s="9"/>
      <c r="IU29" s="9"/>
    </row>
    <row r="31" spans="1:3">
      <c r="A31" s="52"/>
      <c r="B31" s="52"/>
      <c r="C31" s="52"/>
    </row>
    <row r="32" spans="1:3">
      <c r="A32" s="52"/>
      <c r="B32" s="52"/>
      <c r="C32" s="52"/>
    </row>
    <row r="33" spans="1:3">
      <c r="A33" s="52"/>
      <c r="B33" s="52"/>
      <c r="C33" s="52"/>
    </row>
    <row r="34" spans="1:3">
      <c r="A34" s="52"/>
      <c r="B34" s="52"/>
      <c r="C34" s="52"/>
    </row>
    <row r="35" spans="1:3">
      <c r="A35" s="52"/>
      <c r="B35" s="52"/>
      <c r="C35" s="52"/>
    </row>
    <row r="36" spans="1:3">
      <c r="A36" s="52"/>
      <c r="B36" s="52"/>
      <c r="C36" s="52"/>
    </row>
  </sheetData>
  <mergeCells count="1">
    <mergeCell ref="A2:E2"/>
  </mergeCells>
  <printOptions horizontalCentered="1"/>
  <pageMargins left="0.393055555555556" right="0.393055555555556" top="0.393055555555556" bottom="0.393055555555556" header="0.196527777777778" footer="0.196527777777778"/>
  <pageSetup paperSize="9" scale="88" orientation="landscape"/>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3"/>
  <sheetViews>
    <sheetView topLeftCell="B1" workbookViewId="0">
      <selection activeCell="B27" sqref="B27"/>
    </sheetView>
  </sheetViews>
  <sheetFormatPr defaultColWidth="9" defaultRowHeight="14.25"/>
  <cols>
    <col min="1" max="1" width="11" style="7" hidden="1" customWidth="1"/>
    <col min="2" max="2" width="42.625" style="1" customWidth="1"/>
    <col min="3" max="5" width="20.625" style="8" customWidth="1"/>
    <col min="6" max="6" width="17.25" style="1" customWidth="1"/>
    <col min="7" max="251" width="9" style="1"/>
    <col min="252" max="16382" width="9" style="9"/>
  </cols>
  <sheetData>
    <row r="1" s="1" customFormat="1" ht="24.95" customHeight="1" spans="1:256">
      <c r="A1" s="10"/>
      <c r="B1" s="1" t="s">
        <v>1561</v>
      </c>
      <c r="C1" s="8"/>
      <c r="D1" s="8"/>
      <c r="E1" s="8"/>
      <c r="IV1" s="9"/>
    </row>
    <row r="2" s="1" customFormat="1" ht="25" customHeight="1" spans="1:256">
      <c r="A2" s="11" t="s">
        <v>1562</v>
      </c>
      <c r="B2" s="11"/>
      <c r="C2" s="11"/>
      <c r="D2" s="11"/>
      <c r="E2" s="11"/>
      <c r="F2" s="11"/>
      <c r="IV2" s="9"/>
    </row>
    <row r="3" s="2" customFormat="1" ht="20.1" customHeight="1" spans="3:6">
      <c r="C3" s="12"/>
      <c r="D3" s="13"/>
      <c r="E3" s="14"/>
      <c r="F3" s="15" t="s">
        <v>5</v>
      </c>
    </row>
    <row r="4" s="3" customFormat="1" ht="28.5" hidden="1" customHeight="1" spans="1:6">
      <c r="A4" s="16"/>
      <c r="B4" s="17"/>
      <c r="C4" s="18"/>
      <c r="D4" s="18"/>
      <c r="E4" s="18"/>
      <c r="F4" s="17"/>
    </row>
    <row r="5" s="3" customFormat="1" ht="50.1" customHeight="1" spans="1:6">
      <c r="A5" s="19" t="s">
        <v>1563</v>
      </c>
      <c r="B5" s="20" t="s">
        <v>1498</v>
      </c>
      <c r="C5" s="20" t="s">
        <v>7</v>
      </c>
      <c r="D5" s="20" t="s">
        <v>8</v>
      </c>
      <c r="E5" s="20" t="s">
        <v>9</v>
      </c>
      <c r="F5" s="20" t="s">
        <v>11</v>
      </c>
    </row>
    <row r="6" s="4" customFormat="1" ht="23.1" customHeight="1" spans="1:6">
      <c r="A6" s="21" t="s">
        <v>1564</v>
      </c>
      <c r="B6" s="21" t="s">
        <v>1565</v>
      </c>
      <c r="C6" s="22">
        <f t="shared" ref="C6:E6" si="0">SUM(C7,C13)</f>
        <v>19475</v>
      </c>
      <c r="D6" s="22">
        <f t="shared" si="0"/>
        <v>602</v>
      </c>
      <c r="E6" s="22">
        <f t="shared" si="0"/>
        <v>20077</v>
      </c>
      <c r="F6" s="23"/>
    </row>
    <row r="7" s="5" customFormat="1" ht="23.1" customHeight="1" spans="1:6">
      <c r="A7" s="24" t="s">
        <v>1566</v>
      </c>
      <c r="B7" s="24" t="s">
        <v>1567</v>
      </c>
      <c r="C7" s="25">
        <f>SUM(C8:C12)</f>
        <v>8639</v>
      </c>
      <c r="D7" s="25">
        <f>SUM(D8:D12)</f>
        <v>541</v>
      </c>
      <c r="E7" s="25">
        <f>SUM(E8:E12)</f>
        <v>9180</v>
      </c>
      <c r="F7" s="26"/>
    </row>
    <row r="8" s="5" customFormat="1" ht="23.1" customHeight="1" spans="1:6">
      <c r="A8" s="24" t="s">
        <v>1568</v>
      </c>
      <c r="B8" s="24" t="s">
        <v>1569</v>
      </c>
      <c r="C8" s="25">
        <v>7691</v>
      </c>
      <c r="D8" s="27">
        <v>547</v>
      </c>
      <c r="E8" s="25">
        <f t="shared" ref="E8:E12" si="1">SUM(C8:D8)</f>
        <v>8238</v>
      </c>
      <c r="F8" s="26"/>
    </row>
    <row r="9" s="5" customFormat="1" ht="23.1" customHeight="1" spans="1:6">
      <c r="A9" s="24" t="s">
        <v>1570</v>
      </c>
      <c r="B9" s="24" t="s">
        <v>1571</v>
      </c>
      <c r="C9" s="25">
        <v>682</v>
      </c>
      <c r="D9" s="27">
        <v>0</v>
      </c>
      <c r="E9" s="25">
        <f t="shared" si="1"/>
        <v>682</v>
      </c>
      <c r="F9" s="26"/>
    </row>
    <row r="10" s="5" customFormat="1" ht="23.1" customHeight="1" spans="1:6">
      <c r="A10" s="24" t="s">
        <v>1572</v>
      </c>
      <c r="B10" s="24" t="s">
        <v>1573</v>
      </c>
      <c r="C10" s="25">
        <v>105</v>
      </c>
      <c r="D10" s="27">
        <v>-2</v>
      </c>
      <c r="E10" s="25">
        <f t="shared" si="1"/>
        <v>103</v>
      </c>
      <c r="F10" s="26"/>
    </row>
    <row r="11" s="5" customFormat="1" ht="23.1" customHeight="1" spans="1:6">
      <c r="A11" s="24"/>
      <c r="B11" s="24" t="s">
        <v>1574</v>
      </c>
      <c r="C11" s="25">
        <v>1</v>
      </c>
      <c r="D11" s="27">
        <v>1</v>
      </c>
      <c r="E11" s="25">
        <f t="shared" si="1"/>
        <v>2</v>
      </c>
      <c r="F11" s="26"/>
    </row>
    <row r="12" s="5" customFormat="1" ht="23.1" customHeight="1" spans="1:6">
      <c r="A12" s="24"/>
      <c r="B12" s="24" t="s">
        <v>1575</v>
      </c>
      <c r="C12" s="25">
        <v>160</v>
      </c>
      <c r="D12" s="27">
        <v>-5</v>
      </c>
      <c r="E12" s="25">
        <f t="shared" si="1"/>
        <v>155</v>
      </c>
      <c r="F12" s="26"/>
    </row>
    <row r="13" s="5" customFormat="1" ht="23.1" customHeight="1" spans="1:6">
      <c r="A13" s="28">
        <v>20911</v>
      </c>
      <c r="B13" s="24" t="s">
        <v>1576</v>
      </c>
      <c r="C13" s="25">
        <f t="shared" ref="C13:E13" si="2">SUM(C14:C16)</f>
        <v>10836</v>
      </c>
      <c r="D13" s="27">
        <f t="shared" si="2"/>
        <v>61</v>
      </c>
      <c r="E13" s="25">
        <f t="shared" si="2"/>
        <v>10897</v>
      </c>
      <c r="F13" s="26"/>
    </row>
    <row r="14" s="5" customFormat="1" ht="23.1" customHeight="1" spans="1:6">
      <c r="A14" s="28">
        <v>2091101</v>
      </c>
      <c r="B14" s="24" t="s">
        <v>1577</v>
      </c>
      <c r="C14" s="25">
        <v>10671</v>
      </c>
      <c r="D14" s="27">
        <v>212</v>
      </c>
      <c r="E14" s="29">
        <f t="shared" ref="E14:E16" si="3">SUM(C14:D14)</f>
        <v>10883</v>
      </c>
      <c r="F14" s="26"/>
    </row>
    <row r="15" s="5" customFormat="1" ht="23.1" customHeight="1" spans="1:6">
      <c r="A15" s="28"/>
      <c r="B15" s="24" t="s">
        <v>1574</v>
      </c>
      <c r="C15" s="25">
        <v>156</v>
      </c>
      <c r="D15" s="29">
        <v>-150</v>
      </c>
      <c r="E15" s="29">
        <f t="shared" si="3"/>
        <v>6</v>
      </c>
      <c r="F15" s="26"/>
    </row>
    <row r="16" s="5" customFormat="1" ht="23.1" customHeight="1" spans="1:6">
      <c r="A16" s="28">
        <v>2091199</v>
      </c>
      <c r="B16" s="24" t="s">
        <v>1578</v>
      </c>
      <c r="C16" s="27">
        <v>9</v>
      </c>
      <c r="D16" s="27">
        <v>-1</v>
      </c>
      <c r="E16" s="29">
        <f t="shared" si="3"/>
        <v>8</v>
      </c>
      <c r="F16" s="26"/>
    </row>
    <row r="17" s="6" customFormat="1" ht="23.1" customHeight="1" spans="1:254">
      <c r="A17" s="21" t="s">
        <v>1155</v>
      </c>
      <c r="B17" s="21" t="s">
        <v>459</v>
      </c>
      <c r="C17" s="22">
        <f t="shared" ref="C17:E17" si="4">C18+C19+C20</f>
        <v>44578</v>
      </c>
      <c r="D17" s="22">
        <f t="shared" si="4"/>
        <v>2562</v>
      </c>
      <c r="E17" s="22">
        <f t="shared" si="4"/>
        <v>47140</v>
      </c>
      <c r="F17" s="23"/>
      <c r="IR17" s="34"/>
      <c r="IS17" s="34"/>
      <c r="IT17" s="34"/>
    </row>
    <row r="18" s="1" customFormat="1" ht="23.1" customHeight="1" spans="1:254">
      <c r="A18" s="24"/>
      <c r="B18" s="28" t="s">
        <v>1579</v>
      </c>
      <c r="C18" s="25">
        <v>12179</v>
      </c>
      <c r="D18" s="27">
        <v>1031</v>
      </c>
      <c r="E18" s="25">
        <f>SUM(C18:D18)</f>
        <v>13210</v>
      </c>
      <c r="F18" s="26"/>
      <c r="IR18" s="9"/>
      <c r="IS18" s="9"/>
      <c r="IT18" s="9"/>
    </row>
    <row r="19" s="1" customFormat="1" ht="23.1" customHeight="1" spans="1:254">
      <c r="A19" s="24"/>
      <c r="B19" s="28" t="s">
        <v>1580</v>
      </c>
      <c r="C19" s="25">
        <v>254</v>
      </c>
      <c r="D19" s="27">
        <v>0</v>
      </c>
      <c r="E19" s="25">
        <f>SUM(C19:D19)</f>
        <v>254</v>
      </c>
      <c r="F19" s="26"/>
      <c r="IR19" s="9"/>
      <c r="IS19" s="9"/>
      <c r="IT19" s="9"/>
    </row>
    <row r="20" s="1" customFormat="1" ht="23.1" customHeight="1" spans="1:254">
      <c r="A20" s="24" t="s">
        <v>1581</v>
      </c>
      <c r="B20" s="24" t="s">
        <v>1582</v>
      </c>
      <c r="C20" s="25">
        <v>32145</v>
      </c>
      <c r="D20" s="27">
        <v>1531</v>
      </c>
      <c r="E20" s="25">
        <v>33676</v>
      </c>
      <c r="F20" s="30"/>
      <c r="IR20" s="9"/>
      <c r="IS20" s="9"/>
      <c r="IT20" s="9"/>
    </row>
    <row r="21" s="6" customFormat="1" ht="23.1" customHeight="1" spans="1:254">
      <c r="A21" s="21"/>
      <c r="B21" s="31" t="s">
        <v>1583</v>
      </c>
      <c r="C21" s="22">
        <f>C6+C17</f>
        <v>64053</v>
      </c>
      <c r="D21" s="32">
        <f>E21-C21</f>
        <v>3164</v>
      </c>
      <c r="E21" s="22">
        <f>E6+E17</f>
        <v>67217</v>
      </c>
      <c r="F21" s="33"/>
      <c r="IR21" s="34"/>
      <c r="IS21" s="34"/>
      <c r="IT21" s="34"/>
    </row>
    <row r="22" s="1" customFormat="1" spans="1:254">
      <c r="A22" s="7"/>
      <c r="C22" s="8"/>
      <c r="D22" s="8"/>
      <c r="E22" s="8"/>
      <c r="IR22" s="9"/>
      <c r="IS22" s="9"/>
      <c r="IT22" s="9"/>
    </row>
    <row r="23" s="1" customFormat="1" spans="3:254">
      <c r="C23" s="8"/>
      <c r="D23" s="8"/>
      <c r="E23" s="8"/>
      <c r="IR23" s="9"/>
      <c r="IS23" s="9"/>
      <c r="IT23" s="9"/>
    </row>
  </sheetData>
  <mergeCells count="1">
    <mergeCell ref="A2:F2"/>
  </mergeCells>
  <printOptions horizontalCentered="1"/>
  <pageMargins left="0.393055555555556" right="0.393055555555556" top="0.393055555555556" bottom="0.393055555555556" header="0.196527777777778" footer="0.196527777777778"/>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5"/>
  <sheetViews>
    <sheetView workbookViewId="0">
      <pane ySplit="5" topLeftCell="A6" activePane="bottomLeft" state="frozen"/>
      <selection/>
      <selection pane="bottomLeft" activeCell="N1" sqref="N$1:V$1048576"/>
    </sheetView>
  </sheetViews>
  <sheetFormatPr defaultColWidth="9" defaultRowHeight="14.25"/>
  <cols>
    <col min="1" max="1" width="28.25" style="439" customWidth="1"/>
    <col min="2" max="3" width="9.5" style="440" customWidth="1"/>
    <col min="4" max="5" width="9.5" style="439" customWidth="1"/>
    <col min="6" max="7" width="9.5" style="441" hidden="1" customWidth="1"/>
    <col min="8" max="8" width="9.5" style="439" customWidth="1"/>
    <col min="9" max="9" width="11.375" style="439" customWidth="1"/>
    <col min="10" max="11" width="9.5" style="439" customWidth="1"/>
    <col min="12" max="12" width="30.625" style="439" customWidth="1"/>
    <col min="13" max="13" width="10.5" style="439" customWidth="1"/>
    <col min="14" max="14" width="12.625" style="439" customWidth="1"/>
    <col min="15" max="15" width="9" style="439" customWidth="1"/>
    <col min="16" max="16" width="12.625" style="439" customWidth="1"/>
    <col min="17" max="17" width="9" style="439" customWidth="1"/>
    <col min="18" max="18" width="12.625" style="442"/>
    <col min="19" max="19" width="13.75" style="442"/>
    <col min="20" max="16384" width="9" style="439"/>
  </cols>
  <sheetData>
    <row r="1" s="52" customFormat="1" ht="20" customHeight="1" spans="1:14">
      <c r="A1" s="226" t="s">
        <v>3</v>
      </c>
      <c r="B1" s="443"/>
      <c r="C1" s="444"/>
      <c r="D1" s="445"/>
      <c r="E1" s="446"/>
      <c r="F1" s="445"/>
      <c r="G1" s="445"/>
      <c r="H1" s="445"/>
      <c r="I1" s="445"/>
      <c r="J1" s="445"/>
      <c r="K1" s="483"/>
      <c r="L1" s="483"/>
      <c r="M1" s="483"/>
      <c r="N1" s="483"/>
    </row>
    <row r="2" s="132" customFormat="1" ht="25" customHeight="1" spans="1:15">
      <c r="A2" s="447" t="s">
        <v>4</v>
      </c>
      <c r="B2" s="448"/>
      <c r="C2" s="448"/>
      <c r="D2" s="447"/>
      <c r="E2" s="447"/>
      <c r="F2" s="447"/>
      <c r="G2" s="447"/>
      <c r="H2" s="447"/>
      <c r="I2" s="447"/>
      <c r="J2" s="447"/>
      <c r="K2" s="447"/>
      <c r="L2" s="447"/>
      <c r="M2" s="484"/>
      <c r="N2" s="484"/>
      <c r="O2" s="485"/>
    </row>
    <row r="3" s="438" customFormat="1" ht="20.1" customHeight="1" spans="1:14">
      <c r="A3" s="449"/>
      <c r="B3" s="450"/>
      <c r="C3" s="451"/>
      <c r="D3" s="452"/>
      <c r="E3" s="453"/>
      <c r="F3" s="452"/>
      <c r="G3" s="452"/>
      <c r="H3" s="452"/>
      <c r="I3" s="452"/>
      <c r="J3" s="453"/>
      <c r="K3" s="486"/>
      <c r="L3" s="487" t="s">
        <v>5</v>
      </c>
      <c r="M3" s="486"/>
      <c r="N3" s="486"/>
    </row>
    <row r="4" ht="24" customHeight="1" spans="1:19">
      <c r="A4" s="454" t="s">
        <v>6</v>
      </c>
      <c r="B4" s="455" t="s">
        <v>7</v>
      </c>
      <c r="C4" s="456"/>
      <c r="D4" s="457" t="s">
        <v>8</v>
      </c>
      <c r="E4" s="458"/>
      <c r="F4" s="459"/>
      <c r="G4" s="459"/>
      <c r="H4" s="457" t="s">
        <v>9</v>
      </c>
      <c r="I4" s="458"/>
      <c r="J4" s="457" t="s">
        <v>10</v>
      </c>
      <c r="K4" s="458"/>
      <c r="L4" s="488" t="s">
        <v>11</v>
      </c>
      <c r="R4" s="504"/>
      <c r="S4" s="504"/>
    </row>
    <row r="5" ht="24" customHeight="1" spans="1:19">
      <c r="A5" s="460"/>
      <c r="B5" s="461" t="s">
        <v>12</v>
      </c>
      <c r="C5" s="462" t="s">
        <v>13</v>
      </c>
      <c r="D5" s="39" t="s">
        <v>12</v>
      </c>
      <c r="E5" s="210" t="s">
        <v>13</v>
      </c>
      <c r="F5" s="210"/>
      <c r="G5" s="210"/>
      <c r="H5" s="39" t="s">
        <v>12</v>
      </c>
      <c r="I5" s="210" t="s">
        <v>13</v>
      </c>
      <c r="J5" s="39" t="s">
        <v>12</v>
      </c>
      <c r="K5" s="210" t="s">
        <v>13</v>
      </c>
      <c r="L5" s="489"/>
      <c r="R5" s="504"/>
      <c r="S5" s="504"/>
    </row>
    <row r="6" ht="24" customHeight="1" spans="1:19">
      <c r="A6" s="463" t="s">
        <v>14</v>
      </c>
      <c r="B6" s="464">
        <f>SUM(B7:B22)</f>
        <v>273328.04</v>
      </c>
      <c r="C6" s="464">
        <f t="shared" ref="C6:I6" si="0">SUM(C7:C22)</f>
        <v>42283.835</v>
      </c>
      <c r="D6" s="216">
        <f t="shared" si="0"/>
        <v>0</v>
      </c>
      <c r="E6" s="216">
        <f t="shared" si="0"/>
        <v>0</v>
      </c>
      <c r="F6" s="216">
        <f t="shared" si="0"/>
        <v>-0.835000000000136</v>
      </c>
      <c r="G6" s="216">
        <f t="shared" si="0"/>
        <v>42283</v>
      </c>
      <c r="H6" s="216">
        <f t="shared" si="0"/>
        <v>273328.04</v>
      </c>
      <c r="I6" s="216">
        <f t="shared" si="0"/>
        <v>42283.835</v>
      </c>
      <c r="J6" s="217">
        <f t="shared" ref="J6:K10" si="1">IF(B6=0,IF(H6=0,0,100),100*(H6/B6-1))</f>
        <v>0</v>
      </c>
      <c r="K6" s="217">
        <f t="shared" si="1"/>
        <v>0</v>
      </c>
      <c r="L6" s="490"/>
      <c r="N6" s="491"/>
      <c r="O6" s="491"/>
      <c r="P6" s="491"/>
      <c r="Q6" s="491"/>
      <c r="R6" s="505"/>
      <c r="S6" s="505"/>
    </row>
    <row r="7" ht="24" customHeight="1" spans="1:19">
      <c r="A7" s="513" t="s">
        <v>15</v>
      </c>
      <c r="B7" s="465">
        <v>129763</v>
      </c>
      <c r="C7" s="464">
        <v>16220.375</v>
      </c>
      <c r="D7" s="216"/>
      <c r="E7" s="216"/>
      <c r="F7" s="216">
        <f>G7-C7</f>
        <v>-0.375</v>
      </c>
      <c r="G7" s="216">
        <v>16220</v>
      </c>
      <c r="H7" s="216">
        <f>I7/0.125</f>
        <v>129763</v>
      </c>
      <c r="I7" s="216">
        <f>C7+E7</f>
        <v>16220.375</v>
      </c>
      <c r="J7" s="217">
        <f t="shared" si="1"/>
        <v>0</v>
      </c>
      <c r="K7" s="217">
        <f t="shared" si="1"/>
        <v>0</v>
      </c>
      <c r="L7" s="490"/>
      <c r="N7" s="491"/>
      <c r="O7" s="491"/>
      <c r="P7" s="491"/>
      <c r="Q7" s="491"/>
      <c r="R7" s="505"/>
      <c r="S7" s="505"/>
    </row>
    <row r="8" ht="24" customHeight="1" spans="1:19">
      <c r="A8" s="513" t="s">
        <v>16</v>
      </c>
      <c r="B8" s="465">
        <v>10</v>
      </c>
      <c r="C8" s="464">
        <v>0</v>
      </c>
      <c r="D8" s="216"/>
      <c r="E8" s="216"/>
      <c r="F8" s="216">
        <f>G8-C8</f>
        <v>0</v>
      </c>
      <c r="G8" s="216">
        <v>0</v>
      </c>
      <c r="H8" s="216">
        <v>10</v>
      </c>
      <c r="I8" s="216">
        <f>C8+E8</f>
        <v>0</v>
      </c>
      <c r="J8" s="217">
        <f t="shared" si="1"/>
        <v>0</v>
      </c>
      <c r="K8" s="217">
        <f t="shared" si="1"/>
        <v>0</v>
      </c>
      <c r="L8" s="490"/>
      <c r="N8" s="491"/>
      <c r="O8" s="491"/>
      <c r="P8" s="491"/>
      <c r="Q8" s="491"/>
      <c r="R8" s="505"/>
      <c r="S8" s="505"/>
    </row>
    <row r="9" ht="24" customHeight="1" spans="1:19">
      <c r="A9" s="513" t="s">
        <v>17</v>
      </c>
      <c r="B9" s="465">
        <v>1000</v>
      </c>
      <c r="C9" s="464">
        <v>0</v>
      </c>
      <c r="D9" s="216"/>
      <c r="E9" s="216"/>
      <c r="F9" s="216">
        <f>G9-C9</f>
        <v>0</v>
      </c>
      <c r="G9" s="216"/>
      <c r="H9" s="216">
        <v>1000</v>
      </c>
      <c r="I9" s="216">
        <f>C9+E9</f>
        <v>0</v>
      </c>
      <c r="J9" s="217">
        <f t="shared" si="1"/>
        <v>0</v>
      </c>
      <c r="K9" s="217">
        <f t="shared" si="1"/>
        <v>0</v>
      </c>
      <c r="L9" s="490"/>
      <c r="N9" s="491"/>
      <c r="O9" s="491"/>
      <c r="P9" s="491"/>
      <c r="Q9" s="491"/>
      <c r="R9" s="505"/>
      <c r="S9" s="505"/>
    </row>
    <row r="10" ht="24" customHeight="1" spans="1:19">
      <c r="A10" s="513" t="s">
        <v>18</v>
      </c>
      <c r="B10" s="465">
        <v>75000</v>
      </c>
      <c r="C10" s="465">
        <v>7500</v>
      </c>
      <c r="D10" s="216"/>
      <c r="E10" s="216"/>
      <c r="F10" s="216">
        <f>G10-C10</f>
        <v>0</v>
      </c>
      <c r="G10" s="216">
        <v>7500</v>
      </c>
      <c r="H10" s="216">
        <f>I10/0.1</f>
        <v>75000</v>
      </c>
      <c r="I10" s="216">
        <v>7500</v>
      </c>
      <c r="J10" s="217">
        <f t="shared" si="1"/>
        <v>0</v>
      </c>
      <c r="K10" s="217">
        <f t="shared" si="1"/>
        <v>0</v>
      </c>
      <c r="L10" s="490"/>
      <c r="N10" s="491"/>
      <c r="O10" s="491"/>
      <c r="P10" s="491"/>
      <c r="Q10" s="491"/>
      <c r="R10" s="505"/>
      <c r="S10" s="505"/>
    </row>
    <row r="11" ht="24" customHeight="1" spans="1:19">
      <c r="A11" s="513" t="s">
        <v>19</v>
      </c>
      <c r="B11" s="464">
        <v>8700</v>
      </c>
      <c r="C11" s="464">
        <v>870.18</v>
      </c>
      <c r="D11" s="216"/>
      <c r="E11" s="216"/>
      <c r="F11" s="216">
        <f t="shared" ref="F11:F22" si="2">G11-C11</f>
        <v>-0.17999999999995</v>
      </c>
      <c r="G11" s="216">
        <v>870</v>
      </c>
      <c r="H11" s="216">
        <v>8700</v>
      </c>
      <c r="I11" s="216">
        <f t="shared" ref="I11:I33" si="3">C11+E11</f>
        <v>870.18</v>
      </c>
      <c r="J11" s="217">
        <f t="shared" ref="J11:J35" si="4">IF(B11=0,IF(H11=0,0,100),100*(H11/B11-1))</f>
        <v>0</v>
      </c>
      <c r="K11" s="217">
        <f t="shared" ref="K11:K34" si="5">IF(C11=0,IF(I11=0,0,100),100*(I11/C11-1))</f>
        <v>0</v>
      </c>
      <c r="L11" s="490"/>
      <c r="N11" s="491"/>
      <c r="O11" s="491"/>
      <c r="P11" s="491"/>
      <c r="Q11" s="491"/>
      <c r="R11" s="505"/>
      <c r="S11" s="505"/>
    </row>
    <row r="12" ht="24" customHeight="1" spans="1:19">
      <c r="A12" s="513" t="s">
        <v>20</v>
      </c>
      <c r="B12" s="465">
        <v>90</v>
      </c>
      <c r="C12" s="464">
        <v>90.06</v>
      </c>
      <c r="D12" s="216"/>
      <c r="E12" s="216"/>
      <c r="F12" s="216">
        <f t="shared" si="2"/>
        <v>-0.0600000000000023</v>
      </c>
      <c r="G12" s="216">
        <v>90</v>
      </c>
      <c r="H12" s="216">
        <v>90</v>
      </c>
      <c r="I12" s="216">
        <f t="shared" si="3"/>
        <v>90.06</v>
      </c>
      <c r="J12" s="217">
        <f t="shared" si="4"/>
        <v>0</v>
      </c>
      <c r="K12" s="217">
        <f t="shared" si="5"/>
        <v>0</v>
      </c>
      <c r="L12" s="490"/>
      <c r="N12" s="491"/>
      <c r="O12" s="491"/>
      <c r="P12" s="491"/>
      <c r="Q12" s="491"/>
      <c r="R12" s="505"/>
      <c r="S12" s="505"/>
    </row>
    <row r="13" ht="24" customHeight="1" spans="1:19">
      <c r="A13" s="513" t="s">
        <v>21</v>
      </c>
      <c r="B13" s="465">
        <v>13455.6</v>
      </c>
      <c r="C13" s="464">
        <v>6727.8</v>
      </c>
      <c r="D13" s="216"/>
      <c r="E13" s="216"/>
      <c r="F13" s="216">
        <f t="shared" si="2"/>
        <v>0.199999999999818</v>
      </c>
      <c r="G13" s="216">
        <v>6728</v>
      </c>
      <c r="H13" s="216">
        <f>I13/0.5</f>
        <v>13455.6</v>
      </c>
      <c r="I13" s="216">
        <f t="shared" si="3"/>
        <v>6727.8</v>
      </c>
      <c r="J13" s="217">
        <f t="shared" si="4"/>
        <v>0</v>
      </c>
      <c r="K13" s="217">
        <f t="shared" si="5"/>
        <v>0</v>
      </c>
      <c r="L13" s="490"/>
      <c r="N13" s="491"/>
      <c r="O13" s="491"/>
      <c r="P13" s="491"/>
      <c r="Q13" s="491"/>
      <c r="R13" s="505"/>
      <c r="S13" s="505"/>
    </row>
    <row r="14" ht="24" customHeight="1" spans="1:19">
      <c r="A14" s="513" t="s">
        <v>22</v>
      </c>
      <c r="B14" s="465">
        <v>4860</v>
      </c>
      <c r="C14" s="464">
        <v>2429.6</v>
      </c>
      <c r="D14" s="216"/>
      <c r="E14" s="216"/>
      <c r="F14" s="216">
        <f t="shared" si="2"/>
        <v>0.400000000000091</v>
      </c>
      <c r="G14" s="216">
        <v>2430</v>
      </c>
      <c r="H14" s="216">
        <v>4860</v>
      </c>
      <c r="I14" s="216">
        <f t="shared" si="3"/>
        <v>2429.6</v>
      </c>
      <c r="J14" s="217">
        <f t="shared" si="4"/>
        <v>0</v>
      </c>
      <c r="K14" s="217">
        <f t="shared" si="5"/>
        <v>0</v>
      </c>
      <c r="L14" s="490"/>
      <c r="N14" s="491"/>
      <c r="O14" s="491"/>
      <c r="P14" s="491"/>
      <c r="Q14" s="491"/>
      <c r="R14" s="505"/>
      <c r="S14" s="505"/>
    </row>
    <row r="15" ht="24" customHeight="1" spans="1:19">
      <c r="A15" s="513" t="s">
        <v>23</v>
      </c>
      <c r="B15" s="465">
        <v>2790</v>
      </c>
      <c r="C15" s="464">
        <v>2790.4</v>
      </c>
      <c r="D15" s="216"/>
      <c r="E15" s="216"/>
      <c r="F15" s="216">
        <f t="shared" si="2"/>
        <v>-0.400000000000091</v>
      </c>
      <c r="G15" s="216">
        <v>2790</v>
      </c>
      <c r="H15" s="216">
        <v>2790</v>
      </c>
      <c r="I15" s="216">
        <f t="shared" si="3"/>
        <v>2790.4</v>
      </c>
      <c r="J15" s="217">
        <f t="shared" si="4"/>
        <v>0</v>
      </c>
      <c r="K15" s="217">
        <f t="shared" si="5"/>
        <v>0</v>
      </c>
      <c r="L15" s="490"/>
      <c r="N15" s="491"/>
      <c r="O15" s="491"/>
      <c r="P15" s="491"/>
      <c r="Q15" s="491"/>
      <c r="R15" s="505"/>
      <c r="S15" s="505"/>
    </row>
    <row r="16" ht="24" customHeight="1" spans="1:19">
      <c r="A16" s="513" t="s">
        <v>24</v>
      </c>
      <c r="B16" s="465">
        <v>5500</v>
      </c>
      <c r="C16" s="464">
        <v>0</v>
      </c>
      <c r="D16" s="216"/>
      <c r="E16" s="216"/>
      <c r="F16" s="216">
        <f t="shared" si="2"/>
        <v>0</v>
      </c>
      <c r="G16" s="216">
        <v>0</v>
      </c>
      <c r="H16" s="216">
        <v>5500</v>
      </c>
      <c r="I16" s="216">
        <f t="shared" si="3"/>
        <v>0</v>
      </c>
      <c r="J16" s="217">
        <f t="shared" si="4"/>
        <v>0</v>
      </c>
      <c r="K16" s="217">
        <f t="shared" si="5"/>
        <v>0</v>
      </c>
      <c r="L16" s="490"/>
      <c r="N16" s="491"/>
      <c r="O16" s="491"/>
      <c r="P16" s="491"/>
      <c r="Q16" s="491"/>
      <c r="R16" s="505"/>
      <c r="S16" s="505"/>
    </row>
    <row r="17" ht="24" customHeight="1" spans="1:19">
      <c r="A17" s="513" t="s">
        <v>25</v>
      </c>
      <c r="B17" s="465">
        <v>18700</v>
      </c>
      <c r="C17" s="464">
        <v>5313</v>
      </c>
      <c r="D17" s="216"/>
      <c r="E17" s="216"/>
      <c r="F17" s="216">
        <f t="shared" si="2"/>
        <v>0</v>
      </c>
      <c r="G17" s="216">
        <v>5313</v>
      </c>
      <c r="H17" s="216">
        <v>18700</v>
      </c>
      <c r="I17" s="216">
        <v>5313</v>
      </c>
      <c r="J17" s="217">
        <f t="shared" si="4"/>
        <v>0</v>
      </c>
      <c r="K17" s="217">
        <f t="shared" si="5"/>
        <v>0</v>
      </c>
      <c r="L17" s="490"/>
      <c r="N17" s="491"/>
      <c r="O17" s="491"/>
      <c r="P17" s="491"/>
      <c r="Q17" s="491"/>
      <c r="R17" s="505"/>
      <c r="S17" s="505"/>
    </row>
    <row r="18" ht="24" customHeight="1" spans="1:19">
      <c r="A18" s="513" t="s">
        <v>26</v>
      </c>
      <c r="B18" s="465">
        <v>4</v>
      </c>
      <c r="C18" s="464">
        <v>0</v>
      </c>
      <c r="D18" s="216"/>
      <c r="E18" s="216"/>
      <c r="F18" s="216">
        <f t="shared" si="2"/>
        <v>0</v>
      </c>
      <c r="G18" s="216">
        <v>0</v>
      </c>
      <c r="H18" s="216">
        <v>4</v>
      </c>
      <c r="I18" s="216">
        <f t="shared" si="3"/>
        <v>0</v>
      </c>
      <c r="J18" s="217">
        <f t="shared" si="4"/>
        <v>0</v>
      </c>
      <c r="K18" s="217">
        <f t="shared" si="5"/>
        <v>0</v>
      </c>
      <c r="L18" s="490"/>
      <c r="N18" s="491"/>
      <c r="O18" s="491"/>
      <c r="P18" s="491"/>
      <c r="Q18" s="491"/>
      <c r="R18" s="505"/>
      <c r="S18" s="505"/>
    </row>
    <row r="19" ht="24" customHeight="1" spans="1:19">
      <c r="A19" s="513" t="s">
        <v>27</v>
      </c>
      <c r="B19" s="465">
        <v>486.44</v>
      </c>
      <c r="C19" s="464">
        <v>243.22</v>
      </c>
      <c r="D19" s="216"/>
      <c r="E19" s="216"/>
      <c r="F19" s="216">
        <f t="shared" si="2"/>
        <v>-0.219999999999999</v>
      </c>
      <c r="G19" s="216">
        <v>243</v>
      </c>
      <c r="H19" s="216">
        <f>I19/0.5</f>
        <v>486.44</v>
      </c>
      <c r="I19" s="216">
        <f t="shared" si="3"/>
        <v>243.22</v>
      </c>
      <c r="J19" s="217">
        <f t="shared" si="4"/>
        <v>0</v>
      </c>
      <c r="K19" s="217">
        <f t="shared" si="5"/>
        <v>0</v>
      </c>
      <c r="L19" s="490"/>
      <c r="N19" s="491"/>
      <c r="O19" s="491"/>
      <c r="P19" s="491"/>
      <c r="Q19" s="491"/>
      <c r="R19" s="505"/>
      <c r="S19" s="505"/>
    </row>
    <row r="20" ht="24" customHeight="1" spans="1:19">
      <c r="A20" s="513" t="s">
        <v>28</v>
      </c>
      <c r="B20" s="465">
        <v>12770</v>
      </c>
      <c r="C20" s="464">
        <v>0</v>
      </c>
      <c r="D20" s="216"/>
      <c r="E20" s="216"/>
      <c r="F20" s="216">
        <f t="shared" si="2"/>
        <v>0</v>
      </c>
      <c r="G20" s="216">
        <v>0</v>
      </c>
      <c r="H20" s="216">
        <v>12770</v>
      </c>
      <c r="I20" s="216">
        <f t="shared" si="3"/>
        <v>0</v>
      </c>
      <c r="J20" s="217">
        <f t="shared" si="4"/>
        <v>0</v>
      </c>
      <c r="K20" s="217">
        <f t="shared" si="5"/>
        <v>0</v>
      </c>
      <c r="L20" s="490"/>
      <c r="N20" s="491"/>
      <c r="O20" s="491"/>
      <c r="P20" s="491"/>
      <c r="Q20" s="491"/>
      <c r="R20" s="505"/>
      <c r="S20" s="505"/>
    </row>
    <row r="21" ht="24" customHeight="1" spans="1:19">
      <c r="A21" s="513" t="s">
        <v>29</v>
      </c>
      <c r="B21" s="464">
        <v>195</v>
      </c>
      <c r="C21" s="464">
        <v>97.2</v>
      </c>
      <c r="D21" s="216"/>
      <c r="E21" s="216"/>
      <c r="F21" s="216">
        <f t="shared" si="2"/>
        <v>-0.200000000000003</v>
      </c>
      <c r="G21" s="216">
        <v>97</v>
      </c>
      <c r="H21" s="216">
        <v>195</v>
      </c>
      <c r="I21" s="216">
        <f t="shared" si="3"/>
        <v>97.2</v>
      </c>
      <c r="J21" s="217">
        <f t="shared" si="4"/>
        <v>0</v>
      </c>
      <c r="K21" s="217">
        <f t="shared" si="5"/>
        <v>0</v>
      </c>
      <c r="L21" s="490"/>
      <c r="N21" s="491"/>
      <c r="O21" s="491"/>
      <c r="P21" s="491"/>
      <c r="Q21" s="491"/>
      <c r="R21" s="505"/>
      <c r="S21" s="505"/>
    </row>
    <row r="22" ht="24" customHeight="1" spans="1:19">
      <c r="A22" s="513" t="s">
        <v>30</v>
      </c>
      <c r="B22" s="464">
        <v>4</v>
      </c>
      <c r="C22" s="464">
        <v>2</v>
      </c>
      <c r="D22" s="216"/>
      <c r="E22" s="216"/>
      <c r="F22" s="216">
        <f t="shared" si="2"/>
        <v>0</v>
      </c>
      <c r="G22" s="216">
        <v>2</v>
      </c>
      <c r="H22" s="216">
        <f>I22/0.5</f>
        <v>4</v>
      </c>
      <c r="I22" s="216">
        <f t="shared" si="3"/>
        <v>2</v>
      </c>
      <c r="J22" s="217">
        <f t="shared" si="4"/>
        <v>0</v>
      </c>
      <c r="K22" s="217">
        <f t="shared" si="5"/>
        <v>0</v>
      </c>
      <c r="L22" s="490"/>
      <c r="N22" s="491"/>
      <c r="O22" s="491"/>
      <c r="P22" s="491"/>
      <c r="Q22" s="491"/>
      <c r="R22" s="505"/>
      <c r="S22" s="505"/>
    </row>
    <row r="23" ht="24" customHeight="1" spans="1:19">
      <c r="A23" s="466" t="s">
        <v>31</v>
      </c>
      <c r="B23" s="464">
        <f t="shared" ref="B23:G23" si="6">SUM(B24:B34)</f>
        <v>22477.2185714286</v>
      </c>
      <c r="C23" s="464">
        <f t="shared" si="6"/>
        <v>18688.06</v>
      </c>
      <c r="D23" s="216">
        <f t="shared" si="6"/>
        <v>0</v>
      </c>
      <c r="E23" s="216">
        <f t="shared" si="6"/>
        <v>0</v>
      </c>
      <c r="F23" s="216">
        <f t="shared" si="6"/>
        <v>0.440000000000254</v>
      </c>
      <c r="G23" s="216">
        <f t="shared" si="6"/>
        <v>18688.5</v>
      </c>
      <c r="H23" s="216">
        <f>B23+D23</f>
        <v>22477.2185714286</v>
      </c>
      <c r="I23" s="216">
        <f t="shared" si="3"/>
        <v>18688.06</v>
      </c>
      <c r="J23" s="217">
        <f t="shared" si="4"/>
        <v>0</v>
      </c>
      <c r="K23" s="217">
        <f t="shared" si="5"/>
        <v>0</v>
      </c>
      <c r="L23" s="492"/>
      <c r="N23" s="491"/>
      <c r="O23" s="491"/>
      <c r="P23" s="491"/>
      <c r="Q23" s="491"/>
      <c r="R23" s="505"/>
      <c r="S23" s="505"/>
    </row>
    <row r="24" ht="24" customHeight="1" spans="1:19">
      <c r="A24" s="514" t="s">
        <v>32</v>
      </c>
      <c r="B24" s="464">
        <v>3380</v>
      </c>
      <c r="C24" s="464">
        <v>1690</v>
      </c>
      <c r="D24" s="216"/>
      <c r="E24" s="216"/>
      <c r="F24" s="216">
        <f>G24-C24</f>
        <v>0</v>
      </c>
      <c r="G24" s="216">
        <v>1690</v>
      </c>
      <c r="H24" s="216">
        <f>I24/0.5</f>
        <v>3380</v>
      </c>
      <c r="I24" s="216">
        <f t="shared" si="3"/>
        <v>1690</v>
      </c>
      <c r="J24" s="217">
        <f t="shared" si="4"/>
        <v>0</v>
      </c>
      <c r="K24" s="217">
        <f t="shared" si="5"/>
        <v>0</v>
      </c>
      <c r="L24" s="490"/>
      <c r="N24" s="491"/>
      <c r="O24" s="491"/>
      <c r="P24" s="491"/>
      <c r="Q24" s="491"/>
      <c r="R24" s="505"/>
      <c r="S24" s="505"/>
    </row>
    <row r="25" ht="24" customHeight="1" spans="1:19">
      <c r="A25" s="514" t="s">
        <v>33</v>
      </c>
      <c r="B25" s="464">
        <v>2203.82857142857</v>
      </c>
      <c r="C25" s="464">
        <v>771.34</v>
      </c>
      <c r="D25" s="216"/>
      <c r="E25" s="216"/>
      <c r="F25" s="216">
        <f>G25-C25</f>
        <v>-0.340000000000032</v>
      </c>
      <c r="G25" s="216">
        <v>771</v>
      </c>
      <c r="H25" s="216">
        <f>I25/0.35</f>
        <v>2203.82857142857</v>
      </c>
      <c r="I25" s="216">
        <f t="shared" si="3"/>
        <v>771.34</v>
      </c>
      <c r="J25" s="217">
        <f t="shared" si="4"/>
        <v>0</v>
      </c>
      <c r="K25" s="217">
        <f t="shared" si="5"/>
        <v>0</v>
      </c>
      <c r="L25" s="490"/>
      <c r="N25" s="491"/>
      <c r="O25" s="491"/>
      <c r="P25" s="491"/>
      <c r="Q25" s="491"/>
      <c r="R25" s="505"/>
      <c r="S25" s="505"/>
    </row>
    <row r="26" ht="24" customHeight="1" spans="1:19">
      <c r="A26" s="514" t="s">
        <v>34</v>
      </c>
      <c r="B26" s="464">
        <v>1045</v>
      </c>
      <c r="C26" s="464">
        <v>1045</v>
      </c>
      <c r="D26" s="216"/>
      <c r="E26" s="216"/>
      <c r="F26" s="216">
        <f>G26-C26</f>
        <v>0</v>
      </c>
      <c r="G26" s="216">
        <v>1045</v>
      </c>
      <c r="H26" s="216">
        <f t="shared" ref="H26:H35" si="7">B26+D26</f>
        <v>1045</v>
      </c>
      <c r="I26" s="216">
        <f t="shared" si="3"/>
        <v>1045</v>
      </c>
      <c r="J26" s="217">
        <f t="shared" si="4"/>
        <v>0</v>
      </c>
      <c r="K26" s="217">
        <f t="shared" si="5"/>
        <v>0</v>
      </c>
      <c r="L26" s="490"/>
      <c r="N26" s="491"/>
      <c r="O26" s="491"/>
      <c r="P26" s="491"/>
      <c r="Q26" s="491"/>
      <c r="R26" s="505"/>
      <c r="S26" s="505"/>
    </row>
    <row r="27" ht="24" customHeight="1" spans="1:19">
      <c r="A27" s="514" t="s">
        <v>35</v>
      </c>
      <c r="B27" s="464">
        <v>62</v>
      </c>
      <c r="C27" s="464">
        <v>62</v>
      </c>
      <c r="D27" s="216"/>
      <c r="E27" s="216"/>
      <c r="F27" s="216">
        <f t="shared" ref="F27:F35" si="8">G27-C27</f>
        <v>0</v>
      </c>
      <c r="G27" s="216">
        <v>62</v>
      </c>
      <c r="H27" s="216">
        <f t="shared" si="7"/>
        <v>62</v>
      </c>
      <c r="I27" s="216">
        <f t="shared" si="3"/>
        <v>62</v>
      </c>
      <c r="J27" s="217">
        <f t="shared" si="4"/>
        <v>0</v>
      </c>
      <c r="K27" s="217">
        <f t="shared" si="5"/>
        <v>0</v>
      </c>
      <c r="L27" s="490"/>
      <c r="N27" s="491"/>
      <c r="O27" s="491"/>
      <c r="P27" s="491"/>
      <c r="Q27" s="491"/>
      <c r="R27" s="505"/>
      <c r="S27" s="505"/>
    </row>
    <row r="28" ht="24" customHeight="1" spans="1:19">
      <c r="A28" s="514" t="s">
        <v>36</v>
      </c>
      <c r="B28" s="464">
        <v>2160</v>
      </c>
      <c r="C28" s="464">
        <v>2160</v>
      </c>
      <c r="D28" s="216"/>
      <c r="E28" s="216"/>
      <c r="F28" s="216">
        <f t="shared" si="8"/>
        <v>0</v>
      </c>
      <c r="G28" s="216">
        <v>2160</v>
      </c>
      <c r="H28" s="216">
        <f t="shared" si="7"/>
        <v>2160</v>
      </c>
      <c r="I28" s="216">
        <f t="shared" si="3"/>
        <v>2160</v>
      </c>
      <c r="J28" s="217">
        <f t="shared" si="4"/>
        <v>0</v>
      </c>
      <c r="K28" s="217">
        <f t="shared" si="5"/>
        <v>0</v>
      </c>
      <c r="L28" s="490"/>
      <c r="N28" s="491"/>
      <c r="O28" s="491"/>
      <c r="P28" s="491"/>
      <c r="Q28" s="491"/>
      <c r="R28" s="505"/>
      <c r="S28" s="505"/>
    </row>
    <row r="29" ht="24" customHeight="1" spans="1:19">
      <c r="A29" s="514" t="s">
        <v>37</v>
      </c>
      <c r="B29" s="464">
        <v>114</v>
      </c>
      <c r="C29" s="464">
        <v>114</v>
      </c>
      <c r="D29" s="216"/>
      <c r="E29" s="216"/>
      <c r="F29" s="216">
        <f t="shared" si="8"/>
        <v>0</v>
      </c>
      <c r="G29" s="216">
        <v>114</v>
      </c>
      <c r="H29" s="216">
        <f t="shared" si="7"/>
        <v>114</v>
      </c>
      <c r="I29" s="216">
        <f t="shared" si="3"/>
        <v>114</v>
      </c>
      <c r="J29" s="217">
        <f t="shared" si="4"/>
        <v>0</v>
      </c>
      <c r="K29" s="217">
        <f t="shared" si="5"/>
        <v>0</v>
      </c>
      <c r="L29" s="490"/>
      <c r="N29" s="491"/>
      <c r="O29" s="491"/>
      <c r="P29" s="491"/>
      <c r="Q29" s="491"/>
      <c r="R29" s="505"/>
      <c r="S29" s="505"/>
    </row>
    <row r="30" ht="24" customHeight="1" spans="1:19">
      <c r="A30" s="514" t="s">
        <v>38</v>
      </c>
      <c r="B30" s="464">
        <v>4474.08</v>
      </c>
      <c r="C30" s="464">
        <v>4474.08</v>
      </c>
      <c r="D30" s="216"/>
      <c r="E30" s="216"/>
      <c r="F30" s="216">
        <f t="shared" si="8"/>
        <v>-0.0799999999999272</v>
      </c>
      <c r="G30" s="216">
        <v>4474</v>
      </c>
      <c r="H30" s="216">
        <f t="shared" si="7"/>
        <v>4474.08</v>
      </c>
      <c r="I30" s="216">
        <f t="shared" si="3"/>
        <v>4474.08</v>
      </c>
      <c r="J30" s="217">
        <f t="shared" si="4"/>
        <v>0</v>
      </c>
      <c r="K30" s="217">
        <f t="shared" si="5"/>
        <v>0</v>
      </c>
      <c r="L30" s="490"/>
      <c r="N30" s="491"/>
      <c r="O30" s="491"/>
      <c r="P30" s="491"/>
      <c r="Q30" s="491"/>
      <c r="R30" s="505"/>
      <c r="S30" s="505"/>
    </row>
    <row r="31" ht="24" customHeight="1" spans="1:19">
      <c r="A31" s="514" t="s">
        <v>39</v>
      </c>
      <c r="B31" s="464">
        <v>1483.7</v>
      </c>
      <c r="C31" s="464">
        <v>1483.7</v>
      </c>
      <c r="D31" s="216"/>
      <c r="E31" s="216"/>
      <c r="F31" s="216">
        <f t="shared" si="8"/>
        <v>0.299999999999955</v>
      </c>
      <c r="G31" s="216">
        <v>1484</v>
      </c>
      <c r="H31" s="216">
        <f t="shared" si="7"/>
        <v>1483.7</v>
      </c>
      <c r="I31" s="216">
        <f t="shared" si="3"/>
        <v>1483.7</v>
      </c>
      <c r="J31" s="217">
        <f t="shared" si="4"/>
        <v>0</v>
      </c>
      <c r="K31" s="217">
        <f t="shared" si="5"/>
        <v>0</v>
      </c>
      <c r="L31" s="490"/>
      <c r="N31" s="491"/>
      <c r="O31" s="491"/>
      <c r="P31" s="491"/>
      <c r="Q31" s="491"/>
      <c r="R31" s="505"/>
      <c r="S31" s="505"/>
    </row>
    <row r="32" ht="24" customHeight="1" spans="1:19">
      <c r="A32" s="514" t="s">
        <v>40</v>
      </c>
      <c r="B32" s="464">
        <v>179.66</v>
      </c>
      <c r="C32" s="464">
        <v>179.66</v>
      </c>
      <c r="D32" s="216"/>
      <c r="E32" s="216"/>
      <c r="F32" s="216">
        <f t="shared" si="8"/>
        <v>0.340000000000003</v>
      </c>
      <c r="G32" s="216">
        <v>180</v>
      </c>
      <c r="H32" s="216">
        <f t="shared" si="7"/>
        <v>179.66</v>
      </c>
      <c r="I32" s="216">
        <f t="shared" si="3"/>
        <v>179.66</v>
      </c>
      <c r="J32" s="217">
        <f t="shared" si="4"/>
        <v>0</v>
      </c>
      <c r="K32" s="217">
        <f t="shared" si="5"/>
        <v>0</v>
      </c>
      <c r="L32" s="493"/>
      <c r="N32" s="491"/>
      <c r="O32" s="491"/>
      <c r="P32" s="491"/>
      <c r="Q32" s="491"/>
      <c r="R32" s="505"/>
      <c r="S32" s="505"/>
    </row>
    <row r="33" ht="24" customHeight="1" spans="1:19">
      <c r="A33" s="514" t="s">
        <v>41</v>
      </c>
      <c r="B33" s="464">
        <v>5543.07</v>
      </c>
      <c r="C33" s="464">
        <v>4876.4</v>
      </c>
      <c r="D33" s="216"/>
      <c r="E33" s="216"/>
      <c r="F33" s="216">
        <f t="shared" si="8"/>
        <v>-0.399999999999636</v>
      </c>
      <c r="G33" s="216">
        <v>4876</v>
      </c>
      <c r="H33" s="216">
        <f t="shared" si="7"/>
        <v>5543.07</v>
      </c>
      <c r="I33" s="216">
        <f t="shared" si="3"/>
        <v>4876.4</v>
      </c>
      <c r="J33" s="217">
        <f t="shared" si="4"/>
        <v>0</v>
      </c>
      <c r="K33" s="217">
        <f t="shared" si="5"/>
        <v>0</v>
      </c>
      <c r="L33" s="257"/>
      <c r="N33" s="491"/>
      <c r="O33" s="491"/>
      <c r="P33" s="491"/>
      <c r="Q33" s="491"/>
      <c r="R33" s="505"/>
      <c r="S33" s="505"/>
    </row>
    <row r="34" ht="24" customHeight="1" spans="1:19">
      <c r="A34" s="514" t="s">
        <v>42</v>
      </c>
      <c r="B34" s="464">
        <v>1831.88</v>
      </c>
      <c r="C34" s="464">
        <v>1831.88</v>
      </c>
      <c r="D34" s="216"/>
      <c r="E34" s="216"/>
      <c r="F34" s="216">
        <f t="shared" si="8"/>
        <v>0.619999999999891</v>
      </c>
      <c r="G34" s="216">
        <v>1832.5</v>
      </c>
      <c r="H34" s="216">
        <f t="shared" si="7"/>
        <v>1831.88</v>
      </c>
      <c r="I34" s="216">
        <f t="shared" ref="I34:I44" si="9">C34+E34</f>
        <v>1831.88</v>
      </c>
      <c r="J34" s="217">
        <f t="shared" si="4"/>
        <v>0</v>
      </c>
      <c r="K34" s="217">
        <f t="shared" si="5"/>
        <v>0</v>
      </c>
      <c r="L34" s="257"/>
      <c r="N34" s="491"/>
      <c r="O34" s="491"/>
      <c r="P34" s="491"/>
      <c r="Q34" s="491"/>
      <c r="R34" s="505"/>
      <c r="S34" s="505"/>
    </row>
    <row r="35" ht="24" customHeight="1" spans="1:19">
      <c r="A35" s="467" t="s">
        <v>43</v>
      </c>
      <c r="B35" s="468">
        <f>SUM(B6,B23)</f>
        <v>295805.258571429</v>
      </c>
      <c r="C35" s="468">
        <f>SUM(C6,C23)</f>
        <v>60971.895</v>
      </c>
      <c r="D35" s="469">
        <f>SUM(D6,D23)</f>
        <v>0</v>
      </c>
      <c r="E35" s="469">
        <v>0</v>
      </c>
      <c r="F35" s="469">
        <f t="shared" si="8"/>
        <v>-0.395000000004075</v>
      </c>
      <c r="G35" s="469">
        <f>SUM(G6,G23)</f>
        <v>60971.5</v>
      </c>
      <c r="H35" s="469">
        <f t="shared" si="7"/>
        <v>295805.258571429</v>
      </c>
      <c r="I35" s="469">
        <f t="shared" si="9"/>
        <v>60971.895</v>
      </c>
      <c r="J35" s="494">
        <f t="shared" si="4"/>
        <v>0</v>
      </c>
      <c r="K35" s="494">
        <v>0</v>
      </c>
      <c r="L35" s="495"/>
      <c r="N35" s="491"/>
      <c r="O35" s="491"/>
      <c r="P35" s="491"/>
      <c r="Q35" s="491"/>
      <c r="R35" s="505"/>
      <c r="S35" s="505"/>
    </row>
    <row r="36" ht="24" customHeight="1" spans="1:19">
      <c r="A36" s="470" t="s">
        <v>44</v>
      </c>
      <c r="B36" s="471">
        <f t="shared" ref="B36:I36" si="10">B6+B24+B25</f>
        <v>278911.868571429</v>
      </c>
      <c r="C36" s="471">
        <f t="shared" si="10"/>
        <v>44745.175</v>
      </c>
      <c r="D36" s="472">
        <f t="shared" si="10"/>
        <v>0</v>
      </c>
      <c r="E36" s="472">
        <f t="shared" si="10"/>
        <v>0</v>
      </c>
      <c r="F36" s="472">
        <f t="shared" si="10"/>
        <v>-1.17500000000017</v>
      </c>
      <c r="G36" s="472">
        <f t="shared" si="10"/>
        <v>44744</v>
      </c>
      <c r="H36" s="472">
        <f t="shared" si="10"/>
        <v>278911.868571429</v>
      </c>
      <c r="I36" s="472">
        <f t="shared" si="10"/>
        <v>44745.175</v>
      </c>
      <c r="J36" s="496">
        <f t="shared" ref="J36:J45" si="11">IF(B36=0,IF(H36=0,0,100),100*(H36/B36-1))</f>
        <v>0</v>
      </c>
      <c r="K36" s="496">
        <f t="shared" ref="K36:K45" si="12">IF(C36=0,IF(I36=0,0,100),100*(I36/C36-1))</f>
        <v>0</v>
      </c>
      <c r="L36" s="497"/>
      <c r="N36" s="491"/>
      <c r="O36" s="491"/>
      <c r="P36" s="491"/>
      <c r="Q36" s="491"/>
      <c r="R36" s="505"/>
      <c r="S36" s="505"/>
    </row>
    <row r="37" ht="24" customHeight="1" spans="1:19">
      <c r="A37" s="473" t="s">
        <v>45</v>
      </c>
      <c r="B37" s="474">
        <f t="shared" ref="B37:I37" si="13">SUM(B26:B34)</f>
        <v>16893.39</v>
      </c>
      <c r="C37" s="474">
        <f t="shared" si="13"/>
        <v>16226.72</v>
      </c>
      <c r="D37" s="475">
        <f t="shared" si="13"/>
        <v>0</v>
      </c>
      <c r="E37" s="475">
        <f t="shared" si="13"/>
        <v>0</v>
      </c>
      <c r="F37" s="475">
        <f t="shared" si="13"/>
        <v>0.780000000000285</v>
      </c>
      <c r="G37" s="475">
        <f t="shared" si="13"/>
        <v>16227.5</v>
      </c>
      <c r="H37" s="475">
        <f t="shared" si="13"/>
        <v>16893.39</v>
      </c>
      <c r="I37" s="475">
        <f t="shared" si="13"/>
        <v>16226.72</v>
      </c>
      <c r="J37" s="498">
        <f t="shared" si="11"/>
        <v>0</v>
      </c>
      <c r="K37" s="498">
        <f t="shared" si="12"/>
        <v>0</v>
      </c>
      <c r="L37" s="499"/>
      <c r="N37" s="491"/>
      <c r="O37" s="491"/>
      <c r="P37" s="491"/>
      <c r="Q37" s="491"/>
      <c r="R37" s="505"/>
      <c r="S37" s="505"/>
    </row>
    <row r="38" ht="24" customHeight="1" spans="1:19">
      <c r="A38" s="470" t="s">
        <v>46</v>
      </c>
      <c r="B38" s="464">
        <f t="shared" ref="B38:I38" si="14">SUM(B39:B44)</f>
        <v>0</v>
      </c>
      <c r="C38" s="464">
        <f t="shared" si="14"/>
        <v>194641.243929</v>
      </c>
      <c r="D38" s="216">
        <f t="shared" si="14"/>
        <v>0</v>
      </c>
      <c r="E38" s="216">
        <f t="shared" si="14"/>
        <v>-4522.4</v>
      </c>
      <c r="F38" s="216">
        <f t="shared" si="14"/>
        <v>0.256070999996155</v>
      </c>
      <c r="G38" s="216">
        <f t="shared" si="14"/>
        <v>194641.5</v>
      </c>
      <c r="H38" s="216">
        <f t="shared" si="14"/>
        <v>0</v>
      </c>
      <c r="I38" s="216">
        <f t="shared" si="14"/>
        <v>190118.843929</v>
      </c>
      <c r="J38" s="496">
        <f t="shared" si="11"/>
        <v>0</v>
      </c>
      <c r="K38" s="496">
        <f t="shared" si="12"/>
        <v>-2.32345411933845</v>
      </c>
      <c r="L38" s="497"/>
      <c r="N38" s="491"/>
      <c r="O38" s="491"/>
      <c r="P38" s="491"/>
      <c r="Q38" s="491"/>
      <c r="R38" s="505"/>
      <c r="S38" s="505"/>
    </row>
    <row r="39" ht="24" customHeight="1" spans="1:19">
      <c r="A39" s="514" t="s">
        <v>47</v>
      </c>
      <c r="B39" s="464">
        <v>0</v>
      </c>
      <c r="C39" s="464">
        <v>39831</v>
      </c>
      <c r="D39" s="216">
        <v>0</v>
      </c>
      <c r="E39" s="476">
        <v>116</v>
      </c>
      <c r="F39" s="216">
        <f t="shared" ref="F39:F44" si="15">G39-C39</f>
        <v>0</v>
      </c>
      <c r="G39" s="216">
        <v>39831</v>
      </c>
      <c r="H39" s="216">
        <f t="shared" ref="H39:H44" si="16">B39+D39</f>
        <v>0</v>
      </c>
      <c r="I39" s="216">
        <f t="shared" si="9"/>
        <v>39947</v>
      </c>
      <c r="J39" s="217">
        <f t="shared" si="11"/>
        <v>0</v>
      </c>
      <c r="K39" s="217">
        <f t="shared" si="12"/>
        <v>0.291230448645519</v>
      </c>
      <c r="L39" s="257"/>
      <c r="N39" s="491"/>
      <c r="O39" s="491"/>
      <c r="P39" s="491"/>
      <c r="Q39" s="491"/>
      <c r="R39" s="505"/>
      <c r="S39" s="505"/>
    </row>
    <row r="40" ht="24" customHeight="1" spans="1:19">
      <c r="A40" s="514" t="s">
        <v>48</v>
      </c>
      <c r="B40" s="464">
        <v>0</v>
      </c>
      <c r="C40" s="464">
        <v>70252.743929</v>
      </c>
      <c r="D40" s="216">
        <v>0</v>
      </c>
      <c r="E40" s="216">
        <f>7960+0.3</f>
        <v>7960.3</v>
      </c>
      <c r="F40" s="216">
        <f t="shared" si="15"/>
        <v>0.256070999996155</v>
      </c>
      <c r="G40" s="216">
        <v>70253</v>
      </c>
      <c r="H40" s="216">
        <f t="shared" si="16"/>
        <v>0</v>
      </c>
      <c r="I40" s="216">
        <f t="shared" si="9"/>
        <v>78213.043929</v>
      </c>
      <c r="J40" s="217">
        <f t="shared" si="11"/>
        <v>0</v>
      </c>
      <c r="K40" s="217">
        <f t="shared" si="12"/>
        <v>11.3309453194383</v>
      </c>
      <c r="L40" s="257"/>
      <c r="N40" s="491"/>
      <c r="O40" s="491"/>
      <c r="P40" s="491"/>
      <c r="Q40" s="491"/>
      <c r="R40" s="505"/>
      <c r="S40" s="505"/>
    </row>
    <row r="41" ht="24" customHeight="1" spans="1:19">
      <c r="A41" s="514" t="s">
        <v>49</v>
      </c>
      <c r="B41" s="464">
        <v>0</v>
      </c>
      <c r="C41" s="464">
        <v>12662</v>
      </c>
      <c r="D41" s="216">
        <v>0</v>
      </c>
      <c r="E41" s="216"/>
      <c r="F41" s="216">
        <f t="shared" si="15"/>
        <v>0</v>
      </c>
      <c r="G41" s="216">
        <v>12662</v>
      </c>
      <c r="H41" s="216">
        <f t="shared" si="16"/>
        <v>0</v>
      </c>
      <c r="I41" s="216">
        <f t="shared" si="9"/>
        <v>12662</v>
      </c>
      <c r="J41" s="217">
        <f t="shared" si="11"/>
        <v>0</v>
      </c>
      <c r="K41" s="217">
        <f t="shared" si="12"/>
        <v>0</v>
      </c>
      <c r="L41" s="257"/>
      <c r="N41" s="491"/>
      <c r="O41" s="491"/>
      <c r="P41" s="491"/>
      <c r="Q41" s="491"/>
      <c r="R41" s="505"/>
      <c r="S41" s="505"/>
    </row>
    <row r="42" ht="24" customHeight="1" spans="1:19">
      <c r="A42" s="514" t="s">
        <v>50</v>
      </c>
      <c r="B42" s="464">
        <v>0</v>
      </c>
      <c r="C42" s="464">
        <v>13904.5</v>
      </c>
      <c r="D42" s="216">
        <v>0</v>
      </c>
      <c r="E42" s="216"/>
      <c r="F42" s="477">
        <f t="shared" si="15"/>
        <v>0</v>
      </c>
      <c r="G42" s="477">
        <v>13904.5</v>
      </c>
      <c r="H42" s="216">
        <f t="shared" si="16"/>
        <v>0</v>
      </c>
      <c r="I42" s="216">
        <f t="shared" si="9"/>
        <v>13904.5</v>
      </c>
      <c r="J42" s="217">
        <f t="shared" si="11"/>
        <v>0</v>
      </c>
      <c r="K42" s="217">
        <f t="shared" si="12"/>
        <v>0</v>
      </c>
      <c r="L42" s="490"/>
      <c r="N42" s="491"/>
      <c r="O42" s="491"/>
      <c r="P42" s="491"/>
      <c r="Q42" s="491"/>
      <c r="R42" s="505"/>
      <c r="S42" s="505"/>
    </row>
    <row r="43" ht="24" customHeight="1" spans="1:19">
      <c r="A43" s="514" t="s">
        <v>51</v>
      </c>
      <c r="B43" s="464">
        <v>0</v>
      </c>
      <c r="C43" s="464">
        <v>8069</v>
      </c>
      <c r="D43" s="216">
        <v>0</v>
      </c>
      <c r="E43" s="216"/>
      <c r="F43" s="477">
        <f t="shared" si="15"/>
        <v>0</v>
      </c>
      <c r="G43" s="477">
        <v>8069</v>
      </c>
      <c r="H43" s="216">
        <f t="shared" si="16"/>
        <v>0</v>
      </c>
      <c r="I43" s="216">
        <f t="shared" si="9"/>
        <v>8069</v>
      </c>
      <c r="J43" s="217">
        <f t="shared" si="11"/>
        <v>0</v>
      </c>
      <c r="K43" s="217">
        <f t="shared" si="12"/>
        <v>0</v>
      </c>
      <c r="L43" s="490"/>
      <c r="N43" s="491"/>
      <c r="O43" s="491"/>
      <c r="P43" s="491"/>
      <c r="Q43" s="491"/>
      <c r="R43" s="505"/>
      <c r="S43" s="505"/>
    </row>
    <row r="44" ht="30" customHeight="1" spans="1:19">
      <c r="A44" s="515" t="s">
        <v>52</v>
      </c>
      <c r="B44" s="479">
        <v>0</v>
      </c>
      <c r="C44" s="479">
        <v>49922</v>
      </c>
      <c r="D44" s="477">
        <v>0</v>
      </c>
      <c r="E44" s="477">
        <f>-15423-400+0.3+3224</f>
        <v>-12598.7</v>
      </c>
      <c r="F44" s="477">
        <f t="shared" si="15"/>
        <v>0</v>
      </c>
      <c r="G44" s="477">
        <v>49922</v>
      </c>
      <c r="H44" s="477">
        <f t="shared" si="16"/>
        <v>0</v>
      </c>
      <c r="I44" s="477">
        <f t="shared" si="9"/>
        <v>37323.3</v>
      </c>
      <c r="J44" s="500">
        <f t="shared" si="11"/>
        <v>0</v>
      </c>
      <c r="K44" s="500">
        <f t="shared" si="12"/>
        <v>-25.2367693602019</v>
      </c>
      <c r="L44" s="501" t="s">
        <v>53</v>
      </c>
      <c r="N44" s="491"/>
      <c r="O44" s="491"/>
      <c r="P44" s="491"/>
      <c r="Q44" s="491"/>
      <c r="R44" s="505"/>
      <c r="S44" s="505"/>
    </row>
    <row r="45" ht="24" customHeight="1" spans="1:19">
      <c r="A45" s="480" t="s">
        <v>54</v>
      </c>
      <c r="B45" s="481">
        <f>B38+B35</f>
        <v>295805.258571429</v>
      </c>
      <c r="C45" s="481">
        <f>C38+C35</f>
        <v>255613.138929</v>
      </c>
      <c r="D45" s="482">
        <f>D38+D35</f>
        <v>0</v>
      </c>
      <c r="E45" s="482">
        <f>E38+E35</f>
        <v>-4522.4</v>
      </c>
      <c r="F45" s="482"/>
      <c r="G45" s="482"/>
      <c r="H45" s="482">
        <f>H38+H35</f>
        <v>295805.258571429</v>
      </c>
      <c r="I45" s="482">
        <f>I38+I35</f>
        <v>251090.738929</v>
      </c>
      <c r="J45" s="502">
        <f t="shared" si="11"/>
        <v>0</v>
      </c>
      <c r="K45" s="502">
        <f t="shared" si="12"/>
        <v>-1.76923612727753</v>
      </c>
      <c r="L45" s="503"/>
      <c r="N45" s="491"/>
      <c r="O45" s="491"/>
      <c r="P45" s="491"/>
      <c r="Q45" s="491"/>
      <c r="R45" s="505"/>
      <c r="S45" s="505"/>
    </row>
  </sheetData>
  <mergeCells count="7">
    <mergeCell ref="A2:L2"/>
    <mergeCell ref="B4:C4"/>
    <mergeCell ref="D4:E4"/>
    <mergeCell ref="H4:I4"/>
    <mergeCell ref="J4:K4"/>
    <mergeCell ref="A4:A5"/>
    <mergeCell ref="L4:L5"/>
  </mergeCells>
  <printOptions horizontalCentered="1"/>
  <pageMargins left="0.393055555555556" right="0.393055555555556" top="0.393055555555556" bottom="0.393055555555556" header="0.196527777777778" footer="0.196527777777778"/>
  <pageSetup paperSize="9" scale="86"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42"/>
  <sheetViews>
    <sheetView showZeros="0" zoomScale="90" zoomScaleNormal="90" workbookViewId="0">
      <pane ySplit="5" topLeftCell="A6" activePane="bottomLeft" state="frozen"/>
      <selection/>
      <selection pane="bottomLeft" activeCell="C439" sqref="C439:N442"/>
    </sheetView>
  </sheetViews>
  <sheetFormatPr defaultColWidth="9" defaultRowHeight="18" customHeight="1"/>
  <cols>
    <col min="1" max="1" width="7.375" style="410" customWidth="1"/>
    <col min="2" max="2" width="21.875" style="411" customWidth="1"/>
    <col min="3" max="5" width="10.625" style="412" customWidth="1"/>
    <col min="6" max="6" width="10.275" style="412" customWidth="1"/>
    <col min="7" max="9" width="10.625" style="412" customWidth="1"/>
    <col min="10" max="10" width="10.1333333333333" style="412" customWidth="1"/>
    <col min="11" max="14" width="10.625" style="412" customWidth="1"/>
    <col min="15" max="15" width="35.625" style="413" customWidth="1"/>
    <col min="16" max="17" width="11.125" style="54"/>
    <col min="18" max="16350" width="9" style="54"/>
    <col min="16351" max="16384" width="9" style="414"/>
  </cols>
  <sheetData>
    <row r="1" s="1" customFormat="1" ht="20" customHeight="1" spans="1:1">
      <c r="A1" s="1" t="s">
        <v>55</v>
      </c>
    </row>
    <row r="2" s="1" customFormat="1" ht="25" customHeight="1" spans="1:15">
      <c r="A2" s="11" t="s">
        <v>56</v>
      </c>
      <c r="B2" s="11"/>
      <c r="C2" s="11"/>
      <c r="D2" s="11"/>
      <c r="E2" s="11"/>
      <c r="F2" s="11"/>
      <c r="G2" s="11"/>
      <c r="H2" s="11"/>
      <c r="I2" s="11"/>
      <c r="J2" s="11"/>
      <c r="K2" s="11"/>
      <c r="L2" s="11"/>
      <c r="M2" s="11"/>
      <c r="N2" s="11"/>
      <c r="O2" s="11"/>
    </row>
    <row r="3" s="3" customFormat="1" ht="20.1" customHeight="1" spans="10:15">
      <c r="J3" s="201"/>
      <c r="O3" s="200" t="s">
        <v>5</v>
      </c>
    </row>
    <row r="4" s="408" customFormat="1" ht="24.95" customHeight="1" spans="1:15">
      <c r="A4" s="415" t="s">
        <v>57</v>
      </c>
      <c r="B4" s="416" t="s">
        <v>58</v>
      </c>
      <c r="C4" s="417" t="s">
        <v>7</v>
      </c>
      <c r="D4" s="417"/>
      <c r="E4" s="417"/>
      <c r="F4" s="418" t="s">
        <v>8</v>
      </c>
      <c r="G4" s="419"/>
      <c r="H4" s="419"/>
      <c r="I4" s="419"/>
      <c r="J4" s="424"/>
      <c r="K4" s="417" t="s">
        <v>9</v>
      </c>
      <c r="L4" s="417"/>
      <c r="M4" s="417"/>
      <c r="N4" s="425" t="s">
        <v>59</v>
      </c>
      <c r="O4" s="426" t="s">
        <v>60</v>
      </c>
    </row>
    <row r="5" s="408" customFormat="1" ht="30" customHeight="1" spans="1:15">
      <c r="A5" s="420"/>
      <c r="B5" s="238"/>
      <c r="C5" s="237" t="s">
        <v>61</v>
      </c>
      <c r="D5" s="237" t="s">
        <v>62</v>
      </c>
      <c r="E5" s="237" t="s">
        <v>63</v>
      </c>
      <c r="F5" s="237" t="s">
        <v>64</v>
      </c>
      <c r="G5" s="237" t="s">
        <v>65</v>
      </c>
      <c r="H5" s="237" t="s">
        <v>66</v>
      </c>
      <c r="I5" s="237" t="s">
        <v>67</v>
      </c>
      <c r="J5" s="237" t="s">
        <v>62</v>
      </c>
      <c r="K5" s="237" t="s">
        <v>61</v>
      </c>
      <c r="L5" s="237" t="s">
        <v>62</v>
      </c>
      <c r="M5" s="237" t="s">
        <v>63</v>
      </c>
      <c r="N5" s="427"/>
      <c r="O5" s="428"/>
    </row>
    <row r="6" s="54" customFormat="1" ht="25" customHeight="1" spans="1:15">
      <c r="A6" s="421">
        <v>201</v>
      </c>
      <c r="B6" s="142" t="s">
        <v>68</v>
      </c>
      <c r="C6" s="422">
        <f>C7+C14+C20+C23+C29+C35+C40+C42+C47+C51+C56+C64+C68+C70+C74+C79+C82+C85+C90+C93+C100+C60</f>
        <v>23205.77</v>
      </c>
      <c r="D6" s="422">
        <f t="shared" ref="D6:M6" si="0">D7+D14+D20+D23+D29+D35+D40+D42+D47+D51+D56+D64+D68+D70+D74+D79+D82+D85+D90+D93+D100+D60</f>
        <v>2615</v>
      </c>
      <c r="E6" s="422">
        <f>C6+D6</f>
        <v>25820.77</v>
      </c>
      <c r="F6" s="422">
        <f t="shared" si="0"/>
        <v>-1454.06846</v>
      </c>
      <c r="G6" s="422">
        <f t="shared" si="0"/>
        <v>4.03</v>
      </c>
      <c r="H6" s="422">
        <f t="shared" si="0"/>
        <v>0</v>
      </c>
      <c r="I6" s="422">
        <f t="shared" si="0"/>
        <v>79.15</v>
      </c>
      <c r="J6" s="422">
        <f t="shared" si="0"/>
        <v>164.62</v>
      </c>
      <c r="K6" s="422">
        <f t="shared" si="0"/>
        <v>21834.88154</v>
      </c>
      <c r="L6" s="422">
        <f t="shared" si="0"/>
        <v>2779.62</v>
      </c>
      <c r="M6" s="422">
        <f t="shared" si="0"/>
        <v>24614.50154</v>
      </c>
      <c r="N6" s="422">
        <f t="shared" ref="N6:N26" si="1">(M6-E6)/E6*100</f>
        <v>-4.67169824912274</v>
      </c>
      <c r="O6" s="257"/>
    </row>
    <row r="7" s="54" customFormat="1" ht="25" customHeight="1" spans="1:15">
      <c r="A7" s="421">
        <v>20101</v>
      </c>
      <c r="B7" s="142" t="s">
        <v>69</v>
      </c>
      <c r="C7" s="422">
        <f t="shared" ref="C7:M7" si="2">C8+C9+C10+C11+C12+C13</f>
        <v>831.38</v>
      </c>
      <c r="D7" s="422">
        <f t="shared" si="2"/>
        <v>105</v>
      </c>
      <c r="E7" s="422">
        <f t="shared" si="2"/>
        <v>936.38</v>
      </c>
      <c r="F7" s="422">
        <f t="shared" si="2"/>
        <v>-17.984</v>
      </c>
      <c r="G7" s="422">
        <f t="shared" si="2"/>
        <v>0</v>
      </c>
      <c r="H7" s="422">
        <f t="shared" si="2"/>
        <v>0</v>
      </c>
      <c r="I7" s="422">
        <f t="shared" si="2"/>
        <v>0.14</v>
      </c>
      <c r="J7" s="422">
        <f t="shared" si="2"/>
        <v>0</v>
      </c>
      <c r="K7" s="422">
        <f t="shared" si="2"/>
        <v>813.536</v>
      </c>
      <c r="L7" s="422">
        <f t="shared" si="2"/>
        <v>105</v>
      </c>
      <c r="M7" s="422">
        <f t="shared" si="2"/>
        <v>918.536</v>
      </c>
      <c r="N7" s="422">
        <f t="shared" si="1"/>
        <v>-1.90563660052543</v>
      </c>
      <c r="O7" s="257"/>
    </row>
    <row r="8" s="54" customFormat="1" ht="25" customHeight="1" spans="1:15">
      <c r="A8" s="421">
        <v>2010101</v>
      </c>
      <c r="B8" s="142" t="s">
        <v>70</v>
      </c>
      <c r="C8" s="422">
        <v>676.98</v>
      </c>
      <c r="D8" s="422">
        <v>0</v>
      </c>
      <c r="E8" s="422">
        <f t="shared" ref="E8:E22" si="3">C8+D8</f>
        <v>676.98</v>
      </c>
      <c r="F8" s="422">
        <v>-17.384</v>
      </c>
      <c r="G8" s="422"/>
      <c r="H8" s="422"/>
      <c r="I8" s="422">
        <v>0.14</v>
      </c>
      <c r="J8" s="422">
        <f t="shared" ref="J8:J13" si="4">L8-D8</f>
        <v>0</v>
      </c>
      <c r="K8" s="422">
        <f t="shared" ref="K8:K13" si="5">C8+F8+G8+H8+I8</f>
        <v>659.736</v>
      </c>
      <c r="L8" s="422"/>
      <c r="M8" s="422">
        <f t="shared" ref="M8:M22" si="6">K8+L8</f>
        <v>659.736</v>
      </c>
      <c r="N8" s="422">
        <f t="shared" si="1"/>
        <v>-2.54719489497474</v>
      </c>
      <c r="O8" s="257"/>
    </row>
    <row r="9" s="54" customFormat="1" ht="25" customHeight="1" spans="1:15">
      <c r="A9" s="421">
        <v>2010104</v>
      </c>
      <c r="B9" s="142" t="s">
        <v>71</v>
      </c>
      <c r="C9" s="422">
        <v>29</v>
      </c>
      <c r="D9" s="422">
        <v>0</v>
      </c>
      <c r="E9" s="422">
        <f t="shared" si="3"/>
        <v>29</v>
      </c>
      <c r="F9" s="422"/>
      <c r="G9" s="422"/>
      <c r="H9" s="422"/>
      <c r="I9" s="422"/>
      <c r="J9" s="422">
        <f t="shared" si="4"/>
        <v>0</v>
      </c>
      <c r="K9" s="422">
        <f t="shared" si="5"/>
        <v>29</v>
      </c>
      <c r="L9" s="422"/>
      <c r="M9" s="422">
        <f t="shared" si="6"/>
        <v>29</v>
      </c>
      <c r="N9" s="422">
        <f t="shared" si="1"/>
        <v>0</v>
      </c>
      <c r="O9" s="257"/>
    </row>
    <row r="10" s="54" customFormat="1" ht="25" customHeight="1" spans="1:15">
      <c r="A10" s="421">
        <v>2010106</v>
      </c>
      <c r="B10" s="142" t="s">
        <v>72</v>
      </c>
      <c r="C10" s="422">
        <v>9</v>
      </c>
      <c r="D10" s="422">
        <v>0</v>
      </c>
      <c r="E10" s="422">
        <f t="shared" si="3"/>
        <v>9</v>
      </c>
      <c r="F10" s="422"/>
      <c r="G10" s="422"/>
      <c r="H10" s="422"/>
      <c r="I10" s="422"/>
      <c r="J10" s="422">
        <f t="shared" si="4"/>
        <v>0</v>
      </c>
      <c r="K10" s="422">
        <f t="shared" si="5"/>
        <v>9</v>
      </c>
      <c r="L10" s="422"/>
      <c r="M10" s="422">
        <f t="shared" si="6"/>
        <v>9</v>
      </c>
      <c r="N10" s="422">
        <f t="shared" si="1"/>
        <v>0</v>
      </c>
      <c r="O10" s="257"/>
    </row>
    <row r="11" s="54" customFormat="1" ht="25" customHeight="1" spans="1:15">
      <c r="A11" s="421">
        <v>2010107</v>
      </c>
      <c r="B11" s="142" t="s">
        <v>73</v>
      </c>
      <c r="C11" s="422">
        <v>14</v>
      </c>
      <c r="D11" s="422">
        <v>0</v>
      </c>
      <c r="E11" s="422">
        <f t="shared" si="3"/>
        <v>14</v>
      </c>
      <c r="F11" s="422"/>
      <c r="G11" s="422"/>
      <c r="H11" s="422"/>
      <c r="I11" s="422"/>
      <c r="J11" s="422">
        <f t="shared" si="4"/>
        <v>0</v>
      </c>
      <c r="K11" s="422">
        <f t="shared" si="5"/>
        <v>14</v>
      </c>
      <c r="L11" s="422"/>
      <c r="M11" s="422">
        <f t="shared" si="6"/>
        <v>14</v>
      </c>
      <c r="N11" s="422">
        <f t="shared" si="1"/>
        <v>0</v>
      </c>
      <c r="O11" s="257"/>
    </row>
    <row r="12" s="54" customFormat="1" ht="25" customHeight="1" spans="1:15">
      <c r="A12" s="421">
        <v>2010108</v>
      </c>
      <c r="B12" s="142" t="s">
        <v>74</v>
      </c>
      <c r="C12" s="422">
        <v>57.4</v>
      </c>
      <c r="D12" s="422">
        <v>0</v>
      </c>
      <c r="E12" s="422">
        <f t="shared" si="3"/>
        <v>57.4</v>
      </c>
      <c r="F12" s="422">
        <v>-0.6</v>
      </c>
      <c r="G12" s="422"/>
      <c r="H12" s="422"/>
      <c r="I12" s="422"/>
      <c r="J12" s="422">
        <f t="shared" si="4"/>
        <v>0</v>
      </c>
      <c r="K12" s="422">
        <f t="shared" si="5"/>
        <v>56.8</v>
      </c>
      <c r="L12" s="422"/>
      <c r="M12" s="422">
        <f t="shared" si="6"/>
        <v>56.8</v>
      </c>
      <c r="N12" s="422">
        <f t="shared" si="1"/>
        <v>-1.04529616724739</v>
      </c>
      <c r="O12" s="429"/>
    </row>
    <row r="13" s="54" customFormat="1" ht="25" customHeight="1" spans="1:15">
      <c r="A13" s="421">
        <v>2010199</v>
      </c>
      <c r="B13" s="142" t="s">
        <v>75</v>
      </c>
      <c r="C13" s="422">
        <v>45</v>
      </c>
      <c r="D13" s="422">
        <v>105</v>
      </c>
      <c r="E13" s="422">
        <f t="shared" si="3"/>
        <v>150</v>
      </c>
      <c r="F13" s="422"/>
      <c r="G13" s="422"/>
      <c r="H13" s="422"/>
      <c r="I13" s="422"/>
      <c r="J13" s="422">
        <f t="shared" si="4"/>
        <v>0</v>
      </c>
      <c r="K13" s="422">
        <f t="shared" si="5"/>
        <v>45</v>
      </c>
      <c r="L13" s="422">
        <v>105</v>
      </c>
      <c r="M13" s="422">
        <f t="shared" si="6"/>
        <v>150</v>
      </c>
      <c r="N13" s="422">
        <f t="shared" si="1"/>
        <v>0</v>
      </c>
      <c r="O13" s="257"/>
    </row>
    <row r="14" s="54" customFormat="1" ht="25" customHeight="1" spans="1:15">
      <c r="A14" s="421">
        <v>20102</v>
      </c>
      <c r="B14" s="142" t="s">
        <v>76</v>
      </c>
      <c r="C14" s="422">
        <f t="shared" ref="C14:L14" si="7">C15+C16+C17+C18+C19</f>
        <v>476.13</v>
      </c>
      <c r="D14" s="422">
        <f t="shared" si="7"/>
        <v>0</v>
      </c>
      <c r="E14" s="422">
        <f t="shared" si="3"/>
        <v>476.13</v>
      </c>
      <c r="F14" s="422">
        <f t="shared" si="7"/>
        <v>-3.3595</v>
      </c>
      <c r="G14" s="422">
        <f t="shared" si="7"/>
        <v>0</v>
      </c>
      <c r="H14" s="422">
        <f t="shared" si="7"/>
        <v>0</v>
      </c>
      <c r="I14" s="422">
        <f t="shared" si="7"/>
        <v>0.14</v>
      </c>
      <c r="J14" s="422">
        <f t="shared" si="7"/>
        <v>0</v>
      </c>
      <c r="K14" s="422">
        <f t="shared" si="7"/>
        <v>472.9105</v>
      </c>
      <c r="L14" s="422">
        <f t="shared" si="7"/>
        <v>0</v>
      </c>
      <c r="M14" s="422">
        <f t="shared" si="6"/>
        <v>472.9105</v>
      </c>
      <c r="N14" s="422">
        <f t="shared" si="1"/>
        <v>-0.67618087497113</v>
      </c>
      <c r="O14" s="429"/>
    </row>
    <row r="15" s="54" customFormat="1" ht="25" customHeight="1" spans="1:15">
      <c r="A15" s="421">
        <v>2010201</v>
      </c>
      <c r="B15" s="142" t="s">
        <v>70</v>
      </c>
      <c r="C15" s="422">
        <v>381.93</v>
      </c>
      <c r="D15" s="422"/>
      <c r="E15" s="422">
        <f t="shared" si="3"/>
        <v>381.93</v>
      </c>
      <c r="F15" s="422">
        <v>-3.3595</v>
      </c>
      <c r="G15" s="423"/>
      <c r="H15" s="423"/>
      <c r="I15" s="423">
        <v>0.14</v>
      </c>
      <c r="J15" s="422">
        <f t="shared" ref="J15:J19" si="8">L15-D15</f>
        <v>0</v>
      </c>
      <c r="K15" s="422">
        <f t="shared" ref="K15:K19" si="9">C15+F15+G15+H15+I15</f>
        <v>378.7105</v>
      </c>
      <c r="L15" s="422"/>
      <c r="M15" s="422">
        <f t="shared" si="6"/>
        <v>378.7105</v>
      </c>
      <c r="N15" s="422">
        <f t="shared" si="1"/>
        <v>-0.842955515408593</v>
      </c>
      <c r="O15" s="257"/>
    </row>
    <row r="16" s="54" customFormat="1" ht="25" customHeight="1" spans="1:15">
      <c r="A16" s="421">
        <v>2010204</v>
      </c>
      <c r="B16" s="142" t="s">
        <v>77</v>
      </c>
      <c r="C16" s="422">
        <v>22</v>
      </c>
      <c r="D16" s="422"/>
      <c r="E16" s="422">
        <f t="shared" si="3"/>
        <v>22</v>
      </c>
      <c r="F16" s="422"/>
      <c r="G16" s="423"/>
      <c r="H16" s="423"/>
      <c r="I16" s="423"/>
      <c r="J16" s="422">
        <f t="shared" si="8"/>
        <v>0</v>
      </c>
      <c r="K16" s="422">
        <f t="shared" si="9"/>
        <v>22</v>
      </c>
      <c r="L16" s="422"/>
      <c r="M16" s="422">
        <f t="shared" si="6"/>
        <v>22</v>
      </c>
      <c r="N16" s="422">
        <f t="shared" si="1"/>
        <v>0</v>
      </c>
      <c r="O16" s="257"/>
    </row>
    <row r="17" s="54" customFormat="1" ht="25" customHeight="1" spans="1:15">
      <c r="A17" s="421">
        <v>2010205</v>
      </c>
      <c r="B17" s="142" t="s">
        <v>78</v>
      </c>
      <c r="C17" s="422">
        <v>5</v>
      </c>
      <c r="D17" s="422"/>
      <c r="E17" s="422">
        <f t="shared" si="3"/>
        <v>5</v>
      </c>
      <c r="F17" s="422"/>
      <c r="G17" s="423"/>
      <c r="H17" s="423"/>
      <c r="I17" s="423"/>
      <c r="J17" s="422">
        <f t="shared" si="8"/>
        <v>0</v>
      </c>
      <c r="K17" s="422">
        <f t="shared" si="9"/>
        <v>5</v>
      </c>
      <c r="L17" s="422"/>
      <c r="M17" s="422">
        <f t="shared" si="6"/>
        <v>5</v>
      </c>
      <c r="N17" s="422">
        <f t="shared" si="1"/>
        <v>0</v>
      </c>
      <c r="O17" s="257"/>
    </row>
    <row r="18" s="54" customFormat="1" ht="25" customHeight="1" spans="1:15">
      <c r="A18" s="421">
        <v>2010206</v>
      </c>
      <c r="B18" s="142" t="s">
        <v>79</v>
      </c>
      <c r="C18" s="422">
        <v>5</v>
      </c>
      <c r="D18" s="422"/>
      <c r="E18" s="422">
        <f t="shared" si="3"/>
        <v>5</v>
      </c>
      <c r="F18" s="422"/>
      <c r="G18" s="423"/>
      <c r="H18" s="423"/>
      <c r="I18" s="423"/>
      <c r="J18" s="422">
        <f t="shared" si="8"/>
        <v>0</v>
      </c>
      <c r="K18" s="422">
        <f t="shared" si="9"/>
        <v>5</v>
      </c>
      <c r="L18" s="422"/>
      <c r="M18" s="422">
        <f t="shared" si="6"/>
        <v>5</v>
      </c>
      <c r="N18" s="422">
        <f t="shared" si="1"/>
        <v>0</v>
      </c>
      <c r="O18" s="257"/>
    </row>
    <row r="19" s="54" customFormat="1" ht="25" customHeight="1" spans="1:16">
      <c r="A19" s="421">
        <v>2010299</v>
      </c>
      <c r="B19" s="142" t="s">
        <v>80</v>
      </c>
      <c r="C19" s="422">
        <v>62.2</v>
      </c>
      <c r="D19" s="422"/>
      <c r="E19" s="422">
        <f t="shared" si="3"/>
        <v>62.2</v>
      </c>
      <c r="F19" s="422"/>
      <c r="G19" s="423"/>
      <c r="H19" s="423"/>
      <c r="I19" s="423"/>
      <c r="J19" s="422">
        <f t="shared" si="8"/>
        <v>0</v>
      </c>
      <c r="K19" s="422">
        <f t="shared" si="9"/>
        <v>62.2</v>
      </c>
      <c r="L19" s="422"/>
      <c r="M19" s="422">
        <f t="shared" si="6"/>
        <v>62.2</v>
      </c>
      <c r="N19" s="422">
        <f t="shared" si="1"/>
        <v>0</v>
      </c>
      <c r="O19" s="257"/>
      <c r="P19" s="411"/>
    </row>
    <row r="20" s="54" customFormat="1" ht="25" customHeight="1" spans="1:15">
      <c r="A20" s="421">
        <v>20103</v>
      </c>
      <c r="B20" s="142" t="s">
        <v>81</v>
      </c>
      <c r="C20" s="422">
        <f t="shared" ref="C20:L20" si="10">C21+C22</f>
        <v>3793.69</v>
      </c>
      <c r="D20" s="422">
        <f t="shared" si="10"/>
        <v>0</v>
      </c>
      <c r="E20" s="422">
        <f t="shared" si="3"/>
        <v>3793.69</v>
      </c>
      <c r="F20" s="422">
        <f t="shared" si="10"/>
        <v>-139.9311</v>
      </c>
      <c r="G20" s="422">
        <f t="shared" si="10"/>
        <v>0</v>
      </c>
      <c r="H20" s="422">
        <f t="shared" si="10"/>
        <v>0</v>
      </c>
      <c r="I20" s="422">
        <f t="shared" si="10"/>
        <v>0.6</v>
      </c>
      <c r="J20" s="422">
        <f t="shared" si="10"/>
        <v>0</v>
      </c>
      <c r="K20" s="422">
        <f t="shared" si="10"/>
        <v>3654.3589</v>
      </c>
      <c r="L20" s="422">
        <f t="shared" si="10"/>
        <v>0</v>
      </c>
      <c r="M20" s="422">
        <f t="shared" si="6"/>
        <v>3654.3589</v>
      </c>
      <c r="N20" s="422">
        <f t="shared" si="1"/>
        <v>-3.67270652056441</v>
      </c>
      <c r="O20" s="257"/>
    </row>
    <row r="21" s="54" customFormat="1" ht="25" customHeight="1" spans="1:15">
      <c r="A21" s="421">
        <v>2010301</v>
      </c>
      <c r="B21" s="142" t="s">
        <v>70</v>
      </c>
      <c r="C21" s="422">
        <v>2031.07</v>
      </c>
      <c r="D21" s="422"/>
      <c r="E21" s="422">
        <f t="shared" si="3"/>
        <v>2031.07</v>
      </c>
      <c r="F21" s="422">
        <v>-2.232</v>
      </c>
      <c r="G21" s="423"/>
      <c r="H21" s="423"/>
      <c r="I21" s="423">
        <v>0.6</v>
      </c>
      <c r="J21" s="422">
        <f t="shared" ref="J21:J28" si="11">L21-D21</f>
        <v>0</v>
      </c>
      <c r="K21" s="422">
        <f t="shared" ref="K21:K28" si="12">C21+F21+G21+H21+I21</f>
        <v>2029.438</v>
      </c>
      <c r="L21" s="422"/>
      <c r="M21" s="422">
        <f t="shared" si="6"/>
        <v>2029.438</v>
      </c>
      <c r="N21" s="422">
        <f t="shared" si="1"/>
        <v>-0.0803517357845895</v>
      </c>
      <c r="O21" s="257"/>
    </row>
    <row r="22" s="54" customFormat="1" ht="35" customHeight="1" spans="1:15">
      <c r="A22" s="421">
        <v>2010399</v>
      </c>
      <c r="B22" s="142" t="s">
        <v>82</v>
      </c>
      <c r="C22" s="422">
        <v>1762.62</v>
      </c>
      <c r="D22" s="422"/>
      <c r="E22" s="422">
        <f t="shared" si="3"/>
        <v>1762.62</v>
      </c>
      <c r="F22" s="422">
        <v>-137.6991</v>
      </c>
      <c r="G22" s="423"/>
      <c r="H22" s="423"/>
      <c r="I22" s="423"/>
      <c r="J22" s="422">
        <f t="shared" si="11"/>
        <v>0</v>
      </c>
      <c r="K22" s="422">
        <f t="shared" si="12"/>
        <v>1624.9209</v>
      </c>
      <c r="L22" s="422"/>
      <c r="M22" s="422">
        <f t="shared" si="6"/>
        <v>1624.9209</v>
      </c>
      <c r="N22" s="422">
        <f t="shared" si="1"/>
        <v>-7.81218300030636</v>
      </c>
      <c r="O22" s="257" t="s">
        <v>83</v>
      </c>
    </row>
    <row r="23" s="54" customFormat="1" ht="25" customHeight="1" spans="1:15">
      <c r="A23" s="421">
        <v>20104</v>
      </c>
      <c r="B23" s="142" t="s">
        <v>84</v>
      </c>
      <c r="C23" s="422">
        <f t="shared" ref="C23:M23" si="13">C24+C25+C26+C28+C27</f>
        <v>845.67</v>
      </c>
      <c r="D23" s="422">
        <f t="shared" si="13"/>
        <v>2</v>
      </c>
      <c r="E23" s="422">
        <f t="shared" si="13"/>
        <v>847.67</v>
      </c>
      <c r="F23" s="422">
        <f t="shared" si="13"/>
        <v>-32.3923</v>
      </c>
      <c r="G23" s="422">
        <f t="shared" si="13"/>
        <v>0</v>
      </c>
      <c r="H23" s="422">
        <f t="shared" si="13"/>
        <v>0</v>
      </c>
      <c r="I23" s="422">
        <f t="shared" si="13"/>
        <v>0</v>
      </c>
      <c r="J23" s="422">
        <f t="shared" si="13"/>
        <v>-0.15</v>
      </c>
      <c r="K23" s="422">
        <f t="shared" si="13"/>
        <v>813.2777</v>
      </c>
      <c r="L23" s="422">
        <f t="shared" si="13"/>
        <v>1.85</v>
      </c>
      <c r="M23" s="422">
        <f t="shared" si="13"/>
        <v>815.1277</v>
      </c>
      <c r="N23" s="422">
        <f t="shared" si="1"/>
        <v>-3.83902933924759</v>
      </c>
      <c r="O23" s="257"/>
    </row>
    <row r="24" s="54" customFormat="1" ht="25" customHeight="1" spans="1:15">
      <c r="A24" s="421">
        <v>2010401</v>
      </c>
      <c r="B24" s="142" t="s">
        <v>70</v>
      </c>
      <c r="C24" s="422">
        <v>320.42</v>
      </c>
      <c r="D24" s="422">
        <v>0</v>
      </c>
      <c r="E24" s="422">
        <f t="shared" ref="E24:E87" si="14">C24+D24</f>
        <v>320.42</v>
      </c>
      <c r="F24" s="422">
        <v>-25.6723</v>
      </c>
      <c r="G24" s="423"/>
      <c r="H24" s="423"/>
      <c r="I24" s="423"/>
      <c r="J24" s="422">
        <f t="shared" si="11"/>
        <v>0</v>
      </c>
      <c r="K24" s="422">
        <f t="shared" si="12"/>
        <v>294.7477</v>
      </c>
      <c r="L24" s="422"/>
      <c r="M24" s="422">
        <f t="shared" ref="M24:M87" si="15">K24+L24</f>
        <v>294.7477</v>
      </c>
      <c r="N24" s="422">
        <f t="shared" si="1"/>
        <v>-8.01207789775919</v>
      </c>
      <c r="O24" s="257"/>
    </row>
    <row r="25" s="54" customFormat="1" ht="25" customHeight="1" spans="1:15">
      <c r="A25" s="421">
        <v>2010402</v>
      </c>
      <c r="B25" s="142" t="s">
        <v>85</v>
      </c>
      <c r="C25" s="422">
        <v>1</v>
      </c>
      <c r="D25" s="422">
        <v>0</v>
      </c>
      <c r="E25" s="422">
        <f t="shared" si="14"/>
        <v>1</v>
      </c>
      <c r="F25" s="422"/>
      <c r="G25" s="423"/>
      <c r="H25" s="423"/>
      <c r="I25" s="423"/>
      <c r="J25" s="422">
        <f t="shared" si="11"/>
        <v>0</v>
      </c>
      <c r="K25" s="422">
        <f t="shared" si="12"/>
        <v>1</v>
      </c>
      <c r="L25" s="422"/>
      <c r="M25" s="422">
        <f t="shared" si="15"/>
        <v>1</v>
      </c>
      <c r="N25" s="422">
        <f t="shared" si="1"/>
        <v>0</v>
      </c>
      <c r="O25" s="257"/>
    </row>
    <row r="26" s="54" customFormat="1" ht="25" customHeight="1" spans="1:15">
      <c r="A26" s="421">
        <v>2010404</v>
      </c>
      <c r="B26" s="142" t="s">
        <v>86</v>
      </c>
      <c r="C26" s="422">
        <v>3</v>
      </c>
      <c r="D26" s="422">
        <v>0</v>
      </c>
      <c r="E26" s="422">
        <f t="shared" si="14"/>
        <v>3</v>
      </c>
      <c r="F26" s="422"/>
      <c r="G26" s="423"/>
      <c r="H26" s="423"/>
      <c r="I26" s="423"/>
      <c r="J26" s="422">
        <f t="shared" si="11"/>
        <v>0</v>
      </c>
      <c r="K26" s="422">
        <f t="shared" si="12"/>
        <v>3</v>
      </c>
      <c r="L26" s="422"/>
      <c r="M26" s="422">
        <f t="shared" si="15"/>
        <v>3</v>
      </c>
      <c r="N26" s="422">
        <f t="shared" si="1"/>
        <v>0</v>
      </c>
      <c r="O26" s="257"/>
    </row>
    <row r="27" s="54" customFormat="1" ht="25" customHeight="1" spans="1:15">
      <c r="A27" s="421">
        <v>2010408</v>
      </c>
      <c r="B27" s="142" t="s">
        <v>87</v>
      </c>
      <c r="C27" s="423"/>
      <c r="D27" s="423">
        <v>2</v>
      </c>
      <c r="E27" s="422">
        <f t="shared" si="14"/>
        <v>2</v>
      </c>
      <c r="F27" s="422"/>
      <c r="G27" s="423"/>
      <c r="H27" s="422"/>
      <c r="I27" s="422"/>
      <c r="J27" s="422">
        <f t="shared" si="11"/>
        <v>-0.15</v>
      </c>
      <c r="K27" s="422">
        <f t="shared" si="12"/>
        <v>0</v>
      </c>
      <c r="L27" s="423">
        <v>1.85</v>
      </c>
      <c r="M27" s="422">
        <f t="shared" si="15"/>
        <v>1.85</v>
      </c>
      <c r="N27" s="422">
        <v>100</v>
      </c>
      <c r="O27" s="257"/>
    </row>
    <row r="28" s="54" customFormat="1" ht="25" customHeight="1" spans="1:15">
      <c r="A28" s="421">
        <v>2010499</v>
      </c>
      <c r="B28" s="142" t="s">
        <v>88</v>
      </c>
      <c r="C28" s="422">
        <v>521.25</v>
      </c>
      <c r="D28" s="422">
        <v>0</v>
      </c>
      <c r="E28" s="422">
        <f t="shared" si="14"/>
        <v>521.25</v>
      </c>
      <c r="F28" s="422">
        <v>-6.72</v>
      </c>
      <c r="G28" s="423"/>
      <c r="H28" s="423"/>
      <c r="I28" s="423"/>
      <c r="J28" s="422">
        <f t="shared" si="11"/>
        <v>0</v>
      </c>
      <c r="K28" s="422">
        <f t="shared" si="12"/>
        <v>514.53</v>
      </c>
      <c r="L28" s="422"/>
      <c r="M28" s="422">
        <f t="shared" si="15"/>
        <v>514.53</v>
      </c>
      <c r="N28" s="422">
        <f t="shared" ref="N28:N33" si="16">(M28-E28)/E28*100</f>
        <v>-1.28920863309353</v>
      </c>
      <c r="O28" s="257"/>
    </row>
    <row r="29" s="54" customFormat="1" ht="25" customHeight="1" spans="1:15">
      <c r="A29" s="421">
        <v>20105</v>
      </c>
      <c r="B29" s="142" t="s">
        <v>89</v>
      </c>
      <c r="C29" s="422">
        <f t="shared" ref="C29:L29" si="17">C30+C31+C32+C33+C34</f>
        <v>362.28</v>
      </c>
      <c r="D29" s="422">
        <f t="shared" si="17"/>
        <v>55</v>
      </c>
      <c r="E29" s="422">
        <f t="shared" si="14"/>
        <v>417.28</v>
      </c>
      <c r="F29" s="422">
        <f t="shared" si="17"/>
        <v>-47.94</v>
      </c>
      <c r="G29" s="422">
        <f t="shared" si="17"/>
        <v>0</v>
      </c>
      <c r="H29" s="422">
        <f t="shared" si="17"/>
        <v>0</v>
      </c>
      <c r="I29" s="422">
        <f t="shared" si="17"/>
        <v>-0.15</v>
      </c>
      <c r="J29" s="422">
        <f t="shared" si="17"/>
        <v>0</v>
      </c>
      <c r="K29" s="422">
        <f t="shared" si="17"/>
        <v>314.19</v>
      </c>
      <c r="L29" s="422">
        <f t="shared" si="17"/>
        <v>55</v>
      </c>
      <c r="M29" s="422">
        <f t="shared" si="15"/>
        <v>369.19</v>
      </c>
      <c r="N29" s="422">
        <f t="shared" si="16"/>
        <v>-11.5246357361963</v>
      </c>
      <c r="O29" s="257"/>
    </row>
    <row r="30" s="54" customFormat="1" ht="25" customHeight="1" spans="1:15">
      <c r="A30" s="421">
        <v>2010501</v>
      </c>
      <c r="B30" s="142" t="s">
        <v>70</v>
      </c>
      <c r="C30" s="422">
        <v>237.28</v>
      </c>
      <c r="D30" s="422">
        <v>0</v>
      </c>
      <c r="E30" s="422">
        <f t="shared" si="14"/>
        <v>237.28</v>
      </c>
      <c r="F30" s="422">
        <v>-10</v>
      </c>
      <c r="G30" s="423"/>
      <c r="H30" s="423"/>
      <c r="I30" s="423">
        <v>-0.15</v>
      </c>
      <c r="J30" s="422">
        <f t="shared" ref="J30:J34" si="18">L30-D30</f>
        <v>0</v>
      </c>
      <c r="K30" s="422">
        <f t="shared" ref="K30:K34" si="19">C30+F30+G30+H30+I30</f>
        <v>227.13</v>
      </c>
      <c r="L30" s="422"/>
      <c r="M30" s="422">
        <f t="shared" si="15"/>
        <v>227.13</v>
      </c>
      <c r="N30" s="422">
        <f t="shared" si="16"/>
        <v>-4.27764666217128</v>
      </c>
      <c r="O30" s="257"/>
    </row>
    <row r="31" s="54" customFormat="1" ht="25" customHeight="1" spans="1:15">
      <c r="A31" s="421">
        <v>2010502</v>
      </c>
      <c r="B31" s="142" t="s">
        <v>85</v>
      </c>
      <c r="C31" s="422">
        <v>10</v>
      </c>
      <c r="D31" s="422">
        <v>0</v>
      </c>
      <c r="E31" s="422">
        <f t="shared" si="14"/>
        <v>10</v>
      </c>
      <c r="F31" s="422"/>
      <c r="G31" s="423"/>
      <c r="H31" s="423"/>
      <c r="I31" s="423"/>
      <c r="J31" s="422">
        <f t="shared" si="18"/>
        <v>0</v>
      </c>
      <c r="K31" s="422">
        <f t="shared" si="19"/>
        <v>10</v>
      </c>
      <c r="L31" s="422"/>
      <c r="M31" s="422">
        <f t="shared" si="15"/>
        <v>10</v>
      </c>
      <c r="N31" s="422">
        <f t="shared" si="16"/>
        <v>0</v>
      </c>
      <c r="O31" s="257"/>
    </row>
    <row r="32" s="54" customFormat="1" ht="25" customHeight="1" spans="1:15">
      <c r="A32" s="421">
        <v>2010507</v>
      </c>
      <c r="B32" s="142" t="s">
        <v>90</v>
      </c>
      <c r="C32" s="422">
        <v>100</v>
      </c>
      <c r="D32" s="422">
        <v>0</v>
      </c>
      <c r="E32" s="422">
        <f t="shared" si="14"/>
        <v>100</v>
      </c>
      <c r="F32" s="422">
        <v>-37.94</v>
      </c>
      <c r="G32" s="423"/>
      <c r="H32" s="423"/>
      <c r="I32" s="423"/>
      <c r="J32" s="422">
        <f t="shared" si="18"/>
        <v>0</v>
      </c>
      <c r="K32" s="422">
        <f t="shared" si="19"/>
        <v>62.06</v>
      </c>
      <c r="L32" s="422"/>
      <c r="M32" s="422">
        <f t="shared" si="15"/>
        <v>62.06</v>
      </c>
      <c r="N32" s="422">
        <f t="shared" si="16"/>
        <v>-37.94</v>
      </c>
      <c r="O32" s="257" t="s">
        <v>91</v>
      </c>
    </row>
    <row r="33" s="54" customFormat="1" ht="25" customHeight="1" spans="1:15">
      <c r="A33" s="421">
        <v>2010508</v>
      </c>
      <c r="B33" s="142" t="s">
        <v>92</v>
      </c>
      <c r="C33" s="422">
        <v>15</v>
      </c>
      <c r="D33" s="422">
        <v>0</v>
      </c>
      <c r="E33" s="422">
        <f t="shared" si="14"/>
        <v>15</v>
      </c>
      <c r="F33" s="422"/>
      <c r="G33" s="423"/>
      <c r="H33" s="423"/>
      <c r="I33" s="423"/>
      <c r="J33" s="422">
        <f t="shared" si="18"/>
        <v>0</v>
      </c>
      <c r="K33" s="422">
        <f t="shared" si="19"/>
        <v>15</v>
      </c>
      <c r="L33" s="422"/>
      <c r="M33" s="422">
        <f t="shared" si="15"/>
        <v>15</v>
      </c>
      <c r="N33" s="422">
        <f t="shared" si="16"/>
        <v>0</v>
      </c>
      <c r="O33" s="257"/>
    </row>
    <row r="34" s="54" customFormat="1" ht="25" customHeight="1" spans="1:15">
      <c r="A34" s="421">
        <v>2010599</v>
      </c>
      <c r="B34" s="142" t="s">
        <v>93</v>
      </c>
      <c r="C34" s="422"/>
      <c r="D34" s="422">
        <v>55</v>
      </c>
      <c r="E34" s="422">
        <f t="shared" si="14"/>
        <v>55</v>
      </c>
      <c r="F34" s="422"/>
      <c r="G34" s="423"/>
      <c r="H34" s="423"/>
      <c r="I34" s="423"/>
      <c r="J34" s="422">
        <f t="shared" si="18"/>
        <v>0</v>
      </c>
      <c r="K34" s="422">
        <f t="shared" si="19"/>
        <v>0</v>
      </c>
      <c r="L34" s="422">
        <v>55</v>
      </c>
      <c r="M34" s="422">
        <f t="shared" si="15"/>
        <v>55</v>
      </c>
      <c r="N34" s="422">
        <v>100</v>
      </c>
      <c r="O34" s="257"/>
    </row>
    <row r="35" s="54" customFormat="1" ht="25" customHeight="1" spans="1:15">
      <c r="A35" s="421">
        <v>20106</v>
      </c>
      <c r="B35" s="142" t="s">
        <v>94</v>
      </c>
      <c r="C35" s="422">
        <f t="shared" ref="C35:L35" si="20">C36+C37+C38+C39</f>
        <v>1034.08</v>
      </c>
      <c r="D35" s="422">
        <f t="shared" si="20"/>
        <v>0</v>
      </c>
      <c r="E35" s="422">
        <f t="shared" si="14"/>
        <v>1034.08</v>
      </c>
      <c r="F35" s="422">
        <f t="shared" si="20"/>
        <v>-46.802339</v>
      </c>
      <c r="G35" s="422">
        <f t="shared" si="20"/>
        <v>0</v>
      </c>
      <c r="H35" s="422">
        <f t="shared" si="20"/>
        <v>0</v>
      </c>
      <c r="I35" s="422">
        <f t="shared" si="20"/>
        <v>4.07</v>
      </c>
      <c r="J35" s="422">
        <f t="shared" si="20"/>
        <v>25</v>
      </c>
      <c r="K35" s="422">
        <f t="shared" si="20"/>
        <v>991.347661</v>
      </c>
      <c r="L35" s="422">
        <f t="shared" si="20"/>
        <v>25</v>
      </c>
      <c r="M35" s="422">
        <f t="shared" si="15"/>
        <v>1016.347661</v>
      </c>
      <c r="N35" s="422">
        <f t="shared" ref="N35:N60" si="21">(M35-E35)/E35*100</f>
        <v>-1.71479372969209</v>
      </c>
      <c r="O35" s="257"/>
    </row>
    <row r="36" s="54" customFormat="1" ht="25" customHeight="1" spans="1:15">
      <c r="A36" s="421">
        <v>2010601</v>
      </c>
      <c r="B36" s="142" t="s">
        <v>70</v>
      </c>
      <c r="C36" s="422">
        <v>633.18</v>
      </c>
      <c r="D36" s="422">
        <v>0</v>
      </c>
      <c r="E36" s="422">
        <f t="shared" si="14"/>
        <v>633.18</v>
      </c>
      <c r="F36" s="422">
        <v>-2.802339</v>
      </c>
      <c r="G36" s="423"/>
      <c r="H36" s="423"/>
      <c r="I36" s="423">
        <v>4.07</v>
      </c>
      <c r="J36" s="422">
        <f t="shared" ref="J36:J39" si="22">L36-D36</f>
        <v>0</v>
      </c>
      <c r="K36" s="422">
        <f t="shared" ref="K36:K39" si="23">C36+F36+G36+H36+I36</f>
        <v>634.447661</v>
      </c>
      <c r="L36" s="422"/>
      <c r="M36" s="422">
        <f t="shared" si="15"/>
        <v>634.447661</v>
      </c>
      <c r="N36" s="422">
        <f t="shared" si="21"/>
        <v>0.200205470798207</v>
      </c>
      <c r="O36" s="257"/>
    </row>
    <row r="37" s="54" customFormat="1" ht="25" customHeight="1" spans="1:15">
      <c r="A37" s="421">
        <v>2010605</v>
      </c>
      <c r="B37" s="142" t="s">
        <v>95</v>
      </c>
      <c r="C37" s="422">
        <v>21</v>
      </c>
      <c r="D37" s="422">
        <v>0</v>
      </c>
      <c r="E37" s="422">
        <f t="shared" si="14"/>
        <v>21</v>
      </c>
      <c r="F37" s="422">
        <v>-11</v>
      </c>
      <c r="G37" s="423"/>
      <c r="H37" s="423"/>
      <c r="I37" s="423"/>
      <c r="J37" s="422">
        <f t="shared" si="22"/>
        <v>0</v>
      </c>
      <c r="K37" s="422">
        <f t="shared" si="23"/>
        <v>10</v>
      </c>
      <c r="L37" s="422"/>
      <c r="M37" s="422">
        <f t="shared" si="15"/>
        <v>10</v>
      </c>
      <c r="N37" s="422">
        <f t="shared" si="21"/>
        <v>-52.3809523809524</v>
      </c>
      <c r="O37" s="257"/>
    </row>
    <row r="38" s="54" customFormat="1" ht="25" customHeight="1" spans="1:15">
      <c r="A38" s="421">
        <v>2010607</v>
      </c>
      <c r="B38" s="142" t="s">
        <v>96</v>
      </c>
      <c r="C38" s="422">
        <v>122.4</v>
      </c>
      <c r="D38" s="422">
        <v>0</v>
      </c>
      <c r="E38" s="422">
        <f t="shared" si="14"/>
        <v>122.4</v>
      </c>
      <c r="F38" s="422"/>
      <c r="G38" s="423"/>
      <c r="H38" s="423"/>
      <c r="I38" s="423"/>
      <c r="J38" s="422">
        <f t="shared" si="22"/>
        <v>20</v>
      </c>
      <c r="K38" s="422">
        <f t="shared" si="23"/>
        <v>122.4</v>
      </c>
      <c r="L38" s="422">
        <v>20</v>
      </c>
      <c r="M38" s="422">
        <f t="shared" si="15"/>
        <v>142.4</v>
      </c>
      <c r="N38" s="422">
        <f t="shared" si="21"/>
        <v>16.3398692810458</v>
      </c>
      <c r="O38" s="257"/>
    </row>
    <row r="39" s="54" customFormat="1" ht="35" customHeight="1" spans="1:15">
      <c r="A39" s="421">
        <v>2010699</v>
      </c>
      <c r="B39" s="142" t="s">
        <v>97</v>
      </c>
      <c r="C39" s="422">
        <v>257.5</v>
      </c>
      <c r="D39" s="422">
        <v>0</v>
      </c>
      <c r="E39" s="422">
        <f t="shared" si="14"/>
        <v>257.5</v>
      </c>
      <c r="F39" s="422">
        <v>-33</v>
      </c>
      <c r="G39" s="423"/>
      <c r="H39" s="423"/>
      <c r="I39" s="423"/>
      <c r="J39" s="422">
        <f t="shared" si="22"/>
        <v>5</v>
      </c>
      <c r="K39" s="422">
        <f t="shared" si="23"/>
        <v>224.5</v>
      </c>
      <c r="L39" s="422">
        <v>5</v>
      </c>
      <c r="M39" s="422">
        <f t="shared" si="15"/>
        <v>229.5</v>
      </c>
      <c r="N39" s="422">
        <f t="shared" si="21"/>
        <v>-10.873786407767</v>
      </c>
      <c r="O39" s="257" t="s">
        <v>98</v>
      </c>
    </row>
    <row r="40" s="54" customFormat="1" ht="25" customHeight="1" spans="1:15">
      <c r="A40" s="421">
        <v>20107</v>
      </c>
      <c r="B40" s="142" t="s">
        <v>99</v>
      </c>
      <c r="C40" s="422">
        <f t="shared" ref="C40:L40" si="24">C41</f>
        <v>3079.91</v>
      </c>
      <c r="D40" s="422">
        <f t="shared" si="24"/>
        <v>21</v>
      </c>
      <c r="E40" s="422">
        <f t="shared" si="14"/>
        <v>3100.91</v>
      </c>
      <c r="F40" s="422">
        <f t="shared" si="24"/>
        <v>-1.4</v>
      </c>
      <c r="G40" s="422">
        <f t="shared" si="24"/>
        <v>0</v>
      </c>
      <c r="H40" s="422">
        <f t="shared" si="24"/>
        <v>0</v>
      </c>
      <c r="I40" s="422">
        <f t="shared" si="24"/>
        <v>0</v>
      </c>
      <c r="J40" s="422">
        <f t="shared" si="24"/>
        <v>-0.300000000000001</v>
      </c>
      <c r="K40" s="422">
        <f t="shared" si="24"/>
        <v>3078.51</v>
      </c>
      <c r="L40" s="422">
        <f t="shared" si="24"/>
        <v>20.7</v>
      </c>
      <c r="M40" s="422">
        <f t="shared" si="15"/>
        <v>3099.21</v>
      </c>
      <c r="N40" s="422">
        <f t="shared" si="21"/>
        <v>-0.0548226165867527</v>
      </c>
      <c r="O40" s="257"/>
    </row>
    <row r="41" s="54" customFormat="1" ht="25" customHeight="1" spans="1:15">
      <c r="A41" s="421">
        <v>2010799</v>
      </c>
      <c r="B41" s="142" t="s">
        <v>99</v>
      </c>
      <c r="C41" s="422">
        <v>3079.91</v>
      </c>
      <c r="D41" s="422">
        <v>21</v>
      </c>
      <c r="E41" s="422">
        <f t="shared" si="14"/>
        <v>3100.91</v>
      </c>
      <c r="F41" s="422">
        <v>-1.4</v>
      </c>
      <c r="G41" s="422">
        <v>0</v>
      </c>
      <c r="H41" s="422">
        <v>0</v>
      </c>
      <c r="I41" s="422">
        <v>0</v>
      </c>
      <c r="J41" s="422">
        <f t="shared" ref="J41:J46" si="25">L41-D41</f>
        <v>-0.300000000000001</v>
      </c>
      <c r="K41" s="422">
        <f t="shared" ref="K41:K46" si="26">C41+F41+G41+H41+I41</f>
        <v>3078.51</v>
      </c>
      <c r="L41" s="422">
        <v>20.7</v>
      </c>
      <c r="M41" s="422">
        <f t="shared" si="15"/>
        <v>3099.21</v>
      </c>
      <c r="N41" s="422">
        <f t="shared" si="21"/>
        <v>-0.0548226165867527</v>
      </c>
      <c r="O41" s="257"/>
    </row>
    <row r="42" s="54" customFormat="1" ht="25" customHeight="1" spans="1:15">
      <c r="A42" s="421">
        <v>20108</v>
      </c>
      <c r="B42" s="142" t="s">
        <v>100</v>
      </c>
      <c r="C42" s="422">
        <f t="shared" ref="C42:L42" si="27">C43+C44+C45+C46</f>
        <v>293.18</v>
      </c>
      <c r="D42" s="422">
        <f t="shared" si="27"/>
        <v>0</v>
      </c>
      <c r="E42" s="422">
        <f t="shared" si="14"/>
        <v>293.18</v>
      </c>
      <c r="F42" s="422">
        <f t="shared" si="27"/>
        <v>-6.569501</v>
      </c>
      <c r="G42" s="422">
        <f t="shared" si="27"/>
        <v>0</v>
      </c>
      <c r="H42" s="422">
        <f t="shared" si="27"/>
        <v>0</v>
      </c>
      <c r="I42" s="422">
        <f t="shared" si="27"/>
        <v>0</v>
      </c>
      <c r="J42" s="422">
        <f t="shared" si="27"/>
        <v>0</v>
      </c>
      <c r="K42" s="422">
        <f t="shared" si="27"/>
        <v>286.610499</v>
      </c>
      <c r="L42" s="422">
        <f t="shared" si="27"/>
        <v>0</v>
      </c>
      <c r="M42" s="422">
        <f t="shared" si="15"/>
        <v>286.610499</v>
      </c>
      <c r="N42" s="422">
        <f t="shared" si="21"/>
        <v>-2.24077392728017</v>
      </c>
      <c r="O42" s="257"/>
    </row>
    <row r="43" s="54" customFormat="1" ht="25" customHeight="1" spans="1:15">
      <c r="A43" s="421">
        <v>2010801</v>
      </c>
      <c r="B43" s="142" t="s">
        <v>70</v>
      </c>
      <c r="C43" s="422">
        <v>219.39</v>
      </c>
      <c r="D43" s="422">
        <v>0</v>
      </c>
      <c r="E43" s="422">
        <f t="shared" si="14"/>
        <v>219.39</v>
      </c>
      <c r="F43" s="422">
        <v>-2.001101</v>
      </c>
      <c r="G43" s="422"/>
      <c r="H43" s="422"/>
      <c r="I43" s="422"/>
      <c r="J43" s="422">
        <f t="shared" si="25"/>
        <v>0</v>
      </c>
      <c r="K43" s="422">
        <f t="shared" si="26"/>
        <v>217.388899</v>
      </c>
      <c r="L43" s="422"/>
      <c r="M43" s="422">
        <f t="shared" si="15"/>
        <v>217.388899</v>
      </c>
      <c r="N43" s="422">
        <f t="shared" si="21"/>
        <v>-0.91212042481426</v>
      </c>
      <c r="O43" s="257"/>
    </row>
    <row r="44" s="54" customFormat="1" ht="25" customHeight="1" spans="1:15">
      <c r="A44" s="421">
        <v>2010804</v>
      </c>
      <c r="B44" s="142" t="s">
        <v>101</v>
      </c>
      <c r="C44" s="422">
        <v>47</v>
      </c>
      <c r="D44" s="422">
        <v>0</v>
      </c>
      <c r="E44" s="422">
        <f t="shared" si="14"/>
        <v>47</v>
      </c>
      <c r="F44" s="422">
        <v>-4</v>
      </c>
      <c r="G44" s="422"/>
      <c r="H44" s="422"/>
      <c r="I44" s="422"/>
      <c r="J44" s="422">
        <f t="shared" si="25"/>
        <v>0</v>
      </c>
      <c r="K44" s="422">
        <f t="shared" si="26"/>
        <v>43</v>
      </c>
      <c r="L44" s="422"/>
      <c r="M44" s="422">
        <f t="shared" si="15"/>
        <v>43</v>
      </c>
      <c r="N44" s="422">
        <f t="shared" si="21"/>
        <v>-8.51063829787234</v>
      </c>
      <c r="O44" s="257"/>
    </row>
    <row r="45" s="54" customFormat="1" ht="25" customHeight="1" spans="1:15">
      <c r="A45" s="421">
        <v>2010806</v>
      </c>
      <c r="B45" s="142" t="s">
        <v>96</v>
      </c>
      <c r="C45" s="422">
        <v>2</v>
      </c>
      <c r="D45" s="422">
        <v>0</v>
      </c>
      <c r="E45" s="422">
        <f t="shared" si="14"/>
        <v>2</v>
      </c>
      <c r="F45" s="422"/>
      <c r="G45" s="422"/>
      <c r="H45" s="422"/>
      <c r="I45" s="422"/>
      <c r="J45" s="422">
        <f t="shared" si="25"/>
        <v>0</v>
      </c>
      <c r="K45" s="422">
        <f t="shared" si="26"/>
        <v>2</v>
      </c>
      <c r="L45" s="422"/>
      <c r="M45" s="422">
        <f t="shared" si="15"/>
        <v>2</v>
      </c>
      <c r="N45" s="422">
        <f t="shared" si="21"/>
        <v>0</v>
      </c>
      <c r="O45" s="257"/>
    </row>
    <row r="46" s="54" customFormat="1" ht="25" customHeight="1" spans="1:15">
      <c r="A46" s="421">
        <v>2010850</v>
      </c>
      <c r="B46" s="142" t="s">
        <v>102</v>
      </c>
      <c r="C46" s="422">
        <v>24.79</v>
      </c>
      <c r="D46" s="422">
        <v>0</v>
      </c>
      <c r="E46" s="422">
        <f t="shared" si="14"/>
        <v>24.79</v>
      </c>
      <c r="F46" s="422">
        <v>-0.5684</v>
      </c>
      <c r="G46" s="422"/>
      <c r="H46" s="422"/>
      <c r="I46" s="422"/>
      <c r="J46" s="422">
        <f t="shared" si="25"/>
        <v>0</v>
      </c>
      <c r="K46" s="422">
        <f t="shared" si="26"/>
        <v>24.2216</v>
      </c>
      <c r="L46" s="422"/>
      <c r="M46" s="422">
        <f t="shared" si="15"/>
        <v>24.2216</v>
      </c>
      <c r="N46" s="422">
        <f t="shared" si="21"/>
        <v>-2.29286002420331</v>
      </c>
      <c r="O46" s="257"/>
    </row>
    <row r="47" s="54" customFormat="1" ht="25" customHeight="1" spans="1:15">
      <c r="A47" s="421">
        <v>20110</v>
      </c>
      <c r="B47" s="142" t="s">
        <v>103</v>
      </c>
      <c r="C47" s="422">
        <f t="shared" ref="C47:L47" si="28">C48+C49+C50</f>
        <v>193.74</v>
      </c>
      <c r="D47" s="422">
        <f t="shared" si="28"/>
        <v>0</v>
      </c>
      <c r="E47" s="422">
        <f t="shared" si="14"/>
        <v>193.74</v>
      </c>
      <c r="F47" s="422">
        <f t="shared" si="28"/>
        <v>-1.932024</v>
      </c>
      <c r="G47" s="422">
        <f t="shared" si="28"/>
        <v>0</v>
      </c>
      <c r="H47" s="422">
        <f t="shared" si="28"/>
        <v>0</v>
      </c>
      <c r="I47" s="422">
        <f t="shared" si="28"/>
        <v>0</v>
      </c>
      <c r="J47" s="422">
        <f t="shared" si="28"/>
        <v>0</v>
      </c>
      <c r="K47" s="422">
        <f t="shared" si="28"/>
        <v>191.807976</v>
      </c>
      <c r="L47" s="422">
        <f t="shared" si="28"/>
        <v>0</v>
      </c>
      <c r="M47" s="422">
        <f t="shared" si="15"/>
        <v>191.807976</v>
      </c>
      <c r="N47" s="422">
        <f t="shared" si="21"/>
        <v>-0.997225147104373</v>
      </c>
      <c r="O47" s="257"/>
    </row>
    <row r="48" s="54" customFormat="1" ht="25" customHeight="1" spans="1:15">
      <c r="A48" s="421">
        <v>2011001</v>
      </c>
      <c r="B48" s="142" t="s">
        <v>70</v>
      </c>
      <c r="C48" s="422">
        <v>147.22</v>
      </c>
      <c r="D48" s="422"/>
      <c r="E48" s="422">
        <f t="shared" si="14"/>
        <v>147.22</v>
      </c>
      <c r="F48" s="422">
        <v>-2.4e-5</v>
      </c>
      <c r="G48" s="422"/>
      <c r="H48" s="422"/>
      <c r="I48" s="422"/>
      <c r="J48" s="422">
        <f t="shared" ref="J48:J50" si="29">L48-D48</f>
        <v>0</v>
      </c>
      <c r="K48" s="422">
        <f t="shared" ref="K48:K50" si="30">C48+F48+G48+H48+I48</f>
        <v>147.219976</v>
      </c>
      <c r="L48" s="422"/>
      <c r="M48" s="422">
        <f t="shared" si="15"/>
        <v>147.219976</v>
      </c>
      <c r="N48" s="422">
        <f t="shared" si="21"/>
        <v>-1.63021328598351e-5</v>
      </c>
      <c r="O48" s="257"/>
    </row>
    <row r="49" s="54" customFormat="1" ht="25" customHeight="1" spans="1:15">
      <c r="A49" s="421">
        <v>2011050</v>
      </c>
      <c r="B49" s="142" t="s">
        <v>102</v>
      </c>
      <c r="C49" s="422">
        <v>10.02</v>
      </c>
      <c r="D49" s="422"/>
      <c r="E49" s="422">
        <f t="shared" si="14"/>
        <v>10.02</v>
      </c>
      <c r="F49" s="422">
        <v>-0.022</v>
      </c>
      <c r="G49" s="422"/>
      <c r="H49" s="422"/>
      <c r="I49" s="422"/>
      <c r="J49" s="422">
        <f t="shared" si="29"/>
        <v>0</v>
      </c>
      <c r="K49" s="422">
        <f t="shared" si="30"/>
        <v>9.998</v>
      </c>
      <c r="L49" s="422"/>
      <c r="M49" s="422">
        <f t="shared" si="15"/>
        <v>9.998</v>
      </c>
      <c r="N49" s="422">
        <f t="shared" si="21"/>
        <v>-0.219560878243515</v>
      </c>
      <c r="O49" s="257"/>
    </row>
    <row r="50" s="54" customFormat="1" ht="25" customHeight="1" spans="1:15">
      <c r="A50" s="421">
        <v>2011099</v>
      </c>
      <c r="B50" s="142" t="s">
        <v>104</v>
      </c>
      <c r="C50" s="422">
        <v>36.5</v>
      </c>
      <c r="D50" s="422"/>
      <c r="E50" s="422">
        <f t="shared" si="14"/>
        <v>36.5</v>
      </c>
      <c r="F50" s="422">
        <v>-1.91</v>
      </c>
      <c r="G50" s="422"/>
      <c r="H50" s="422"/>
      <c r="I50" s="422"/>
      <c r="J50" s="422">
        <f t="shared" si="29"/>
        <v>0</v>
      </c>
      <c r="K50" s="422">
        <f t="shared" si="30"/>
        <v>34.59</v>
      </c>
      <c r="L50" s="422"/>
      <c r="M50" s="422">
        <f t="shared" si="15"/>
        <v>34.59</v>
      </c>
      <c r="N50" s="422">
        <f t="shared" si="21"/>
        <v>-5.23287671232876</v>
      </c>
      <c r="O50" s="257"/>
    </row>
    <row r="51" s="54" customFormat="1" ht="25" customHeight="1" spans="1:15">
      <c r="A51" s="421">
        <v>20111</v>
      </c>
      <c r="B51" s="142" t="s">
        <v>105</v>
      </c>
      <c r="C51" s="422">
        <f t="shared" ref="C51:L51" si="31">C52+C53+C54+C55</f>
        <v>1046.86</v>
      </c>
      <c r="D51" s="422">
        <f t="shared" si="31"/>
        <v>0</v>
      </c>
      <c r="E51" s="422">
        <f t="shared" si="14"/>
        <v>1046.86</v>
      </c>
      <c r="F51" s="422">
        <f t="shared" si="31"/>
        <v>-6.645154</v>
      </c>
      <c r="G51" s="422">
        <f t="shared" si="31"/>
        <v>0</v>
      </c>
      <c r="H51" s="422">
        <f t="shared" si="31"/>
        <v>0</v>
      </c>
      <c r="I51" s="422">
        <f t="shared" si="31"/>
        <v>0.15</v>
      </c>
      <c r="J51" s="422">
        <f t="shared" si="31"/>
        <v>0</v>
      </c>
      <c r="K51" s="422">
        <f t="shared" si="31"/>
        <v>1040.364846</v>
      </c>
      <c r="L51" s="422">
        <f t="shared" si="31"/>
        <v>0</v>
      </c>
      <c r="M51" s="422">
        <f t="shared" si="15"/>
        <v>1040.364846</v>
      </c>
      <c r="N51" s="422">
        <f t="shared" si="21"/>
        <v>-0.620441510803754</v>
      </c>
      <c r="O51" s="257"/>
    </row>
    <row r="52" s="54" customFormat="1" ht="25" customHeight="1" spans="1:15">
      <c r="A52" s="421">
        <v>2011101</v>
      </c>
      <c r="B52" s="142" t="s">
        <v>70</v>
      </c>
      <c r="C52" s="422">
        <v>887.43</v>
      </c>
      <c r="D52" s="422"/>
      <c r="E52" s="422">
        <f t="shared" si="14"/>
        <v>887.43</v>
      </c>
      <c r="F52" s="422">
        <v>-1.765154</v>
      </c>
      <c r="G52" s="422"/>
      <c r="H52" s="422"/>
      <c r="I52" s="422">
        <v>0.15</v>
      </c>
      <c r="J52" s="422">
        <f t="shared" ref="J52:J55" si="32">L52-D52</f>
        <v>0</v>
      </c>
      <c r="K52" s="422">
        <f t="shared" ref="K52:K55" si="33">C52+F52+G52+H52+I52</f>
        <v>885.814846</v>
      </c>
      <c r="L52" s="422">
        <v>0</v>
      </c>
      <c r="M52" s="422">
        <f t="shared" si="15"/>
        <v>885.814846</v>
      </c>
      <c r="N52" s="422">
        <f t="shared" si="21"/>
        <v>-0.182003538307255</v>
      </c>
      <c r="O52" s="257"/>
    </row>
    <row r="53" s="54" customFormat="1" ht="25" customHeight="1" spans="1:15">
      <c r="A53" s="421">
        <v>2011104</v>
      </c>
      <c r="B53" s="142" t="s">
        <v>106</v>
      </c>
      <c r="C53" s="422">
        <v>26.35</v>
      </c>
      <c r="D53" s="422"/>
      <c r="E53" s="422">
        <f t="shared" si="14"/>
        <v>26.35</v>
      </c>
      <c r="F53" s="422"/>
      <c r="G53" s="422"/>
      <c r="H53" s="422"/>
      <c r="I53" s="422"/>
      <c r="J53" s="422">
        <f t="shared" si="32"/>
        <v>0</v>
      </c>
      <c r="K53" s="422">
        <f t="shared" si="33"/>
        <v>26.35</v>
      </c>
      <c r="L53" s="422">
        <v>0</v>
      </c>
      <c r="M53" s="422">
        <f t="shared" si="15"/>
        <v>26.35</v>
      </c>
      <c r="N53" s="422">
        <f t="shared" si="21"/>
        <v>0</v>
      </c>
      <c r="O53" s="257"/>
    </row>
    <row r="54" s="54" customFormat="1" ht="25" customHeight="1" spans="1:15">
      <c r="A54" s="421">
        <v>2011105</v>
      </c>
      <c r="B54" s="142" t="s">
        <v>107</v>
      </c>
      <c r="C54" s="422">
        <v>34.2</v>
      </c>
      <c r="D54" s="422"/>
      <c r="E54" s="422">
        <f t="shared" si="14"/>
        <v>34.2</v>
      </c>
      <c r="F54" s="422">
        <v>-3</v>
      </c>
      <c r="G54" s="422"/>
      <c r="H54" s="422"/>
      <c r="I54" s="422"/>
      <c r="J54" s="422">
        <f t="shared" si="32"/>
        <v>0</v>
      </c>
      <c r="K54" s="422">
        <f t="shared" si="33"/>
        <v>31.2</v>
      </c>
      <c r="L54" s="422">
        <v>0</v>
      </c>
      <c r="M54" s="422">
        <f t="shared" si="15"/>
        <v>31.2</v>
      </c>
      <c r="N54" s="422">
        <f t="shared" si="21"/>
        <v>-8.7719298245614</v>
      </c>
      <c r="O54" s="429"/>
    </row>
    <row r="55" s="54" customFormat="1" ht="25" customHeight="1" spans="1:15">
      <c r="A55" s="421">
        <v>2011199</v>
      </c>
      <c r="B55" s="142" t="s">
        <v>108</v>
      </c>
      <c r="C55" s="422">
        <v>98.88</v>
      </c>
      <c r="D55" s="422"/>
      <c r="E55" s="422">
        <f t="shared" si="14"/>
        <v>98.88</v>
      </c>
      <c r="F55" s="422">
        <v>-1.88</v>
      </c>
      <c r="G55" s="422"/>
      <c r="H55" s="422"/>
      <c r="I55" s="422"/>
      <c r="J55" s="422">
        <f t="shared" si="32"/>
        <v>0</v>
      </c>
      <c r="K55" s="422">
        <f t="shared" si="33"/>
        <v>97</v>
      </c>
      <c r="L55" s="422">
        <v>0</v>
      </c>
      <c r="M55" s="422">
        <f t="shared" si="15"/>
        <v>97</v>
      </c>
      <c r="N55" s="422">
        <f t="shared" si="21"/>
        <v>-1.90129449838187</v>
      </c>
      <c r="O55" s="257"/>
    </row>
    <row r="56" s="54" customFormat="1" ht="25" customHeight="1" spans="1:15">
      <c r="A56" s="421">
        <v>20113</v>
      </c>
      <c r="B56" s="142" t="s">
        <v>109</v>
      </c>
      <c r="C56" s="422">
        <f t="shared" ref="C56:L56" si="34">C57+C58+C59</f>
        <v>812.91</v>
      </c>
      <c r="D56" s="422">
        <f t="shared" si="34"/>
        <v>207</v>
      </c>
      <c r="E56" s="422">
        <f t="shared" si="14"/>
        <v>1019.91</v>
      </c>
      <c r="F56" s="422">
        <f t="shared" si="34"/>
        <v>-42.2632</v>
      </c>
      <c r="G56" s="422">
        <f t="shared" si="34"/>
        <v>4.03</v>
      </c>
      <c r="H56" s="422">
        <f t="shared" si="34"/>
        <v>0</v>
      </c>
      <c r="I56" s="422">
        <f t="shared" si="34"/>
        <v>0</v>
      </c>
      <c r="J56" s="422">
        <f t="shared" si="34"/>
        <v>60.51</v>
      </c>
      <c r="K56" s="422">
        <f t="shared" si="34"/>
        <v>774.6768</v>
      </c>
      <c r="L56" s="422">
        <f t="shared" si="34"/>
        <v>267.51</v>
      </c>
      <c r="M56" s="422">
        <f t="shared" si="15"/>
        <v>1042.1868</v>
      </c>
      <c r="N56" s="422">
        <f t="shared" si="21"/>
        <v>2.1841927228873</v>
      </c>
      <c r="O56" s="257"/>
    </row>
    <row r="57" s="54" customFormat="1" ht="25" customHeight="1" spans="1:15">
      <c r="A57" s="421">
        <v>2011301</v>
      </c>
      <c r="B57" s="142" t="s">
        <v>70</v>
      </c>
      <c r="C57" s="422">
        <v>438.35</v>
      </c>
      <c r="D57" s="422">
        <v>0</v>
      </c>
      <c r="E57" s="422">
        <f t="shared" si="14"/>
        <v>438.35</v>
      </c>
      <c r="F57" s="422">
        <v>-36</v>
      </c>
      <c r="G57" s="422"/>
      <c r="H57" s="422"/>
      <c r="I57" s="422"/>
      <c r="J57" s="422">
        <f t="shared" ref="J57:J59" si="35">L57-D57</f>
        <v>0</v>
      </c>
      <c r="K57" s="422">
        <f t="shared" ref="K57:K59" si="36">C57+F57+G57+H57+I57</f>
        <v>402.35</v>
      </c>
      <c r="L57" s="422"/>
      <c r="M57" s="422">
        <f t="shared" si="15"/>
        <v>402.35</v>
      </c>
      <c r="N57" s="422">
        <f t="shared" si="21"/>
        <v>-8.21261548990533</v>
      </c>
      <c r="O57" s="257"/>
    </row>
    <row r="58" s="54" customFormat="1" ht="25" customHeight="1" spans="1:15">
      <c r="A58" s="421">
        <v>2011308</v>
      </c>
      <c r="B58" s="142" t="s">
        <v>110</v>
      </c>
      <c r="C58" s="422">
        <v>50</v>
      </c>
      <c r="D58" s="422">
        <v>0</v>
      </c>
      <c r="E58" s="422">
        <f t="shared" si="14"/>
        <v>50</v>
      </c>
      <c r="F58" s="422"/>
      <c r="G58" s="422"/>
      <c r="H58" s="422"/>
      <c r="I58" s="422"/>
      <c r="J58" s="422">
        <f t="shared" si="35"/>
        <v>0</v>
      </c>
      <c r="K58" s="422">
        <f t="shared" si="36"/>
        <v>50</v>
      </c>
      <c r="L58" s="422"/>
      <c r="M58" s="422">
        <f t="shared" si="15"/>
        <v>50</v>
      </c>
      <c r="N58" s="422">
        <f t="shared" si="21"/>
        <v>0</v>
      </c>
      <c r="O58" s="257"/>
    </row>
    <row r="59" s="54" customFormat="1" ht="25" customHeight="1" spans="1:15">
      <c r="A59" s="421">
        <v>2011399</v>
      </c>
      <c r="B59" s="142" t="s">
        <v>111</v>
      </c>
      <c r="C59" s="422">
        <v>324.56</v>
      </c>
      <c r="D59" s="422">
        <v>207</v>
      </c>
      <c r="E59" s="422">
        <f t="shared" si="14"/>
        <v>531.56</v>
      </c>
      <c r="F59" s="422">
        <f>-2.2332-4.03</f>
        <v>-6.2632</v>
      </c>
      <c r="G59" s="422">
        <v>4.03</v>
      </c>
      <c r="H59" s="422"/>
      <c r="I59" s="422"/>
      <c r="J59" s="422">
        <f t="shared" si="35"/>
        <v>60.51</v>
      </c>
      <c r="K59" s="422">
        <f t="shared" si="36"/>
        <v>322.3268</v>
      </c>
      <c r="L59" s="422">
        <v>267.51</v>
      </c>
      <c r="M59" s="422">
        <f t="shared" si="15"/>
        <v>589.8368</v>
      </c>
      <c r="N59" s="422">
        <f t="shared" si="21"/>
        <v>10.9633531492212</v>
      </c>
      <c r="O59" s="257"/>
    </row>
    <row r="60" s="54" customFormat="1" ht="25" customHeight="1" spans="1:15">
      <c r="A60" s="421">
        <v>20114</v>
      </c>
      <c r="B60" s="142" t="s">
        <v>112</v>
      </c>
      <c r="C60" s="422">
        <f t="shared" ref="C60:L60" si="37">C61+C62+C63</f>
        <v>0</v>
      </c>
      <c r="D60" s="422">
        <f t="shared" si="37"/>
        <v>149</v>
      </c>
      <c r="E60" s="422">
        <f t="shared" si="14"/>
        <v>149</v>
      </c>
      <c r="F60" s="422">
        <f t="shared" si="37"/>
        <v>0</v>
      </c>
      <c r="G60" s="422">
        <f t="shared" si="37"/>
        <v>0</v>
      </c>
      <c r="H60" s="422">
        <f t="shared" si="37"/>
        <v>0</v>
      </c>
      <c r="I60" s="422">
        <f t="shared" si="37"/>
        <v>0</v>
      </c>
      <c r="J60" s="422">
        <f t="shared" si="37"/>
        <v>0.489999999999998</v>
      </c>
      <c r="K60" s="422">
        <f t="shared" si="37"/>
        <v>0</v>
      </c>
      <c r="L60" s="422">
        <f t="shared" si="37"/>
        <v>149.49</v>
      </c>
      <c r="M60" s="422">
        <f t="shared" si="15"/>
        <v>149.49</v>
      </c>
      <c r="N60" s="422">
        <f t="shared" si="21"/>
        <v>0.328859060402691</v>
      </c>
      <c r="O60" s="257"/>
    </row>
    <row r="61" s="54" customFormat="1" ht="25" customHeight="1" spans="1:15">
      <c r="A61" s="421">
        <v>2011406</v>
      </c>
      <c r="B61" s="142" t="s">
        <v>113</v>
      </c>
      <c r="C61" s="422"/>
      <c r="D61" s="422">
        <v>18.5</v>
      </c>
      <c r="E61" s="422">
        <f t="shared" si="14"/>
        <v>18.5</v>
      </c>
      <c r="F61" s="422"/>
      <c r="G61" s="423"/>
      <c r="H61" s="423"/>
      <c r="I61" s="423"/>
      <c r="J61" s="422">
        <f t="shared" ref="J61:J63" si="38">L61-D61</f>
        <v>0.559999999999999</v>
      </c>
      <c r="K61" s="422">
        <f t="shared" ref="K61:K63" si="39">C61+F61+G61+H61+I61</f>
        <v>0</v>
      </c>
      <c r="L61" s="422">
        <v>19.06</v>
      </c>
      <c r="M61" s="422">
        <f t="shared" si="15"/>
        <v>19.06</v>
      </c>
      <c r="N61" s="422">
        <v>100</v>
      </c>
      <c r="O61" s="257"/>
    </row>
    <row r="62" s="54" customFormat="1" ht="25" customHeight="1" spans="1:15">
      <c r="A62" s="421">
        <v>2011409</v>
      </c>
      <c r="B62" s="142" t="s">
        <v>114</v>
      </c>
      <c r="C62" s="422"/>
      <c r="D62" s="422">
        <v>62.5</v>
      </c>
      <c r="E62" s="422">
        <f t="shared" si="14"/>
        <v>62.5</v>
      </c>
      <c r="F62" s="422"/>
      <c r="G62" s="422"/>
      <c r="H62" s="422"/>
      <c r="I62" s="422"/>
      <c r="J62" s="422">
        <f t="shared" si="38"/>
        <v>0.210000000000001</v>
      </c>
      <c r="K62" s="422">
        <f t="shared" si="39"/>
        <v>0</v>
      </c>
      <c r="L62" s="422">
        <v>62.71</v>
      </c>
      <c r="M62" s="422">
        <f t="shared" si="15"/>
        <v>62.71</v>
      </c>
      <c r="N62" s="422">
        <f t="shared" ref="N62:N95" si="40">(M62-E62)/E62*100</f>
        <v>0.336000000000001</v>
      </c>
      <c r="O62" s="257"/>
    </row>
    <row r="63" s="54" customFormat="1" ht="25" customHeight="1" spans="1:15">
      <c r="A63" s="421">
        <v>2011499</v>
      </c>
      <c r="B63" s="142" t="s">
        <v>115</v>
      </c>
      <c r="C63" s="422"/>
      <c r="D63" s="422">
        <v>68</v>
      </c>
      <c r="E63" s="422">
        <f t="shared" si="14"/>
        <v>68</v>
      </c>
      <c r="F63" s="422"/>
      <c r="G63" s="423"/>
      <c r="H63" s="423"/>
      <c r="I63" s="423"/>
      <c r="J63" s="422">
        <f t="shared" si="38"/>
        <v>-0.280000000000001</v>
      </c>
      <c r="K63" s="422">
        <f t="shared" si="39"/>
        <v>0</v>
      </c>
      <c r="L63" s="422">
        <v>67.72</v>
      </c>
      <c r="M63" s="422">
        <f t="shared" si="15"/>
        <v>67.72</v>
      </c>
      <c r="N63" s="422">
        <f t="shared" si="40"/>
        <v>-0.411764705882355</v>
      </c>
      <c r="O63" s="257"/>
    </row>
    <row r="64" s="54" customFormat="1" ht="25" customHeight="1" spans="1:15">
      <c r="A64" s="421">
        <v>20125</v>
      </c>
      <c r="B64" s="142" t="s">
        <v>116</v>
      </c>
      <c r="C64" s="422">
        <f t="shared" ref="C64:L64" si="41">C65+C66+C67</f>
        <v>52</v>
      </c>
      <c r="D64" s="422">
        <f t="shared" si="41"/>
        <v>0</v>
      </c>
      <c r="E64" s="422">
        <f t="shared" si="14"/>
        <v>52</v>
      </c>
      <c r="F64" s="422">
        <f t="shared" si="41"/>
        <v>-10.5</v>
      </c>
      <c r="G64" s="422">
        <f t="shared" si="41"/>
        <v>0</v>
      </c>
      <c r="H64" s="422">
        <f t="shared" si="41"/>
        <v>0</v>
      </c>
      <c r="I64" s="422">
        <f t="shared" si="41"/>
        <v>0</v>
      </c>
      <c r="J64" s="422">
        <f t="shared" si="41"/>
        <v>0</v>
      </c>
      <c r="K64" s="422">
        <f t="shared" si="41"/>
        <v>41.5</v>
      </c>
      <c r="L64" s="422">
        <f t="shared" si="41"/>
        <v>0</v>
      </c>
      <c r="M64" s="422">
        <f t="shared" si="15"/>
        <v>41.5</v>
      </c>
      <c r="N64" s="422">
        <f t="shared" si="40"/>
        <v>-20.1923076923077</v>
      </c>
      <c r="O64" s="257"/>
    </row>
    <row r="65" s="54" customFormat="1" ht="25" customHeight="1" spans="1:15">
      <c r="A65" s="421">
        <v>2012502</v>
      </c>
      <c r="B65" s="142" t="s">
        <v>85</v>
      </c>
      <c r="C65" s="422">
        <v>8</v>
      </c>
      <c r="D65" s="422"/>
      <c r="E65" s="422">
        <f t="shared" si="14"/>
        <v>8</v>
      </c>
      <c r="F65" s="422">
        <v>-6.5</v>
      </c>
      <c r="G65" s="423">
        <v>0</v>
      </c>
      <c r="H65" s="423">
        <v>0</v>
      </c>
      <c r="I65" s="423">
        <v>0</v>
      </c>
      <c r="J65" s="422">
        <f t="shared" ref="J65:J67" si="42">L65-D65</f>
        <v>0</v>
      </c>
      <c r="K65" s="422">
        <f t="shared" ref="K65:K67" si="43">C65+F65+G65+H65+I65</f>
        <v>1.5</v>
      </c>
      <c r="L65" s="422"/>
      <c r="M65" s="422">
        <f t="shared" si="15"/>
        <v>1.5</v>
      </c>
      <c r="N65" s="422">
        <f t="shared" si="40"/>
        <v>-81.25</v>
      </c>
      <c r="O65" s="257"/>
    </row>
    <row r="66" s="54" customFormat="1" ht="25" customHeight="1" spans="1:15">
      <c r="A66" s="421">
        <v>2012504</v>
      </c>
      <c r="B66" s="142" t="s">
        <v>117</v>
      </c>
      <c r="C66" s="422">
        <v>40</v>
      </c>
      <c r="D66" s="422"/>
      <c r="E66" s="422">
        <f t="shared" si="14"/>
        <v>40</v>
      </c>
      <c r="F66" s="422"/>
      <c r="G66" s="423">
        <v>0</v>
      </c>
      <c r="H66" s="423">
        <v>0</v>
      </c>
      <c r="I66" s="423">
        <v>0</v>
      </c>
      <c r="J66" s="422">
        <f t="shared" si="42"/>
        <v>0</v>
      </c>
      <c r="K66" s="422">
        <f t="shared" si="43"/>
        <v>40</v>
      </c>
      <c r="L66" s="422"/>
      <c r="M66" s="422">
        <f t="shared" si="15"/>
        <v>40</v>
      </c>
      <c r="N66" s="422">
        <f t="shared" si="40"/>
        <v>0</v>
      </c>
      <c r="O66" s="257"/>
    </row>
    <row r="67" s="54" customFormat="1" ht="25" customHeight="1" spans="1:15">
      <c r="A67" s="421">
        <v>2012505</v>
      </c>
      <c r="B67" s="142" t="s">
        <v>118</v>
      </c>
      <c r="C67" s="422">
        <v>4</v>
      </c>
      <c r="D67" s="422"/>
      <c r="E67" s="422">
        <f t="shared" si="14"/>
        <v>4</v>
      </c>
      <c r="F67" s="422">
        <v>-4</v>
      </c>
      <c r="G67" s="423">
        <v>0</v>
      </c>
      <c r="H67" s="423">
        <v>0</v>
      </c>
      <c r="I67" s="423">
        <v>0</v>
      </c>
      <c r="J67" s="422">
        <f t="shared" si="42"/>
        <v>0</v>
      </c>
      <c r="K67" s="422">
        <f t="shared" si="43"/>
        <v>0</v>
      </c>
      <c r="L67" s="422"/>
      <c r="M67" s="422">
        <f t="shared" si="15"/>
        <v>0</v>
      </c>
      <c r="N67" s="422">
        <f t="shared" si="40"/>
        <v>-100</v>
      </c>
      <c r="O67" s="257"/>
    </row>
    <row r="68" s="54" customFormat="1" ht="25" customHeight="1" spans="1:15">
      <c r="A68" s="421">
        <v>20126</v>
      </c>
      <c r="B68" s="142" t="s">
        <v>119</v>
      </c>
      <c r="C68" s="422">
        <f t="shared" ref="C68:L68" si="44">C69</f>
        <v>442.32</v>
      </c>
      <c r="D68" s="422">
        <f t="shared" si="44"/>
        <v>0</v>
      </c>
      <c r="E68" s="422">
        <f t="shared" si="14"/>
        <v>442.32</v>
      </c>
      <c r="F68" s="422">
        <f t="shared" si="44"/>
        <v>-0.0055</v>
      </c>
      <c r="G68" s="422">
        <f t="shared" si="44"/>
        <v>0</v>
      </c>
      <c r="H68" s="422">
        <f t="shared" si="44"/>
        <v>0</v>
      </c>
      <c r="I68" s="422">
        <f t="shared" si="44"/>
        <v>0</v>
      </c>
      <c r="J68" s="422">
        <f t="shared" si="44"/>
        <v>0</v>
      </c>
      <c r="K68" s="422">
        <f t="shared" si="44"/>
        <v>442.3145</v>
      </c>
      <c r="L68" s="422">
        <f t="shared" si="44"/>
        <v>0</v>
      </c>
      <c r="M68" s="422">
        <f t="shared" si="15"/>
        <v>442.3145</v>
      </c>
      <c r="N68" s="422">
        <f t="shared" si="40"/>
        <v>-0.00124344366069444</v>
      </c>
      <c r="O68" s="257"/>
    </row>
    <row r="69" s="54" customFormat="1" ht="25" customHeight="1" spans="1:15">
      <c r="A69" s="421">
        <v>2012604</v>
      </c>
      <c r="B69" s="142" t="s">
        <v>120</v>
      </c>
      <c r="C69" s="422">
        <v>442.32</v>
      </c>
      <c r="D69" s="422"/>
      <c r="E69" s="422">
        <f t="shared" si="14"/>
        <v>442.32</v>
      </c>
      <c r="F69" s="422">
        <v>-0.0055</v>
      </c>
      <c r="G69" s="423">
        <v>0</v>
      </c>
      <c r="H69" s="423">
        <v>0</v>
      </c>
      <c r="I69" s="423">
        <v>0</v>
      </c>
      <c r="J69" s="422">
        <f t="shared" ref="J69:J73" si="45">L69-D69</f>
        <v>0</v>
      </c>
      <c r="K69" s="422">
        <f t="shared" ref="K69:K73" si="46">C69+F69+G69+H69+I69</f>
        <v>442.3145</v>
      </c>
      <c r="L69" s="422"/>
      <c r="M69" s="422">
        <f t="shared" si="15"/>
        <v>442.3145</v>
      </c>
      <c r="N69" s="422">
        <f t="shared" si="40"/>
        <v>-0.00124344366069444</v>
      </c>
      <c r="O69" s="257"/>
    </row>
    <row r="70" s="54" customFormat="1" ht="25" customHeight="1" spans="1:15">
      <c r="A70" s="421">
        <v>20128</v>
      </c>
      <c r="B70" s="142" t="s">
        <v>121</v>
      </c>
      <c r="C70" s="422">
        <f t="shared" ref="C70:L70" si="47">C71+C72+C73</f>
        <v>74.05</v>
      </c>
      <c r="D70" s="422">
        <f t="shared" si="47"/>
        <v>0</v>
      </c>
      <c r="E70" s="422">
        <f t="shared" si="14"/>
        <v>74.05</v>
      </c>
      <c r="F70" s="422">
        <f t="shared" si="47"/>
        <v>-0.030009</v>
      </c>
      <c r="G70" s="422">
        <f t="shared" si="47"/>
        <v>0</v>
      </c>
      <c r="H70" s="422">
        <f t="shared" si="47"/>
        <v>0</v>
      </c>
      <c r="I70" s="422">
        <f t="shared" si="47"/>
        <v>0.24</v>
      </c>
      <c r="J70" s="422">
        <f t="shared" si="47"/>
        <v>0</v>
      </c>
      <c r="K70" s="422">
        <f t="shared" si="47"/>
        <v>74.259991</v>
      </c>
      <c r="L70" s="422">
        <f t="shared" si="47"/>
        <v>0</v>
      </c>
      <c r="M70" s="422">
        <f t="shared" si="15"/>
        <v>74.259991</v>
      </c>
      <c r="N70" s="422">
        <f t="shared" si="40"/>
        <v>0.283580013504373</v>
      </c>
      <c r="O70" s="257"/>
    </row>
    <row r="71" s="54" customFormat="1" ht="25" customHeight="1" spans="1:15">
      <c r="A71" s="421">
        <v>2012801</v>
      </c>
      <c r="B71" s="142" t="s">
        <v>70</v>
      </c>
      <c r="C71" s="422">
        <v>71.05</v>
      </c>
      <c r="D71" s="422"/>
      <c r="E71" s="422">
        <f t="shared" si="14"/>
        <v>71.05</v>
      </c>
      <c r="F71" s="422">
        <v>-0.030009</v>
      </c>
      <c r="G71" s="422"/>
      <c r="H71" s="422"/>
      <c r="I71" s="422">
        <v>0.24</v>
      </c>
      <c r="J71" s="422">
        <f t="shared" si="45"/>
        <v>0</v>
      </c>
      <c r="K71" s="422">
        <f t="shared" si="46"/>
        <v>71.259991</v>
      </c>
      <c r="L71" s="422"/>
      <c r="M71" s="422">
        <f t="shared" si="15"/>
        <v>71.259991</v>
      </c>
      <c r="N71" s="422">
        <f t="shared" si="40"/>
        <v>0.295553835327218</v>
      </c>
      <c r="O71" s="257"/>
    </row>
    <row r="72" s="54" customFormat="1" ht="25" customHeight="1" spans="1:15">
      <c r="A72" s="421">
        <v>2012802</v>
      </c>
      <c r="B72" s="142" t="s">
        <v>85</v>
      </c>
      <c r="C72" s="422">
        <v>2</v>
      </c>
      <c r="D72" s="422"/>
      <c r="E72" s="422">
        <f t="shared" si="14"/>
        <v>2</v>
      </c>
      <c r="F72" s="422"/>
      <c r="G72" s="422"/>
      <c r="H72" s="422"/>
      <c r="I72" s="422"/>
      <c r="J72" s="422">
        <f t="shared" si="45"/>
        <v>0</v>
      </c>
      <c r="K72" s="422">
        <f t="shared" si="46"/>
        <v>2</v>
      </c>
      <c r="L72" s="422"/>
      <c r="M72" s="422">
        <f t="shared" si="15"/>
        <v>2</v>
      </c>
      <c r="N72" s="422">
        <f t="shared" si="40"/>
        <v>0</v>
      </c>
      <c r="O72" s="257"/>
    </row>
    <row r="73" s="54" customFormat="1" ht="25" customHeight="1" spans="1:15">
      <c r="A73" s="421">
        <v>2012899</v>
      </c>
      <c r="B73" s="142" t="s">
        <v>122</v>
      </c>
      <c r="C73" s="422">
        <v>1</v>
      </c>
      <c r="D73" s="422"/>
      <c r="E73" s="422">
        <f t="shared" si="14"/>
        <v>1</v>
      </c>
      <c r="F73" s="422"/>
      <c r="G73" s="422"/>
      <c r="H73" s="422"/>
      <c r="I73" s="422"/>
      <c r="J73" s="422">
        <f t="shared" si="45"/>
        <v>0</v>
      </c>
      <c r="K73" s="422">
        <f t="shared" si="46"/>
        <v>1</v>
      </c>
      <c r="L73" s="422"/>
      <c r="M73" s="422">
        <f t="shared" si="15"/>
        <v>1</v>
      </c>
      <c r="N73" s="422">
        <f t="shared" si="40"/>
        <v>0</v>
      </c>
      <c r="O73" s="257"/>
    </row>
    <row r="74" s="54" customFormat="1" ht="25" customHeight="1" spans="1:15">
      <c r="A74" s="421">
        <v>20129</v>
      </c>
      <c r="B74" s="142" t="s">
        <v>123</v>
      </c>
      <c r="C74" s="422">
        <f t="shared" ref="C74:L74" si="48">C75+C76+C77+C78</f>
        <v>649.75</v>
      </c>
      <c r="D74" s="422">
        <f t="shared" si="48"/>
        <v>0</v>
      </c>
      <c r="E74" s="422">
        <f t="shared" si="14"/>
        <v>649.75</v>
      </c>
      <c r="F74" s="422">
        <f t="shared" si="48"/>
        <v>-3.098357</v>
      </c>
      <c r="G74" s="422">
        <f t="shared" si="48"/>
        <v>0</v>
      </c>
      <c r="H74" s="422">
        <f t="shared" si="48"/>
        <v>0</v>
      </c>
      <c r="I74" s="422">
        <f t="shared" si="48"/>
        <v>3.76</v>
      </c>
      <c r="J74" s="422">
        <f t="shared" si="48"/>
        <v>0</v>
      </c>
      <c r="K74" s="422">
        <f t="shared" si="48"/>
        <v>650.411643</v>
      </c>
      <c r="L74" s="422">
        <f t="shared" si="48"/>
        <v>0</v>
      </c>
      <c r="M74" s="422">
        <f t="shared" si="15"/>
        <v>650.411643</v>
      </c>
      <c r="N74" s="422">
        <f t="shared" si="40"/>
        <v>0.101830396306276</v>
      </c>
      <c r="O74" s="257"/>
    </row>
    <row r="75" s="54" customFormat="1" ht="25" customHeight="1" spans="1:15">
      <c r="A75" s="421">
        <v>2012901</v>
      </c>
      <c r="B75" s="142" t="s">
        <v>70</v>
      </c>
      <c r="C75" s="422">
        <v>241.05</v>
      </c>
      <c r="D75" s="422"/>
      <c r="E75" s="422">
        <f t="shared" si="14"/>
        <v>241.05</v>
      </c>
      <c r="F75" s="422">
        <v>-0.098357</v>
      </c>
      <c r="G75" s="422"/>
      <c r="H75" s="422"/>
      <c r="I75" s="422">
        <v>3.45</v>
      </c>
      <c r="J75" s="422">
        <f t="shared" ref="J75:J78" si="49">L75-D75</f>
        <v>0</v>
      </c>
      <c r="K75" s="422">
        <f t="shared" ref="K75:K78" si="50">C75+F75+G75+H75+I75</f>
        <v>244.401643</v>
      </c>
      <c r="L75" s="422"/>
      <c r="M75" s="422">
        <f t="shared" si="15"/>
        <v>244.401643</v>
      </c>
      <c r="N75" s="422">
        <f t="shared" si="40"/>
        <v>1.39043476457166</v>
      </c>
      <c r="O75" s="257"/>
    </row>
    <row r="76" s="54" customFormat="1" ht="25" customHeight="1" spans="1:15">
      <c r="A76" s="421">
        <v>2012902</v>
      </c>
      <c r="B76" s="142" t="s">
        <v>85</v>
      </c>
      <c r="C76" s="422">
        <v>85.8</v>
      </c>
      <c r="D76" s="422"/>
      <c r="E76" s="422">
        <f t="shared" si="14"/>
        <v>85.8</v>
      </c>
      <c r="F76" s="422">
        <v>-3</v>
      </c>
      <c r="G76" s="422"/>
      <c r="H76" s="422"/>
      <c r="I76" s="422"/>
      <c r="J76" s="422">
        <f t="shared" si="49"/>
        <v>0</v>
      </c>
      <c r="K76" s="422">
        <f t="shared" si="50"/>
        <v>82.8</v>
      </c>
      <c r="L76" s="422"/>
      <c r="M76" s="422">
        <f t="shared" si="15"/>
        <v>82.8</v>
      </c>
      <c r="N76" s="422">
        <f t="shared" si="40"/>
        <v>-3.4965034965035</v>
      </c>
      <c r="O76" s="257"/>
    </row>
    <row r="77" s="54" customFormat="1" ht="25" customHeight="1" spans="1:15">
      <c r="A77" s="421">
        <v>2012906</v>
      </c>
      <c r="B77" s="142" t="s">
        <v>124</v>
      </c>
      <c r="C77" s="422">
        <v>322</v>
      </c>
      <c r="D77" s="422"/>
      <c r="E77" s="422">
        <f t="shared" si="14"/>
        <v>322</v>
      </c>
      <c r="F77" s="422"/>
      <c r="G77" s="422"/>
      <c r="H77" s="422"/>
      <c r="I77" s="422">
        <v>0.31</v>
      </c>
      <c r="J77" s="422">
        <f t="shared" si="49"/>
        <v>0</v>
      </c>
      <c r="K77" s="422">
        <f t="shared" si="50"/>
        <v>322.31</v>
      </c>
      <c r="L77" s="422"/>
      <c r="M77" s="422">
        <f t="shared" si="15"/>
        <v>322.31</v>
      </c>
      <c r="N77" s="422">
        <f t="shared" si="40"/>
        <v>0.0962732919254665</v>
      </c>
      <c r="O77" s="429"/>
    </row>
    <row r="78" s="54" customFormat="1" ht="25" customHeight="1" spans="1:15">
      <c r="A78" s="421">
        <v>2012999</v>
      </c>
      <c r="B78" s="142" t="s">
        <v>125</v>
      </c>
      <c r="C78" s="422">
        <v>0.9</v>
      </c>
      <c r="D78" s="422"/>
      <c r="E78" s="422">
        <f t="shared" si="14"/>
        <v>0.9</v>
      </c>
      <c r="F78" s="422"/>
      <c r="G78" s="422"/>
      <c r="H78" s="422"/>
      <c r="I78" s="422"/>
      <c r="J78" s="422">
        <f t="shared" si="49"/>
        <v>0</v>
      </c>
      <c r="K78" s="422">
        <f t="shared" si="50"/>
        <v>0.9</v>
      </c>
      <c r="L78" s="422"/>
      <c r="M78" s="422">
        <f t="shared" si="15"/>
        <v>0.9</v>
      </c>
      <c r="N78" s="422">
        <f t="shared" si="40"/>
        <v>0</v>
      </c>
      <c r="O78" s="429"/>
    </row>
    <row r="79" s="54" customFormat="1" ht="25" customHeight="1" spans="1:15">
      <c r="A79" s="421">
        <v>20132</v>
      </c>
      <c r="B79" s="142" t="s">
        <v>126</v>
      </c>
      <c r="C79" s="422">
        <f t="shared" ref="C79:L79" si="51">C80+C81</f>
        <v>3922.8</v>
      </c>
      <c r="D79" s="422">
        <f t="shared" si="51"/>
        <v>1772</v>
      </c>
      <c r="E79" s="422">
        <f t="shared" si="14"/>
        <v>5694.8</v>
      </c>
      <c r="F79" s="422">
        <f t="shared" si="51"/>
        <v>-717.886214</v>
      </c>
      <c r="G79" s="422">
        <f t="shared" si="51"/>
        <v>0</v>
      </c>
      <c r="H79" s="422">
        <f t="shared" si="51"/>
        <v>0</v>
      </c>
      <c r="I79" s="422">
        <f t="shared" si="51"/>
        <v>8.55</v>
      </c>
      <c r="J79" s="422">
        <f t="shared" si="51"/>
        <v>18.2</v>
      </c>
      <c r="K79" s="422">
        <f t="shared" si="51"/>
        <v>3213.463786</v>
      </c>
      <c r="L79" s="422">
        <f t="shared" si="51"/>
        <v>1790.2</v>
      </c>
      <c r="M79" s="422">
        <f t="shared" si="15"/>
        <v>5003.663786</v>
      </c>
      <c r="N79" s="422">
        <f t="shared" si="40"/>
        <v>-12.1362684203133</v>
      </c>
      <c r="O79" s="257"/>
    </row>
    <row r="80" s="54" customFormat="1" ht="25" customHeight="1" spans="1:15">
      <c r="A80" s="421">
        <v>2013201</v>
      </c>
      <c r="B80" s="142" t="s">
        <v>70</v>
      </c>
      <c r="C80" s="422">
        <v>437.82</v>
      </c>
      <c r="D80" s="422">
        <v>0</v>
      </c>
      <c r="E80" s="422">
        <f t="shared" si="14"/>
        <v>437.82</v>
      </c>
      <c r="F80" s="422">
        <v>-1.830478</v>
      </c>
      <c r="G80" s="422"/>
      <c r="H80" s="422"/>
      <c r="I80" s="422"/>
      <c r="J80" s="422">
        <f t="shared" ref="J80:J84" si="52">L80-D80</f>
        <v>0</v>
      </c>
      <c r="K80" s="422">
        <f t="shared" ref="K80:K84" si="53">C80+F80+G80+H80+I80</f>
        <v>435.989522</v>
      </c>
      <c r="L80" s="422"/>
      <c r="M80" s="422">
        <f t="shared" si="15"/>
        <v>435.989522</v>
      </c>
      <c r="N80" s="422">
        <f t="shared" si="40"/>
        <v>-0.418089169064919</v>
      </c>
      <c r="O80" s="257"/>
    </row>
    <row r="81" s="54" customFormat="1" ht="35" customHeight="1" spans="1:15">
      <c r="A81" s="421">
        <v>2013299</v>
      </c>
      <c r="B81" s="142" t="s">
        <v>127</v>
      </c>
      <c r="C81" s="422">
        <v>3484.98</v>
      </c>
      <c r="D81" s="422">
        <v>1772</v>
      </c>
      <c r="E81" s="422">
        <f t="shared" si="14"/>
        <v>5256.98</v>
      </c>
      <c r="F81" s="422">
        <v>-716.055736</v>
      </c>
      <c r="G81" s="422"/>
      <c r="H81" s="422"/>
      <c r="I81" s="422">
        <v>8.55</v>
      </c>
      <c r="J81" s="422">
        <f t="shared" si="52"/>
        <v>18.2</v>
      </c>
      <c r="K81" s="422">
        <f t="shared" si="53"/>
        <v>2777.474264</v>
      </c>
      <c r="L81" s="422">
        <v>1790.2</v>
      </c>
      <c r="M81" s="422">
        <f t="shared" si="15"/>
        <v>4567.674264</v>
      </c>
      <c r="N81" s="422">
        <f t="shared" si="40"/>
        <v>-13.1122000844591</v>
      </c>
      <c r="O81" s="257" t="s">
        <v>128</v>
      </c>
    </row>
    <row r="82" s="54" customFormat="1" ht="25" customHeight="1" spans="1:15">
      <c r="A82" s="421">
        <v>20133</v>
      </c>
      <c r="B82" s="142" t="s">
        <v>129</v>
      </c>
      <c r="C82" s="422">
        <f t="shared" ref="C82:L82" si="54">C83+C84</f>
        <v>197.65</v>
      </c>
      <c r="D82" s="422">
        <f t="shared" si="54"/>
        <v>0</v>
      </c>
      <c r="E82" s="422">
        <f t="shared" si="14"/>
        <v>197.65</v>
      </c>
      <c r="F82" s="422">
        <f t="shared" si="54"/>
        <v>-0.183368</v>
      </c>
      <c r="G82" s="422">
        <f t="shared" si="54"/>
        <v>0</v>
      </c>
      <c r="H82" s="422">
        <f t="shared" si="54"/>
        <v>0</v>
      </c>
      <c r="I82" s="422">
        <f t="shared" si="54"/>
        <v>4.78</v>
      </c>
      <c r="J82" s="422">
        <f t="shared" si="54"/>
        <v>0</v>
      </c>
      <c r="K82" s="422">
        <f t="shared" si="54"/>
        <v>202.246632</v>
      </c>
      <c r="L82" s="422">
        <f t="shared" si="54"/>
        <v>0</v>
      </c>
      <c r="M82" s="422">
        <f t="shared" si="15"/>
        <v>202.246632</v>
      </c>
      <c r="N82" s="422">
        <f t="shared" si="40"/>
        <v>2.32564229698963</v>
      </c>
      <c r="O82" s="257"/>
    </row>
    <row r="83" s="54" customFormat="1" ht="25" customHeight="1" spans="1:15">
      <c r="A83" s="421">
        <v>2013301</v>
      </c>
      <c r="B83" s="142" t="s">
        <v>70</v>
      </c>
      <c r="C83" s="422">
        <v>185.65</v>
      </c>
      <c r="D83" s="422"/>
      <c r="E83" s="422">
        <f t="shared" si="14"/>
        <v>185.65</v>
      </c>
      <c r="F83" s="422">
        <v>-0.183368</v>
      </c>
      <c r="G83" s="422"/>
      <c r="H83" s="422"/>
      <c r="I83" s="422">
        <v>4.78</v>
      </c>
      <c r="J83" s="422">
        <f t="shared" si="52"/>
        <v>0</v>
      </c>
      <c r="K83" s="422">
        <f t="shared" si="53"/>
        <v>190.246632</v>
      </c>
      <c r="L83" s="422"/>
      <c r="M83" s="422">
        <f t="shared" si="15"/>
        <v>190.246632</v>
      </c>
      <c r="N83" s="422">
        <f t="shared" si="40"/>
        <v>2.4759666038244</v>
      </c>
      <c r="O83" s="257"/>
    </row>
    <row r="84" s="54" customFormat="1" ht="25" customHeight="1" spans="1:15">
      <c r="A84" s="421">
        <v>2013399</v>
      </c>
      <c r="B84" s="142" t="s">
        <v>130</v>
      </c>
      <c r="C84" s="422">
        <v>12</v>
      </c>
      <c r="D84" s="422"/>
      <c r="E84" s="422">
        <f t="shared" si="14"/>
        <v>12</v>
      </c>
      <c r="F84" s="422"/>
      <c r="G84" s="422"/>
      <c r="H84" s="422"/>
      <c r="I84" s="422"/>
      <c r="J84" s="422">
        <f t="shared" si="52"/>
        <v>0</v>
      </c>
      <c r="K84" s="422">
        <f t="shared" si="53"/>
        <v>12</v>
      </c>
      <c r="L84" s="422"/>
      <c r="M84" s="422">
        <f t="shared" si="15"/>
        <v>12</v>
      </c>
      <c r="N84" s="422">
        <f t="shared" si="40"/>
        <v>0</v>
      </c>
      <c r="O84" s="257"/>
    </row>
    <row r="85" s="54" customFormat="1" ht="25" customHeight="1" spans="1:15">
      <c r="A85" s="421">
        <v>20134</v>
      </c>
      <c r="B85" s="142" t="s">
        <v>131</v>
      </c>
      <c r="C85" s="422">
        <f t="shared" ref="C85:L85" si="55">C86+C87+C88+C89</f>
        <v>304.39</v>
      </c>
      <c r="D85" s="422">
        <f t="shared" si="55"/>
        <v>0</v>
      </c>
      <c r="E85" s="422">
        <f t="shared" si="14"/>
        <v>304.39</v>
      </c>
      <c r="F85" s="422">
        <f t="shared" si="55"/>
        <v>-0.35004</v>
      </c>
      <c r="G85" s="422">
        <f t="shared" si="55"/>
        <v>0</v>
      </c>
      <c r="H85" s="422">
        <f t="shared" si="55"/>
        <v>0</v>
      </c>
      <c r="I85" s="422">
        <f t="shared" si="55"/>
        <v>0</v>
      </c>
      <c r="J85" s="422">
        <f t="shared" si="55"/>
        <v>0</v>
      </c>
      <c r="K85" s="422">
        <f t="shared" si="55"/>
        <v>304.03996</v>
      </c>
      <c r="L85" s="422">
        <f t="shared" si="55"/>
        <v>0</v>
      </c>
      <c r="M85" s="422">
        <f t="shared" si="15"/>
        <v>304.03996</v>
      </c>
      <c r="N85" s="422">
        <f t="shared" si="40"/>
        <v>-0.114997207529825</v>
      </c>
      <c r="O85" s="257"/>
    </row>
    <row r="86" s="54" customFormat="1" ht="25" customHeight="1" spans="1:15">
      <c r="A86" s="421">
        <v>2013401</v>
      </c>
      <c r="B86" s="142" t="s">
        <v>70</v>
      </c>
      <c r="C86" s="422">
        <v>249.39</v>
      </c>
      <c r="D86" s="422">
        <v>0</v>
      </c>
      <c r="E86" s="422">
        <f t="shared" si="14"/>
        <v>249.39</v>
      </c>
      <c r="F86" s="422">
        <v>-0.35004</v>
      </c>
      <c r="G86" s="422"/>
      <c r="H86" s="422"/>
      <c r="I86" s="422"/>
      <c r="J86" s="422">
        <f t="shared" ref="J86:J89" si="56">L86-D86</f>
        <v>0</v>
      </c>
      <c r="K86" s="422">
        <f t="shared" ref="K86:K89" si="57">C86+F86+G86+H86+I86</f>
        <v>249.03996</v>
      </c>
      <c r="L86" s="422"/>
      <c r="M86" s="422">
        <f t="shared" si="15"/>
        <v>249.03996</v>
      </c>
      <c r="N86" s="422">
        <f t="shared" si="40"/>
        <v>-0.140358474678218</v>
      </c>
      <c r="O86" s="257"/>
    </row>
    <row r="87" s="54" customFormat="1" ht="25" customHeight="1" spans="1:15">
      <c r="A87" s="421">
        <v>2013404</v>
      </c>
      <c r="B87" s="142" t="s">
        <v>132</v>
      </c>
      <c r="C87" s="422">
        <v>11</v>
      </c>
      <c r="D87" s="422">
        <v>0</v>
      </c>
      <c r="E87" s="422">
        <f t="shared" si="14"/>
        <v>11</v>
      </c>
      <c r="F87" s="422"/>
      <c r="G87" s="422"/>
      <c r="H87" s="422"/>
      <c r="I87" s="422"/>
      <c r="J87" s="422">
        <f t="shared" si="56"/>
        <v>0</v>
      </c>
      <c r="K87" s="422">
        <f t="shared" si="57"/>
        <v>11</v>
      </c>
      <c r="L87" s="422"/>
      <c r="M87" s="422">
        <f t="shared" si="15"/>
        <v>11</v>
      </c>
      <c r="N87" s="422">
        <f t="shared" si="40"/>
        <v>0</v>
      </c>
      <c r="O87" s="429"/>
    </row>
    <row r="88" s="54" customFormat="1" ht="25" customHeight="1" spans="1:15">
      <c r="A88" s="421">
        <v>2013405</v>
      </c>
      <c r="B88" s="142" t="s">
        <v>133</v>
      </c>
      <c r="C88" s="422">
        <v>15</v>
      </c>
      <c r="D88" s="422">
        <v>0</v>
      </c>
      <c r="E88" s="422">
        <f t="shared" ref="E88:E96" si="58">C88+D88</f>
        <v>15</v>
      </c>
      <c r="F88" s="422"/>
      <c r="G88" s="422"/>
      <c r="H88" s="422"/>
      <c r="I88" s="422"/>
      <c r="J88" s="422">
        <f t="shared" si="56"/>
        <v>0</v>
      </c>
      <c r="K88" s="422">
        <f t="shared" si="57"/>
        <v>15</v>
      </c>
      <c r="L88" s="422"/>
      <c r="M88" s="422">
        <f t="shared" ref="M88:M97" si="59">K88+L88</f>
        <v>15</v>
      </c>
      <c r="N88" s="422">
        <f t="shared" si="40"/>
        <v>0</v>
      </c>
      <c r="O88" s="257"/>
    </row>
    <row r="89" s="54" customFormat="1" ht="25" customHeight="1" spans="1:15">
      <c r="A89" s="421">
        <v>2013499</v>
      </c>
      <c r="B89" s="142" t="s">
        <v>134</v>
      </c>
      <c r="C89" s="422">
        <v>29</v>
      </c>
      <c r="D89" s="422">
        <v>0</v>
      </c>
      <c r="E89" s="422">
        <f t="shared" si="58"/>
        <v>29</v>
      </c>
      <c r="F89" s="422"/>
      <c r="G89" s="422"/>
      <c r="H89" s="422"/>
      <c r="I89" s="422"/>
      <c r="J89" s="422">
        <f t="shared" si="56"/>
        <v>0</v>
      </c>
      <c r="K89" s="422">
        <f t="shared" si="57"/>
        <v>29</v>
      </c>
      <c r="L89" s="422"/>
      <c r="M89" s="422">
        <f t="shared" si="59"/>
        <v>29</v>
      </c>
      <c r="N89" s="422">
        <f t="shared" si="40"/>
        <v>0</v>
      </c>
      <c r="O89" s="429"/>
    </row>
    <row r="90" s="54" customFormat="1" ht="25" customHeight="1" spans="1:15">
      <c r="A90" s="421">
        <v>20136</v>
      </c>
      <c r="B90" s="142" t="s">
        <v>135</v>
      </c>
      <c r="C90" s="422">
        <f t="shared" ref="C90:M90" si="60">C91+C92</f>
        <v>635.09</v>
      </c>
      <c r="D90" s="422">
        <f t="shared" si="60"/>
        <v>0</v>
      </c>
      <c r="E90" s="422">
        <f t="shared" si="60"/>
        <v>635.09</v>
      </c>
      <c r="F90" s="422">
        <f t="shared" si="60"/>
        <v>-6.999054</v>
      </c>
      <c r="G90" s="422">
        <f t="shared" si="60"/>
        <v>0</v>
      </c>
      <c r="H90" s="422">
        <f t="shared" si="60"/>
        <v>0</v>
      </c>
      <c r="I90" s="422">
        <f t="shared" si="60"/>
        <v>0.12</v>
      </c>
      <c r="J90" s="422">
        <f t="shared" si="60"/>
        <v>0</v>
      </c>
      <c r="K90" s="422">
        <f t="shared" si="60"/>
        <v>628.210946</v>
      </c>
      <c r="L90" s="422">
        <f t="shared" si="60"/>
        <v>0</v>
      </c>
      <c r="M90" s="422">
        <f t="shared" si="60"/>
        <v>628.210946</v>
      </c>
      <c r="N90" s="422">
        <f t="shared" si="40"/>
        <v>-1.08316207151742</v>
      </c>
      <c r="O90" s="257"/>
    </row>
    <row r="91" s="54" customFormat="1" ht="25" customHeight="1" spans="1:15">
      <c r="A91" s="421">
        <v>2013601</v>
      </c>
      <c r="B91" s="142" t="s">
        <v>70</v>
      </c>
      <c r="C91" s="422">
        <v>339.79</v>
      </c>
      <c r="D91" s="422">
        <v>0</v>
      </c>
      <c r="E91" s="422">
        <f t="shared" si="58"/>
        <v>339.79</v>
      </c>
      <c r="F91" s="422">
        <v>-0.624054</v>
      </c>
      <c r="G91" s="422"/>
      <c r="H91" s="422"/>
      <c r="I91" s="422">
        <v>0.12</v>
      </c>
      <c r="J91" s="422">
        <f t="shared" ref="J91:J99" si="61">L91-D91</f>
        <v>0</v>
      </c>
      <c r="K91" s="422">
        <f t="shared" ref="K91:K99" si="62">C91+F91+G91+H91+I91</f>
        <v>339.285946</v>
      </c>
      <c r="L91" s="422"/>
      <c r="M91" s="422">
        <f t="shared" si="59"/>
        <v>339.285946</v>
      </c>
      <c r="N91" s="422">
        <f t="shared" si="40"/>
        <v>-0.148342799964683</v>
      </c>
      <c r="O91" s="257"/>
    </row>
    <row r="92" s="54" customFormat="1" ht="25" customHeight="1" spans="1:15">
      <c r="A92" s="421">
        <v>2013699</v>
      </c>
      <c r="B92" s="142" t="s">
        <v>135</v>
      </c>
      <c r="C92" s="422">
        <v>295.3</v>
      </c>
      <c r="D92" s="422">
        <v>0</v>
      </c>
      <c r="E92" s="422">
        <f t="shared" si="58"/>
        <v>295.3</v>
      </c>
      <c r="F92" s="422">
        <v>-6.375</v>
      </c>
      <c r="G92" s="422"/>
      <c r="H92" s="422"/>
      <c r="I92" s="422"/>
      <c r="J92" s="422">
        <f t="shared" si="61"/>
        <v>0</v>
      </c>
      <c r="K92" s="422">
        <f t="shared" si="62"/>
        <v>288.925</v>
      </c>
      <c r="L92" s="422"/>
      <c r="M92" s="422">
        <f t="shared" si="59"/>
        <v>288.925</v>
      </c>
      <c r="N92" s="422">
        <f t="shared" si="40"/>
        <v>-2.15882153741957</v>
      </c>
      <c r="O92" s="257"/>
    </row>
    <row r="93" s="54" customFormat="1" ht="25" customHeight="1" spans="1:15">
      <c r="A93" s="421">
        <v>20138</v>
      </c>
      <c r="B93" s="142" t="s">
        <v>136</v>
      </c>
      <c r="C93" s="422">
        <f t="shared" ref="C93:L93" si="63">C94+C95+C98+C99+C96+C97</f>
        <v>1805.42</v>
      </c>
      <c r="D93" s="422">
        <f t="shared" si="63"/>
        <v>69</v>
      </c>
      <c r="E93" s="422">
        <f t="shared" si="58"/>
        <v>1874.42</v>
      </c>
      <c r="F93" s="422">
        <f t="shared" si="63"/>
        <v>-35.49</v>
      </c>
      <c r="G93" s="422">
        <f t="shared" si="63"/>
        <v>0</v>
      </c>
      <c r="H93" s="422">
        <f t="shared" si="63"/>
        <v>0</v>
      </c>
      <c r="I93" s="422">
        <f t="shared" si="63"/>
        <v>-32.12</v>
      </c>
      <c r="J93" s="422">
        <f t="shared" si="63"/>
        <v>61.35</v>
      </c>
      <c r="K93" s="422">
        <f t="shared" si="63"/>
        <v>1737.81</v>
      </c>
      <c r="L93" s="422">
        <f t="shared" si="63"/>
        <v>130.35</v>
      </c>
      <c r="M93" s="422">
        <f t="shared" si="59"/>
        <v>1868.16</v>
      </c>
      <c r="N93" s="422">
        <f t="shared" si="40"/>
        <v>-0.333969974712177</v>
      </c>
      <c r="O93" s="257"/>
    </row>
    <row r="94" s="54" customFormat="1" ht="25" customHeight="1" spans="1:15">
      <c r="A94" s="421">
        <v>2013801</v>
      </c>
      <c r="B94" s="142" t="s">
        <v>70</v>
      </c>
      <c r="C94" s="422">
        <v>1469.72</v>
      </c>
      <c r="D94" s="422">
        <v>0</v>
      </c>
      <c r="E94" s="422">
        <f t="shared" si="58"/>
        <v>1469.72</v>
      </c>
      <c r="F94" s="422"/>
      <c r="G94" s="422"/>
      <c r="H94" s="422"/>
      <c r="I94" s="422">
        <v>-32.12</v>
      </c>
      <c r="J94" s="422">
        <f t="shared" si="61"/>
        <v>0</v>
      </c>
      <c r="K94" s="422">
        <f t="shared" si="62"/>
        <v>1437.6</v>
      </c>
      <c r="L94" s="422"/>
      <c r="M94" s="422">
        <f t="shared" si="59"/>
        <v>1437.6</v>
      </c>
      <c r="N94" s="422">
        <f t="shared" si="40"/>
        <v>-2.18545028985112</v>
      </c>
      <c r="O94" s="257"/>
    </row>
    <row r="95" s="54" customFormat="1" ht="25" customHeight="1" spans="1:15">
      <c r="A95" s="421">
        <v>2013805</v>
      </c>
      <c r="B95" s="142" t="s">
        <v>137</v>
      </c>
      <c r="C95" s="422">
        <v>7</v>
      </c>
      <c r="D95" s="422">
        <v>0</v>
      </c>
      <c r="E95" s="422">
        <f t="shared" si="58"/>
        <v>7</v>
      </c>
      <c r="F95" s="422">
        <v>-5</v>
      </c>
      <c r="G95" s="422"/>
      <c r="H95" s="422"/>
      <c r="I95" s="422"/>
      <c r="J95" s="422">
        <f t="shared" si="61"/>
        <v>0</v>
      </c>
      <c r="K95" s="422">
        <f t="shared" si="62"/>
        <v>2</v>
      </c>
      <c r="L95" s="422"/>
      <c r="M95" s="422">
        <f t="shared" si="59"/>
        <v>2</v>
      </c>
      <c r="N95" s="422">
        <f t="shared" si="40"/>
        <v>-71.4285714285714</v>
      </c>
      <c r="O95" s="257"/>
    </row>
    <row r="96" s="54" customFormat="1" ht="25" customHeight="1" spans="1:15">
      <c r="A96" s="421">
        <v>2013810</v>
      </c>
      <c r="B96" s="142" t="s">
        <v>138</v>
      </c>
      <c r="C96" s="422"/>
      <c r="D96" s="422">
        <v>15</v>
      </c>
      <c r="E96" s="422">
        <f t="shared" si="58"/>
        <v>15</v>
      </c>
      <c r="F96" s="422"/>
      <c r="G96" s="422"/>
      <c r="H96" s="422"/>
      <c r="I96" s="422"/>
      <c r="J96" s="422">
        <f t="shared" si="61"/>
        <v>0</v>
      </c>
      <c r="K96" s="422">
        <f t="shared" si="62"/>
        <v>0</v>
      </c>
      <c r="L96" s="422">
        <v>15</v>
      </c>
      <c r="M96" s="422">
        <f t="shared" si="59"/>
        <v>15</v>
      </c>
      <c r="N96" s="422">
        <v>100</v>
      </c>
      <c r="O96" s="257"/>
    </row>
    <row r="97" s="54" customFormat="1" ht="25" customHeight="1" spans="1:15">
      <c r="A97" s="421">
        <v>2013815</v>
      </c>
      <c r="B97" s="142" t="s">
        <v>139</v>
      </c>
      <c r="C97" s="422"/>
      <c r="D97" s="422"/>
      <c r="E97" s="422"/>
      <c r="F97" s="422"/>
      <c r="G97" s="422"/>
      <c r="H97" s="422"/>
      <c r="I97" s="422"/>
      <c r="J97" s="422">
        <f t="shared" si="61"/>
        <v>50</v>
      </c>
      <c r="K97" s="422">
        <f t="shared" si="62"/>
        <v>0</v>
      </c>
      <c r="L97" s="422">
        <v>50</v>
      </c>
      <c r="M97" s="422">
        <f t="shared" si="59"/>
        <v>50</v>
      </c>
      <c r="N97" s="422">
        <v>101</v>
      </c>
      <c r="O97" s="257"/>
    </row>
    <row r="98" s="54" customFormat="1" ht="25" customHeight="1" spans="1:15">
      <c r="A98" s="421">
        <v>2013816</v>
      </c>
      <c r="B98" s="142" t="s">
        <v>140</v>
      </c>
      <c r="C98" s="422">
        <v>80</v>
      </c>
      <c r="D98" s="422">
        <v>39</v>
      </c>
      <c r="E98" s="422">
        <f t="shared" ref="E98:E161" si="64">C98+D98</f>
        <v>119</v>
      </c>
      <c r="F98" s="422">
        <v>-6</v>
      </c>
      <c r="G98" s="422"/>
      <c r="H98" s="422"/>
      <c r="I98" s="422"/>
      <c r="J98" s="422">
        <f t="shared" si="61"/>
        <v>10.9</v>
      </c>
      <c r="K98" s="422">
        <f t="shared" si="62"/>
        <v>74</v>
      </c>
      <c r="L98" s="422">
        <v>49.9</v>
      </c>
      <c r="M98" s="422">
        <f t="shared" ref="M98:M161" si="65">K98+L98</f>
        <v>123.9</v>
      </c>
      <c r="N98" s="422">
        <f t="shared" ref="N98:N111" si="66">(M98-E98)/E98*100</f>
        <v>4.11764705882353</v>
      </c>
      <c r="O98" s="257"/>
    </row>
    <row r="99" s="54" customFormat="1" ht="25" customHeight="1" spans="1:15">
      <c r="A99" s="421">
        <v>2013899</v>
      </c>
      <c r="B99" s="142" t="s">
        <v>141</v>
      </c>
      <c r="C99" s="422">
        <v>248.7</v>
      </c>
      <c r="D99" s="422">
        <v>15</v>
      </c>
      <c r="E99" s="422">
        <f t="shared" si="64"/>
        <v>263.7</v>
      </c>
      <c r="F99" s="422">
        <v>-24.49</v>
      </c>
      <c r="G99" s="422"/>
      <c r="H99" s="422"/>
      <c r="I99" s="422"/>
      <c r="J99" s="422">
        <f t="shared" si="61"/>
        <v>0.449999999999999</v>
      </c>
      <c r="K99" s="422">
        <f t="shared" si="62"/>
        <v>224.21</v>
      </c>
      <c r="L99" s="422">
        <v>15.45</v>
      </c>
      <c r="M99" s="422">
        <f t="shared" si="65"/>
        <v>239.66</v>
      </c>
      <c r="N99" s="422">
        <f t="shared" si="66"/>
        <v>-9.11642017444066</v>
      </c>
      <c r="O99" s="257" t="s">
        <v>142</v>
      </c>
    </row>
    <row r="100" s="54" customFormat="1" ht="25" customHeight="1" spans="1:15">
      <c r="A100" s="421">
        <v>20199</v>
      </c>
      <c r="B100" s="142" t="s">
        <v>143</v>
      </c>
      <c r="C100" s="422">
        <f t="shared" ref="C100:L100" si="67">C101</f>
        <v>2352.47</v>
      </c>
      <c r="D100" s="422">
        <f t="shared" si="67"/>
        <v>235</v>
      </c>
      <c r="E100" s="422">
        <f t="shared" si="64"/>
        <v>2587.47</v>
      </c>
      <c r="F100" s="422">
        <f t="shared" si="67"/>
        <v>-332.3068</v>
      </c>
      <c r="G100" s="422">
        <f t="shared" si="67"/>
        <v>0</v>
      </c>
      <c r="H100" s="422">
        <f t="shared" si="67"/>
        <v>0</v>
      </c>
      <c r="I100" s="422">
        <f t="shared" si="67"/>
        <v>88.87</v>
      </c>
      <c r="J100" s="422">
        <f t="shared" si="67"/>
        <v>-0.47999999999999</v>
      </c>
      <c r="K100" s="422">
        <f t="shared" si="67"/>
        <v>2109.0332</v>
      </c>
      <c r="L100" s="422">
        <f t="shared" si="67"/>
        <v>234.52</v>
      </c>
      <c r="M100" s="422">
        <f t="shared" si="65"/>
        <v>2343.5532</v>
      </c>
      <c r="N100" s="422">
        <f t="shared" si="66"/>
        <v>-9.42684552864381</v>
      </c>
      <c r="O100" s="257"/>
    </row>
    <row r="101" s="54" customFormat="1" ht="55" customHeight="1" spans="1:15">
      <c r="A101" s="421">
        <v>2019999</v>
      </c>
      <c r="B101" s="142" t="s">
        <v>143</v>
      </c>
      <c r="C101" s="422">
        <v>2352.47</v>
      </c>
      <c r="D101" s="422">
        <v>235</v>
      </c>
      <c r="E101" s="422">
        <f t="shared" si="64"/>
        <v>2587.47</v>
      </c>
      <c r="F101" s="422">
        <v>-332.3068</v>
      </c>
      <c r="G101" s="422"/>
      <c r="H101" s="422"/>
      <c r="I101" s="422">
        <v>88.87</v>
      </c>
      <c r="J101" s="422">
        <f t="shared" ref="J101:J107" si="68">L101-D101</f>
        <v>-0.47999999999999</v>
      </c>
      <c r="K101" s="422">
        <f t="shared" ref="K101:K107" si="69">C101+F101+G101+H101+I101</f>
        <v>2109.0332</v>
      </c>
      <c r="L101" s="422">
        <v>234.52</v>
      </c>
      <c r="M101" s="422">
        <f t="shared" si="65"/>
        <v>2343.5532</v>
      </c>
      <c r="N101" s="422">
        <f t="shared" si="66"/>
        <v>-9.42684552864381</v>
      </c>
      <c r="O101" s="257" t="s">
        <v>144</v>
      </c>
    </row>
    <row r="102" s="54" customFormat="1" ht="25" customHeight="1" spans="1:15">
      <c r="A102" s="421">
        <v>203</v>
      </c>
      <c r="B102" s="142" t="s">
        <v>145</v>
      </c>
      <c r="C102" s="422">
        <f t="shared" ref="C102:L102" si="70">C103+C108</f>
        <v>277.26</v>
      </c>
      <c r="D102" s="422">
        <f t="shared" si="70"/>
        <v>4</v>
      </c>
      <c r="E102" s="422">
        <f t="shared" si="64"/>
        <v>281.26</v>
      </c>
      <c r="F102" s="422">
        <f t="shared" si="70"/>
        <v>-1.5</v>
      </c>
      <c r="G102" s="422">
        <f t="shared" si="70"/>
        <v>0</v>
      </c>
      <c r="H102" s="422">
        <f t="shared" si="70"/>
        <v>0</v>
      </c>
      <c r="I102" s="422">
        <f t="shared" si="70"/>
        <v>0</v>
      </c>
      <c r="J102" s="422">
        <f t="shared" si="70"/>
        <v>-0.4</v>
      </c>
      <c r="K102" s="422">
        <f t="shared" si="70"/>
        <v>275.76</v>
      </c>
      <c r="L102" s="422">
        <f t="shared" si="70"/>
        <v>3.6</v>
      </c>
      <c r="M102" s="422">
        <f t="shared" si="65"/>
        <v>279.36</v>
      </c>
      <c r="N102" s="422">
        <f t="shared" si="66"/>
        <v>-0.675531536656466</v>
      </c>
      <c r="O102" s="429"/>
    </row>
    <row r="103" s="54" customFormat="1" ht="25" customHeight="1" spans="1:15">
      <c r="A103" s="421">
        <v>20306</v>
      </c>
      <c r="B103" s="142" t="s">
        <v>146</v>
      </c>
      <c r="C103" s="422">
        <f t="shared" ref="C103:L103" si="71">C104+C105+C106+C107</f>
        <v>114.87</v>
      </c>
      <c r="D103" s="422">
        <f t="shared" si="71"/>
        <v>4</v>
      </c>
      <c r="E103" s="422">
        <f t="shared" si="64"/>
        <v>118.87</v>
      </c>
      <c r="F103" s="422">
        <f t="shared" si="71"/>
        <v>0</v>
      </c>
      <c r="G103" s="422">
        <f t="shared" si="71"/>
        <v>0</v>
      </c>
      <c r="H103" s="422">
        <f t="shared" si="71"/>
        <v>0</v>
      </c>
      <c r="I103" s="422">
        <f t="shared" si="71"/>
        <v>0</v>
      </c>
      <c r="J103" s="422">
        <f t="shared" si="71"/>
        <v>-0.4</v>
      </c>
      <c r="K103" s="422">
        <f t="shared" si="71"/>
        <v>114.87</v>
      </c>
      <c r="L103" s="422">
        <f t="shared" si="71"/>
        <v>3.6</v>
      </c>
      <c r="M103" s="422">
        <f t="shared" si="65"/>
        <v>118.47</v>
      </c>
      <c r="N103" s="422">
        <f t="shared" si="66"/>
        <v>-0.336502061075129</v>
      </c>
      <c r="O103" s="257"/>
    </row>
    <row r="104" s="54" customFormat="1" ht="25" customHeight="1" spans="1:15">
      <c r="A104" s="421">
        <v>2030601</v>
      </c>
      <c r="B104" s="142" t="s">
        <v>147</v>
      </c>
      <c r="C104" s="422">
        <v>25</v>
      </c>
      <c r="D104" s="422">
        <v>0</v>
      </c>
      <c r="E104" s="422">
        <f t="shared" si="64"/>
        <v>25</v>
      </c>
      <c r="F104" s="422"/>
      <c r="G104" s="422">
        <v>0</v>
      </c>
      <c r="H104" s="422">
        <v>0</v>
      </c>
      <c r="I104" s="422">
        <v>0</v>
      </c>
      <c r="J104" s="422">
        <f t="shared" si="68"/>
        <v>0</v>
      </c>
      <c r="K104" s="422">
        <f t="shared" si="69"/>
        <v>25</v>
      </c>
      <c r="L104" s="422"/>
      <c r="M104" s="422">
        <f t="shared" si="65"/>
        <v>25</v>
      </c>
      <c r="N104" s="422">
        <f t="shared" si="66"/>
        <v>0</v>
      </c>
      <c r="O104" s="257"/>
    </row>
    <row r="105" s="54" customFormat="1" ht="25" customHeight="1" spans="1:15">
      <c r="A105" s="421">
        <v>2030603</v>
      </c>
      <c r="B105" s="142" t="s">
        <v>148</v>
      </c>
      <c r="C105" s="422">
        <v>57.87</v>
      </c>
      <c r="D105" s="422">
        <v>0</v>
      </c>
      <c r="E105" s="422">
        <f t="shared" si="64"/>
        <v>57.87</v>
      </c>
      <c r="F105" s="422"/>
      <c r="G105" s="422"/>
      <c r="H105" s="422">
        <v>0</v>
      </c>
      <c r="I105" s="422">
        <v>0</v>
      </c>
      <c r="J105" s="422">
        <f t="shared" si="68"/>
        <v>0</v>
      </c>
      <c r="K105" s="422">
        <f t="shared" si="69"/>
        <v>57.87</v>
      </c>
      <c r="L105" s="422"/>
      <c r="M105" s="422">
        <f t="shared" si="65"/>
        <v>57.87</v>
      </c>
      <c r="N105" s="422">
        <f t="shared" si="66"/>
        <v>0</v>
      </c>
      <c r="O105" s="257"/>
    </row>
    <row r="106" s="54" customFormat="1" ht="25" customHeight="1" spans="1:15">
      <c r="A106" s="421">
        <v>2030607</v>
      </c>
      <c r="B106" s="142" t="s">
        <v>149</v>
      </c>
      <c r="C106" s="422">
        <v>32</v>
      </c>
      <c r="D106" s="422">
        <v>0</v>
      </c>
      <c r="E106" s="422">
        <f t="shared" si="64"/>
        <v>32</v>
      </c>
      <c r="F106" s="422"/>
      <c r="G106" s="422">
        <v>0</v>
      </c>
      <c r="H106" s="422">
        <v>0</v>
      </c>
      <c r="I106" s="422">
        <v>0</v>
      </c>
      <c r="J106" s="422">
        <f t="shared" si="68"/>
        <v>0</v>
      </c>
      <c r="K106" s="422">
        <f t="shared" si="69"/>
        <v>32</v>
      </c>
      <c r="L106" s="422"/>
      <c r="M106" s="422">
        <f t="shared" si="65"/>
        <v>32</v>
      </c>
      <c r="N106" s="422">
        <f t="shared" si="66"/>
        <v>0</v>
      </c>
      <c r="O106" s="257"/>
    </row>
    <row r="107" s="54" customFormat="1" ht="25" customHeight="1" spans="1:15">
      <c r="A107" s="421">
        <v>2030699</v>
      </c>
      <c r="B107" s="142" t="s">
        <v>150</v>
      </c>
      <c r="C107" s="422"/>
      <c r="D107" s="422">
        <v>4</v>
      </c>
      <c r="E107" s="422">
        <f t="shared" si="64"/>
        <v>4</v>
      </c>
      <c r="F107" s="422"/>
      <c r="G107" s="422"/>
      <c r="H107" s="422"/>
      <c r="I107" s="422"/>
      <c r="J107" s="422">
        <f t="shared" si="68"/>
        <v>-0.4</v>
      </c>
      <c r="K107" s="422">
        <f t="shared" si="69"/>
        <v>0</v>
      </c>
      <c r="L107" s="423">
        <v>3.6</v>
      </c>
      <c r="M107" s="422">
        <f t="shared" si="65"/>
        <v>3.6</v>
      </c>
      <c r="N107" s="422">
        <f t="shared" si="66"/>
        <v>-10</v>
      </c>
      <c r="O107" s="257"/>
    </row>
    <row r="108" s="54" customFormat="1" ht="25" customHeight="1" spans="1:15">
      <c r="A108" s="421">
        <v>20399</v>
      </c>
      <c r="B108" s="142" t="s">
        <v>151</v>
      </c>
      <c r="C108" s="422">
        <f t="shared" ref="C108:L108" si="72">C109</f>
        <v>162.39</v>
      </c>
      <c r="D108" s="422">
        <f t="shared" si="72"/>
        <v>0</v>
      </c>
      <c r="E108" s="422">
        <f t="shared" si="64"/>
        <v>162.39</v>
      </c>
      <c r="F108" s="422">
        <f t="shared" si="72"/>
        <v>-1.5</v>
      </c>
      <c r="G108" s="422">
        <f t="shared" si="72"/>
        <v>0</v>
      </c>
      <c r="H108" s="422">
        <f t="shared" si="72"/>
        <v>0</v>
      </c>
      <c r="I108" s="422">
        <f t="shared" si="72"/>
        <v>0</v>
      </c>
      <c r="J108" s="422">
        <f t="shared" si="72"/>
        <v>0</v>
      </c>
      <c r="K108" s="422">
        <f t="shared" si="72"/>
        <v>160.89</v>
      </c>
      <c r="L108" s="422">
        <f t="shared" si="72"/>
        <v>0</v>
      </c>
      <c r="M108" s="422">
        <f t="shared" si="65"/>
        <v>160.89</v>
      </c>
      <c r="N108" s="422">
        <f t="shared" si="66"/>
        <v>-0.923702198411232</v>
      </c>
      <c r="O108" s="257"/>
    </row>
    <row r="109" s="54" customFormat="1" ht="25" customHeight="1" spans="1:15">
      <c r="A109" s="421">
        <v>2039901</v>
      </c>
      <c r="B109" s="142" t="s">
        <v>151</v>
      </c>
      <c r="C109" s="422">
        <v>162.39</v>
      </c>
      <c r="D109" s="422"/>
      <c r="E109" s="422">
        <f t="shared" si="64"/>
        <v>162.39</v>
      </c>
      <c r="F109" s="422">
        <v>-1.5</v>
      </c>
      <c r="G109" s="422">
        <v>0</v>
      </c>
      <c r="H109" s="422">
        <v>0</v>
      </c>
      <c r="I109" s="422"/>
      <c r="J109" s="422">
        <f t="shared" ref="J109:J114" si="73">L109-D109</f>
        <v>0</v>
      </c>
      <c r="K109" s="422">
        <f t="shared" ref="K109:K114" si="74">C109+F109+G109+H109+I109</f>
        <v>160.89</v>
      </c>
      <c r="L109" s="422">
        <v>0</v>
      </c>
      <c r="M109" s="422">
        <f t="shared" si="65"/>
        <v>160.89</v>
      </c>
      <c r="N109" s="422">
        <f t="shared" si="66"/>
        <v>-0.923702198411232</v>
      </c>
      <c r="O109" s="257"/>
    </row>
    <row r="110" s="54" customFormat="1" ht="25" customHeight="1" spans="1:15">
      <c r="A110" s="421">
        <v>204</v>
      </c>
      <c r="B110" s="142" t="s">
        <v>152</v>
      </c>
      <c r="C110" s="422">
        <f t="shared" ref="C110:L110" si="75">C111+C115+C118+C121+C130</f>
        <v>3870.67</v>
      </c>
      <c r="D110" s="422">
        <f t="shared" si="75"/>
        <v>1074</v>
      </c>
      <c r="E110" s="422">
        <f t="shared" si="64"/>
        <v>4944.67</v>
      </c>
      <c r="F110" s="422">
        <f t="shared" si="75"/>
        <v>-159.828198</v>
      </c>
      <c r="G110" s="422">
        <f t="shared" si="75"/>
        <v>-3</v>
      </c>
      <c r="H110" s="422">
        <f t="shared" si="75"/>
        <v>0</v>
      </c>
      <c r="I110" s="422">
        <f t="shared" si="75"/>
        <v>2.7</v>
      </c>
      <c r="J110" s="422">
        <f t="shared" si="75"/>
        <v>164.69</v>
      </c>
      <c r="K110" s="422">
        <f t="shared" si="75"/>
        <v>3710.541802</v>
      </c>
      <c r="L110" s="422">
        <f t="shared" si="75"/>
        <v>1238.69</v>
      </c>
      <c r="M110" s="422">
        <f t="shared" si="65"/>
        <v>4949.231802</v>
      </c>
      <c r="N110" s="422">
        <f t="shared" si="66"/>
        <v>0.0922569554692259</v>
      </c>
      <c r="O110" s="257"/>
    </row>
    <row r="111" s="54" customFormat="1" ht="25" customHeight="1" spans="1:15">
      <c r="A111" s="421">
        <v>20402</v>
      </c>
      <c r="B111" s="142" t="s">
        <v>153</v>
      </c>
      <c r="C111" s="422">
        <f t="shared" ref="C111:L111" si="76">C114+C112+C113</f>
        <v>2342.13</v>
      </c>
      <c r="D111" s="422">
        <f t="shared" si="76"/>
        <v>887</v>
      </c>
      <c r="E111" s="422">
        <f t="shared" si="64"/>
        <v>3229.13</v>
      </c>
      <c r="F111" s="422">
        <f t="shared" si="76"/>
        <v>-97.1947</v>
      </c>
      <c r="G111" s="422">
        <f t="shared" si="76"/>
        <v>0</v>
      </c>
      <c r="H111" s="422">
        <f t="shared" si="76"/>
        <v>0</v>
      </c>
      <c r="I111" s="422">
        <f t="shared" si="76"/>
        <v>0</v>
      </c>
      <c r="J111" s="422">
        <f t="shared" si="76"/>
        <v>164.69</v>
      </c>
      <c r="K111" s="422">
        <f t="shared" si="76"/>
        <v>2244.9353</v>
      </c>
      <c r="L111" s="422">
        <f t="shared" si="76"/>
        <v>1051.69</v>
      </c>
      <c r="M111" s="422">
        <f t="shared" si="65"/>
        <v>3296.6253</v>
      </c>
      <c r="N111" s="422">
        <f t="shared" si="66"/>
        <v>2.09020076615064</v>
      </c>
      <c r="O111" s="257"/>
    </row>
    <row r="112" s="54" customFormat="1" ht="25" customHeight="1" spans="1:15">
      <c r="A112" s="421">
        <v>2040201</v>
      </c>
      <c r="B112" s="142" t="s">
        <v>70</v>
      </c>
      <c r="C112" s="422"/>
      <c r="D112" s="422">
        <v>404</v>
      </c>
      <c r="E112" s="422">
        <f t="shared" si="64"/>
        <v>404</v>
      </c>
      <c r="F112" s="422"/>
      <c r="G112" s="422"/>
      <c r="H112" s="422"/>
      <c r="I112" s="422"/>
      <c r="J112" s="422">
        <f t="shared" si="73"/>
        <v>19.69</v>
      </c>
      <c r="K112" s="422">
        <f t="shared" si="74"/>
        <v>0</v>
      </c>
      <c r="L112" s="423">
        <v>423.69</v>
      </c>
      <c r="M112" s="422">
        <f t="shared" si="65"/>
        <v>423.69</v>
      </c>
      <c r="N112" s="422">
        <v>100</v>
      </c>
      <c r="O112" s="257"/>
    </row>
    <row r="113" s="54" customFormat="1" ht="25" customHeight="1" spans="1:15">
      <c r="A113" s="421">
        <v>2040202</v>
      </c>
      <c r="B113" s="142" t="s">
        <v>85</v>
      </c>
      <c r="C113" s="422"/>
      <c r="D113" s="422">
        <v>7</v>
      </c>
      <c r="E113" s="422">
        <f t="shared" si="64"/>
        <v>7</v>
      </c>
      <c r="F113" s="422"/>
      <c r="G113" s="422"/>
      <c r="H113" s="422"/>
      <c r="I113" s="422"/>
      <c r="J113" s="422">
        <f t="shared" si="73"/>
        <v>1</v>
      </c>
      <c r="K113" s="422">
        <f t="shared" si="74"/>
        <v>0</v>
      </c>
      <c r="L113" s="423">
        <v>8</v>
      </c>
      <c r="M113" s="422">
        <f t="shared" si="65"/>
        <v>8</v>
      </c>
      <c r="N113" s="422">
        <v>100</v>
      </c>
      <c r="O113" s="257"/>
    </row>
    <row r="114" s="54" customFormat="1" ht="45" customHeight="1" spans="1:15">
      <c r="A114" s="421">
        <v>2040299</v>
      </c>
      <c r="B114" s="142" t="s">
        <v>154</v>
      </c>
      <c r="C114" s="422">
        <v>2342.13</v>
      </c>
      <c r="D114" s="422">
        <v>476</v>
      </c>
      <c r="E114" s="422">
        <f t="shared" si="64"/>
        <v>2818.13</v>
      </c>
      <c r="F114" s="422">
        <v>-97.1947</v>
      </c>
      <c r="G114" s="422"/>
      <c r="H114" s="422"/>
      <c r="I114" s="422"/>
      <c r="J114" s="422">
        <f t="shared" si="73"/>
        <v>144</v>
      </c>
      <c r="K114" s="422">
        <f t="shared" si="74"/>
        <v>2244.9353</v>
      </c>
      <c r="L114" s="422">
        <v>620</v>
      </c>
      <c r="M114" s="422">
        <f t="shared" si="65"/>
        <v>2864.9353</v>
      </c>
      <c r="N114" s="422">
        <f t="shared" ref="N114:N118" si="77">(M114-E114)/E114*100</f>
        <v>1.66086376426921</v>
      </c>
      <c r="O114" s="257" t="s">
        <v>155</v>
      </c>
    </row>
    <row r="115" s="54" customFormat="1" ht="25" customHeight="1" spans="1:15">
      <c r="A115" s="421">
        <v>20404</v>
      </c>
      <c r="B115" s="142" t="s">
        <v>156</v>
      </c>
      <c r="C115" s="422">
        <f t="shared" ref="C115:L115" si="78">C116+C117</f>
        <v>167</v>
      </c>
      <c r="D115" s="422">
        <f t="shared" si="78"/>
        <v>0</v>
      </c>
      <c r="E115" s="422">
        <f t="shared" si="64"/>
        <v>167</v>
      </c>
      <c r="F115" s="422">
        <f t="shared" si="78"/>
        <v>-4.5</v>
      </c>
      <c r="G115" s="422">
        <f t="shared" si="78"/>
        <v>0</v>
      </c>
      <c r="H115" s="422">
        <f t="shared" si="78"/>
        <v>0</v>
      </c>
      <c r="I115" s="422">
        <f t="shared" si="78"/>
        <v>0</v>
      </c>
      <c r="J115" s="422">
        <f t="shared" si="78"/>
        <v>0</v>
      </c>
      <c r="K115" s="422">
        <f t="shared" si="78"/>
        <v>162.5</v>
      </c>
      <c r="L115" s="422">
        <f t="shared" si="78"/>
        <v>0</v>
      </c>
      <c r="M115" s="422">
        <f t="shared" si="65"/>
        <v>162.5</v>
      </c>
      <c r="N115" s="422">
        <f t="shared" si="77"/>
        <v>-2.69461077844311</v>
      </c>
      <c r="O115" s="257"/>
    </row>
    <row r="116" s="54" customFormat="1" ht="25" customHeight="1" spans="1:15">
      <c r="A116" s="421">
        <v>2040401</v>
      </c>
      <c r="B116" s="142" t="s">
        <v>70</v>
      </c>
      <c r="C116" s="422">
        <v>97.5</v>
      </c>
      <c r="D116" s="422">
        <v>0</v>
      </c>
      <c r="E116" s="422">
        <f t="shared" si="64"/>
        <v>97.5</v>
      </c>
      <c r="F116" s="422"/>
      <c r="G116" s="422">
        <v>0</v>
      </c>
      <c r="H116" s="422"/>
      <c r="I116" s="422"/>
      <c r="J116" s="422">
        <f t="shared" ref="J116:J120" si="79">L116-D116</f>
        <v>0</v>
      </c>
      <c r="K116" s="422">
        <f t="shared" ref="K116:K120" si="80">C116+F116+G116+H116+I116</f>
        <v>97.5</v>
      </c>
      <c r="L116" s="422">
        <v>0</v>
      </c>
      <c r="M116" s="422">
        <f t="shared" si="65"/>
        <v>97.5</v>
      </c>
      <c r="N116" s="422">
        <v>100</v>
      </c>
      <c r="O116" s="257"/>
    </row>
    <row r="117" s="54" customFormat="1" ht="25" customHeight="1" spans="1:15">
      <c r="A117" s="421">
        <v>2040499</v>
      </c>
      <c r="B117" s="142" t="s">
        <v>157</v>
      </c>
      <c r="C117" s="422">
        <v>69.5</v>
      </c>
      <c r="D117" s="422">
        <v>0</v>
      </c>
      <c r="E117" s="422">
        <f t="shared" si="64"/>
        <v>69.5</v>
      </c>
      <c r="F117" s="422">
        <v>-4.5</v>
      </c>
      <c r="G117" s="422">
        <v>0</v>
      </c>
      <c r="H117" s="422"/>
      <c r="I117" s="422"/>
      <c r="J117" s="422">
        <f t="shared" si="79"/>
        <v>0</v>
      </c>
      <c r="K117" s="422">
        <f t="shared" si="80"/>
        <v>65</v>
      </c>
      <c r="L117" s="422">
        <v>0</v>
      </c>
      <c r="M117" s="422">
        <f t="shared" si="65"/>
        <v>65</v>
      </c>
      <c r="N117" s="422">
        <f t="shared" si="77"/>
        <v>-6.47482014388489</v>
      </c>
      <c r="O117" s="429"/>
    </row>
    <row r="118" s="54" customFormat="1" ht="25" customHeight="1" spans="1:15">
      <c r="A118" s="421">
        <v>20405</v>
      </c>
      <c r="B118" s="142" t="s">
        <v>158</v>
      </c>
      <c r="C118" s="422">
        <f t="shared" ref="C118:L118" si="81">C119+C120</f>
        <v>269.51</v>
      </c>
      <c r="D118" s="422">
        <f t="shared" si="81"/>
        <v>0</v>
      </c>
      <c r="E118" s="422">
        <f t="shared" si="64"/>
        <v>269.51</v>
      </c>
      <c r="F118" s="422">
        <f t="shared" si="81"/>
        <v>0</v>
      </c>
      <c r="G118" s="422">
        <f t="shared" si="81"/>
        <v>0</v>
      </c>
      <c r="H118" s="422">
        <f t="shared" si="81"/>
        <v>0</v>
      </c>
      <c r="I118" s="422">
        <f t="shared" si="81"/>
        <v>0</v>
      </c>
      <c r="J118" s="422">
        <f t="shared" si="81"/>
        <v>0</v>
      </c>
      <c r="K118" s="422">
        <f t="shared" si="81"/>
        <v>269.51</v>
      </c>
      <c r="L118" s="422">
        <f t="shared" si="81"/>
        <v>0</v>
      </c>
      <c r="M118" s="422">
        <f t="shared" si="65"/>
        <v>269.51</v>
      </c>
      <c r="N118" s="422">
        <f t="shared" si="77"/>
        <v>0</v>
      </c>
      <c r="O118" s="257"/>
    </row>
    <row r="119" s="54" customFormat="1" ht="25" customHeight="1" spans="1:15">
      <c r="A119" s="421">
        <v>2040501</v>
      </c>
      <c r="B119" s="142" t="s">
        <v>70</v>
      </c>
      <c r="C119" s="422">
        <v>150</v>
      </c>
      <c r="D119" s="422">
        <v>0</v>
      </c>
      <c r="E119" s="422">
        <f t="shared" si="64"/>
        <v>150</v>
      </c>
      <c r="F119" s="422"/>
      <c r="G119" s="422">
        <v>0</v>
      </c>
      <c r="H119" s="422">
        <v>0</v>
      </c>
      <c r="I119" s="422"/>
      <c r="J119" s="422">
        <f t="shared" si="79"/>
        <v>0</v>
      </c>
      <c r="K119" s="422">
        <f t="shared" si="80"/>
        <v>150</v>
      </c>
      <c r="L119" s="422">
        <v>0</v>
      </c>
      <c r="M119" s="422">
        <f t="shared" si="65"/>
        <v>150</v>
      </c>
      <c r="N119" s="422">
        <v>100</v>
      </c>
      <c r="O119" s="257"/>
    </row>
    <row r="120" s="54" customFormat="1" ht="25" customHeight="1" spans="1:15">
      <c r="A120" s="421">
        <v>2040599</v>
      </c>
      <c r="B120" s="142" t="s">
        <v>159</v>
      </c>
      <c r="C120" s="422">
        <v>119.51</v>
      </c>
      <c r="D120" s="422">
        <v>0</v>
      </c>
      <c r="E120" s="422">
        <f t="shared" si="64"/>
        <v>119.51</v>
      </c>
      <c r="F120" s="422"/>
      <c r="G120" s="422">
        <v>0</v>
      </c>
      <c r="H120" s="422">
        <v>0</v>
      </c>
      <c r="I120" s="422">
        <v>0</v>
      </c>
      <c r="J120" s="422">
        <f t="shared" si="79"/>
        <v>0</v>
      </c>
      <c r="K120" s="422">
        <f t="shared" si="80"/>
        <v>119.51</v>
      </c>
      <c r="L120" s="422">
        <v>0</v>
      </c>
      <c r="M120" s="422">
        <f t="shared" si="65"/>
        <v>119.51</v>
      </c>
      <c r="N120" s="422">
        <f t="shared" ref="N120:N128" si="82">(M120-E120)/E120*100</f>
        <v>0</v>
      </c>
      <c r="O120" s="257"/>
    </row>
    <row r="121" s="54" customFormat="1" ht="25" customHeight="1" spans="1:15">
      <c r="A121" s="421">
        <v>20406</v>
      </c>
      <c r="B121" s="142" t="s">
        <v>160</v>
      </c>
      <c r="C121" s="422">
        <f t="shared" ref="C121:L121" si="83">C122+C123+C124+C125+C126+C127+C128+C129</f>
        <v>1042.03</v>
      </c>
      <c r="D121" s="422">
        <f t="shared" si="83"/>
        <v>137</v>
      </c>
      <c r="E121" s="422">
        <f t="shared" si="64"/>
        <v>1179.03</v>
      </c>
      <c r="F121" s="422">
        <f t="shared" si="83"/>
        <v>-8.133498</v>
      </c>
      <c r="G121" s="422">
        <f t="shared" si="83"/>
        <v>-3</v>
      </c>
      <c r="H121" s="422">
        <f t="shared" si="83"/>
        <v>0</v>
      </c>
      <c r="I121" s="422">
        <f t="shared" si="83"/>
        <v>2.7</v>
      </c>
      <c r="J121" s="422">
        <f t="shared" si="83"/>
        <v>0</v>
      </c>
      <c r="K121" s="422">
        <f t="shared" si="83"/>
        <v>1033.596502</v>
      </c>
      <c r="L121" s="422">
        <f t="shared" si="83"/>
        <v>137</v>
      </c>
      <c r="M121" s="422">
        <f t="shared" si="65"/>
        <v>1170.596502</v>
      </c>
      <c r="N121" s="422">
        <f t="shared" si="82"/>
        <v>-0.71529121396403</v>
      </c>
      <c r="O121" s="257"/>
    </row>
    <row r="122" s="54" customFormat="1" ht="25" customHeight="1" spans="1:15">
      <c r="A122" s="421">
        <v>2040601</v>
      </c>
      <c r="B122" s="142" t="s">
        <v>70</v>
      </c>
      <c r="C122" s="422">
        <v>686.62</v>
      </c>
      <c r="D122" s="422">
        <v>0</v>
      </c>
      <c r="E122" s="422">
        <f t="shared" si="64"/>
        <v>686.62</v>
      </c>
      <c r="F122" s="422">
        <v>-2.265146</v>
      </c>
      <c r="G122" s="422"/>
      <c r="H122" s="422"/>
      <c r="I122" s="422">
        <v>1.14</v>
      </c>
      <c r="J122" s="422">
        <f t="shared" ref="J122:J129" si="84">L122-D122</f>
        <v>0</v>
      </c>
      <c r="K122" s="422">
        <f t="shared" ref="K122:K129" si="85">C122+F122+G122+H122+I122</f>
        <v>685.494854</v>
      </c>
      <c r="L122" s="422"/>
      <c r="M122" s="422">
        <f t="shared" si="65"/>
        <v>685.494854</v>
      </c>
      <c r="N122" s="422">
        <f t="shared" si="82"/>
        <v>-0.163867350208263</v>
      </c>
      <c r="O122" s="257"/>
    </row>
    <row r="123" s="54" customFormat="1" ht="25" customHeight="1" spans="1:15">
      <c r="A123" s="421">
        <v>2040602</v>
      </c>
      <c r="B123" s="142" t="s">
        <v>85</v>
      </c>
      <c r="C123" s="422">
        <v>90.9</v>
      </c>
      <c r="D123" s="422">
        <v>0</v>
      </c>
      <c r="E123" s="422">
        <f t="shared" si="64"/>
        <v>90.9</v>
      </c>
      <c r="F123" s="422">
        <v>-2</v>
      </c>
      <c r="G123" s="422"/>
      <c r="H123" s="422"/>
      <c r="I123" s="422"/>
      <c r="J123" s="422">
        <f t="shared" si="84"/>
        <v>0</v>
      </c>
      <c r="K123" s="422">
        <f t="shared" si="85"/>
        <v>88.9</v>
      </c>
      <c r="L123" s="422"/>
      <c r="M123" s="422">
        <f t="shared" si="65"/>
        <v>88.9</v>
      </c>
      <c r="N123" s="422">
        <f t="shared" si="82"/>
        <v>-2.2002200220022</v>
      </c>
      <c r="O123" s="257"/>
    </row>
    <row r="124" s="54" customFormat="1" ht="25" customHeight="1" spans="1:15">
      <c r="A124" s="421">
        <v>2040604</v>
      </c>
      <c r="B124" s="142" t="s">
        <v>161</v>
      </c>
      <c r="C124" s="422">
        <v>10</v>
      </c>
      <c r="D124" s="422">
        <v>27</v>
      </c>
      <c r="E124" s="422">
        <f t="shared" si="64"/>
        <v>37</v>
      </c>
      <c r="F124" s="422"/>
      <c r="G124" s="422"/>
      <c r="H124" s="422"/>
      <c r="I124" s="422"/>
      <c r="J124" s="422">
        <f t="shared" si="84"/>
        <v>0</v>
      </c>
      <c r="K124" s="422">
        <f t="shared" si="85"/>
        <v>10</v>
      </c>
      <c r="L124" s="422">
        <v>27</v>
      </c>
      <c r="M124" s="422">
        <f t="shared" si="65"/>
        <v>37</v>
      </c>
      <c r="N124" s="422">
        <f t="shared" si="82"/>
        <v>0</v>
      </c>
      <c r="O124" s="257"/>
    </row>
    <row r="125" s="54" customFormat="1" ht="25" customHeight="1" spans="1:15">
      <c r="A125" s="421">
        <v>2040605</v>
      </c>
      <c r="B125" s="142" t="s">
        <v>162</v>
      </c>
      <c r="C125" s="422">
        <v>14</v>
      </c>
      <c r="D125" s="422">
        <v>17</v>
      </c>
      <c r="E125" s="422">
        <f t="shared" si="64"/>
        <v>31</v>
      </c>
      <c r="F125" s="422"/>
      <c r="G125" s="422"/>
      <c r="H125" s="422"/>
      <c r="I125" s="422"/>
      <c r="J125" s="422">
        <f t="shared" si="84"/>
        <v>0</v>
      </c>
      <c r="K125" s="422">
        <f t="shared" si="85"/>
        <v>14</v>
      </c>
      <c r="L125" s="422">
        <v>17</v>
      </c>
      <c r="M125" s="422">
        <f t="shared" si="65"/>
        <v>31</v>
      </c>
      <c r="N125" s="422">
        <f t="shared" si="82"/>
        <v>0</v>
      </c>
      <c r="O125" s="257"/>
    </row>
    <row r="126" s="54" customFormat="1" ht="25" customHeight="1" spans="1:15">
      <c r="A126" s="421">
        <v>2040606</v>
      </c>
      <c r="B126" s="142" t="s">
        <v>163</v>
      </c>
      <c r="C126" s="422">
        <v>18</v>
      </c>
      <c r="D126" s="422">
        <v>0</v>
      </c>
      <c r="E126" s="422">
        <f t="shared" si="64"/>
        <v>18</v>
      </c>
      <c r="F126" s="422"/>
      <c r="G126" s="422">
        <v>-3</v>
      </c>
      <c r="H126" s="422"/>
      <c r="I126" s="422"/>
      <c r="J126" s="422">
        <f t="shared" si="84"/>
        <v>0</v>
      </c>
      <c r="K126" s="422">
        <f t="shared" si="85"/>
        <v>15</v>
      </c>
      <c r="L126" s="422"/>
      <c r="M126" s="422">
        <f t="shared" si="65"/>
        <v>15</v>
      </c>
      <c r="N126" s="422">
        <f t="shared" si="82"/>
        <v>-16.6666666666667</v>
      </c>
      <c r="O126" s="257" t="s">
        <v>164</v>
      </c>
    </row>
    <row r="127" s="54" customFormat="1" ht="25" customHeight="1" spans="1:15">
      <c r="A127" s="421">
        <v>2040607</v>
      </c>
      <c r="B127" s="142" t="s">
        <v>165</v>
      </c>
      <c r="C127" s="422">
        <v>172.51</v>
      </c>
      <c r="D127" s="422">
        <v>76</v>
      </c>
      <c r="E127" s="422">
        <f t="shared" si="64"/>
        <v>248.51</v>
      </c>
      <c r="F127" s="422">
        <v>-3.868352</v>
      </c>
      <c r="G127" s="422"/>
      <c r="H127" s="422"/>
      <c r="I127" s="422">
        <v>1.56</v>
      </c>
      <c r="J127" s="422">
        <f t="shared" si="84"/>
        <v>0</v>
      </c>
      <c r="K127" s="422">
        <f t="shared" si="85"/>
        <v>170.201648</v>
      </c>
      <c r="L127" s="422">
        <v>76</v>
      </c>
      <c r="M127" s="422">
        <f t="shared" si="65"/>
        <v>246.201648</v>
      </c>
      <c r="N127" s="422">
        <f t="shared" si="82"/>
        <v>-0.928876906361911</v>
      </c>
      <c r="O127" s="257"/>
    </row>
    <row r="128" s="54" customFormat="1" ht="25" customHeight="1" spans="1:15">
      <c r="A128" s="421">
        <v>2040610</v>
      </c>
      <c r="B128" s="142" t="s">
        <v>166</v>
      </c>
      <c r="C128" s="422">
        <v>50</v>
      </c>
      <c r="D128" s="422">
        <v>15</v>
      </c>
      <c r="E128" s="422">
        <f t="shared" si="64"/>
        <v>65</v>
      </c>
      <c r="F128" s="422"/>
      <c r="G128" s="422"/>
      <c r="H128" s="422"/>
      <c r="I128" s="422"/>
      <c r="J128" s="422">
        <f t="shared" si="84"/>
        <v>0</v>
      </c>
      <c r="K128" s="422">
        <f t="shared" si="85"/>
        <v>50</v>
      </c>
      <c r="L128" s="422">
        <v>15</v>
      </c>
      <c r="M128" s="422">
        <f t="shared" si="65"/>
        <v>65</v>
      </c>
      <c r="N128" s="422">
        <f t="shared" si="82"/>
        <v>0</v>
      </c>
      <c r="O128" s="257"/>
    </row>
    <row r="129" s="54" customFormat="1" ht="25" customHeight="1" spans="1:15">
      <c r="A129" s="421">
        <v>2040699</v>
      </c>
      <c r="B129" s="142" t="s">
        <v>167</v>
      </c>
      <c r="C129" s="422"/>
      <c r="D129" s="422">
        <v>2</v>
      </c>
      <c r="E129" s="422">
        <f t="shared" si="64"/>
        <v>2</v>
      </c>
      <c r="F129" s="422"/>
      <c r="G129" s="422"/>
      <c r="H129" s="422"/>
      <c r="I129" s="422"/>
      <c r="J129" s="422">
        <f t="shared" si="84"/>
        <v>0</v>
      </c>
      <c r="K129" s="422">
        <f t="shared" si="85"/>
        <v>0</v>
      </c>
      <c r="L129" s="423">
        <v>2</v>
      </c>
      <c r="M129" s="422">
        <f t="shared" si="65"/>
        <v>2</v>
      </c>
      <c r="N129" s="422">
        <v>100</v>
      </c>
      <c r="O129" s="257"/>
    </row>
    <row r="130" s="54" customFormat="1" ht="25" customHeight="1" spans="1:15">
      <c r="A130" s="421">
        <v>20499</v>
      </c>
      <c r="B130" s="142" t="s">
        <v>168</v>
      </c>
      <c r="C130" s="422">
        <f t="shared" ref="C130:L130" si="86">C131</f>
        <v>50</v>
      </c>
      <c r="D130" s="422">
        <f t="shared" si="86"/>
        <v>50</v>
      </c>
      <c r="E130" s="422">
        <f t="shared" si="64"/>
        <v>100</v>
      </c>
      <c r="F130" s="422">
        <f t="shared" si="86"/>
        <v>-50</v>
      </c>
      <c r="G130" s="422">
        <f t="shared" si="86"/>
        <v>0</v>
      </c>
      <c r="H130" s="422">
        <f t="shared" si="86"/>
        <v>0</v>
      </c>
      <c r="I130" s="422">
        <f t="shared" si="86"/>
        <v>0</v>
      </c>
      <c r="J130" s="422">
        <f t="shared" si="86"/>
        <v>0</v>
      </c>
      <c r="K130" s="422">
        <f t="shared" si="86"/>
        <v>0</v>
      </c>
      <c r="L130" s="422">
        <f t="shared" si="86"/>
        <v>50</v>
      </c>
      <c r="M130" s="422">
        <f t="shared" si="65"/>
        <v>50</v>
      </c>
      <c r="N130" s="422">
        <f t="shared" ref="N130:N145" si="87">(M130-E130)/E130*100</f>
        <v>-50</v>
      </c>
      <c r="O130" s="257"/>
    </row>
    <row r="131" s="54" customFormat="1" ht="25" customHeight="1" spans="1:15">
      <c r="A131" s="421">
        <v>2049901</v>
      </c>
      <c r="B131" s="142" t="s">
        <v>168</v>
      </c>
      <c r="C131" s="422">
        <v>50</v>
      </c>
      <c r="D131" s="422">
        <v>50</v>
      </c>
      <c r="E131" s="422">
        <f t="shared" si="64"/>
        <v>100</v>
      </c>
      <c r="F131" s="422">
        <v>-50</v>
      </c>
      <c r="G131" s="422">
        <v>0</v>
      </c>
      <c r="H131" s="422">
        <v>0</v>
      </c>
      <c r="I131" s="422">
        <v>0</v>
      </c>
      <c r="J131" s="422">
        <f t="shared" ref="J131:J141" si="88">L131-D131</f>
        <v>0</v>
      </c>
      <c r="K131" s="422">
        <f t="shared" ref="K131:K141" si="89">C131+F131+G131+H131+I131</f>
        <v>0</v>
      </c>
      <c r="L131" s="422">
        <v>50</v>
      </c>
      <c r="M131" s="422">
        <f t="shared" si="65"/>
        <v>50</v>
      </c>
      <c r="N131" s="422">
        <f t="shared" si="87"/>
        <v>-50</v>
      </c>
      <c r="O131" s="257"/>
    </row>
    <row r="132" s="54" customFormat="1" ht="25" customHeight="1" spans="1:15">
      <c r="A132" s="421">
        <v>205</v>
      </c>
      <c r="B132" s="142" t="s">
        <v>169</v>
      </c>
      <c r="C132" s="422">
        <f t="shared" ref="C132:L132" si="90">C133+C135+C142+C147+C150+C153+C155</f>
        <v>58519.27</v>
      </c>
      <c r="D132" s="422">
        <f t="shared" si="90"/>
        <v>6122</v>
      </c>
      <c r="E132" s="422">
        <f t="shared" si="64"/>
        <v>64641.27</v>
      </c>
      <c r="F132" s="422">
        <f t="shared" si="90"/>
        <v>-4936.086152</v>
      </c>
      <c r="G132" s="422">
        <f t="shared" si="90"/>
        <v>1.48</v>
      </c>
      <c r="H132" s="422">
        <f t="shared" si="90"/>
        <v>0</v>
      </c>
      <c r="I132" s="422">
        <f t="shared" si="90"/>
        <v>144.15</v>
      </c>
      <c r="J132" s="422">
        <f t="shared" si="90"/>
        <v>2353.69</v>
      </c>
      <c r="K132" s="422">
        <f t="shared" si="90"/>
        <v>53728.813848</v>
      </c>
      <c r="L132" s="422">
        <f t="shared" si="90"/>
        <v>8475.69</v>
      </c>
      <c r="M132" s="422">
        <f t="shared" si="65"/>
        <v>62204.503848</v>
      </c>
      <c r="N132" s="422">
        <f t="shared" si="87"/>
        <v>-3.76967555247601</v>
      </c>
      <c r="O132" s="257"/>
    </row>
    <row r="133" s="54" customFormat="1" ht="25" customHeight="1" spans="1:15">
      <c r="A133" s="421">
        <v>20501</v>
      </c>
      <c r="B133" s="142" t="s">
        <v>170</v>
      </c>
      <c r="C133" s="422">
        <f t="shared" ref="C133:L133" si="91">C134</f>
        <v>784.66</v>
      </c>
      <c r="D133" s="422">
        <f t="shared" si="91"/>
        <v>0</v>
      </c>
      <c r="E133" s="422">
        <f t="shared" si="64"/>
        <v>784.66</v>
      </c>
      <c r="F133" s="422">
        <f t="shared" si="91"/>
        <v>-17.0084</v>
      </c>
      <c r="G133" s="422">
        <f t="shared" si="91"/>
        <v>0</v>
      </c>
      <c r="H133" s="422">
        <f t="shared" si="91"/>
        <v>0</v>
      </c>
      <c r="I133" s="422">
        <f t="shared" si="91"/>
        <v>58.58</v>
      </c>
      <c r="J133" s="422">
        <f t="shared" si="91"/>
        <v>0</v>
      </c>
      <c r="K133" s="422">
        <f t="shared" si="91"/>
        <v>826.2316</v>
      </c>
      <c r="L133" s="422">
        <f t="shared" si="91"/>
        <v>0</v>
      </c>
      <c r="M133" s="422">
        <f t="shared" si="65"/>
        <v>826.2316</v>
      </c>
      <c r="N133" s="422">
        <f t="shared" si="87"/>
        <v>5.29803991537736</v>
      </c>
      <c r="O133" s="257"/>
    </row>
    <row r="134" s="54" customFormat="1" ht="25" customHeight="1" spans="1:15">
      <c r="A134" s="421">
        <v>2050101</v>
      </c>
      <c r="B134" s="142" t="s">
        <v>70</v>
      </c>
      <c r="C134" s="422">
        <v>784.66</v>
      </c>
      <c r="D134" s="422"/>
      <c r="E134" s="422">
        <f t="shared" si="64"/>
        <v>784.66</v>
      </c>
      <c r="F134" s="422">
        <v>-17.0084</v>
      </c>
      <c r="G134" s="422"/>
      <c r="H134" s="422"/>
      <c r="I134" s="422">
        <v>58.58</v>
      </c>
      <c r="J134" s="422">
        <f t="shared" si="88"/>
        <v>0</v>
      </c>
      <c r="K134" s="422">
        <f t="shared" si="89"/>
        <v>826.2316</v>
      </c>
      <c r="L134" s="422">
        <v>0</v>
      </c>
      <c r="M134" s="422">
        <f t="shared" si="65"/>
        <v>826.2316</v>
      </c>
      <c r="N134" s="422">
        <f t="shared" si="87"/>
        <v>5.29803991537736</v>
      </c>
      <c r="O134" s="257"/>
    </row>
    <row r="135" s="54" customFormat="1" ht="25" customHeight="1" spans="1:15">
      <c r="A135" s="421">
        <v>20502</v>
      </c>
      <c r="B135" s="142" t="s">
        <v>171</v>
      </c>
      <c r="C135" s="422">
        <f t="shared" ref="C135:L135" si="92">C136+C137+C138+C139+C140+C141</f>
        <v>52799.74</v>
      </c>
      <c r="D135" s="422">
        <f t="shared" si="92"/>
        <v>6005</v>
      </c>
      <c r="E135" s="422">
        <f t="shared" si="64"/>
        <v>58804.74</v>
      </c>
      <c r="F135" s="422">
        <f t="shared" si="92"/>
        <v>-2018.632752</v>
      </c>
      <c r="G135" s="422">
        <f t="shared" si="92"/>
        <v>0</v>
      </c>
      <c r="H135" s="422">
        <f t="shared" si="92"/>
        <v>0</v>
      </c>
      <c r="I135" s="422">
        <f t="shared" si="92"/>
        <v>70.3300000000002</v>
      </c>
      <c r="J135" s="422">
        <f t="shared" si="92"/>
        <v>164.65</v>
      </c>
      <c r="K135" s="422">
        <f t="shared" si="92"/>
        <v>50851.437248</v>
      </c>
      <c r="L135" s="422">
        <f t="shared" si="92"/>
        <v>6169.65</v>
      </c>
      <c r="M135" s="422">
        <f t="shared" si="65"/>
        <v>57021.087248</v>
      </c>
      <c r="N135" s="422">
        <f t="shared" si="87"/>
        <v>-3.03317853628805</v>
      </c>
      <c r="O135" s="257"/>
    </row>
    <row r="136" s="54" customFormat="1" ht="25" customHeight="1" spans="1:15">
      <c r="A136" s="421">
        <v>2050201</v>
      </c>
      <c r="B136" s="142" t="s">
        <v>172</v>
      </c>
      <c r="C136" s="422">
        <v>727.99</v>
      </c>
      <c r="D136" s="422">
        <v>782</v>
      </c>
      <c r="E136" s="422">
        <f t="shared" si="64"/>
        <v>1509.99</v>
      </c>
      <c r="F136" s="422">
        <v>-56.787808</v>
      </c>
      <c r="G136" s="422"/>
      <c r="H136" s="422"/>
      <c r="I136" s="422">
        <v>11.1</v>
      </c>
      <c r="J136" s="422">
        <f t="shared" si="88"/>
        <v>0</v>
      </c>
      <c r="K136" s="422">
        <f t="shared" si="89"/>
        <v>682.302192</v>
      </c>
      <c r="L136" s="422">
        <v>782</v>
      </c>
      <c r="M136" s="422">
        <f t="shared" si="65"/>
        <v>1464.302192</v>
      </c>
      <c r="N136" s="422">
        <f t="shared" si="87"/>
        <v>-3.02570268677275</v>
      </c>
      <c r="O136" s="257"/>
    </row>
    <row r="137" s="54" customFormat="1" ht="55" customHeight="1" spans="1:15">
      <c r="A137" s="421">
        <v>2050202</v>
      </c>
      <c r="B137" s="142" t="s">
        <v>173</v>
      </c>
      <c r="C137" s="422">
        <v>23834.81</v>
      </c>
      <c r="D137" s="422">
        <v>2665</v>
      </c>
      <c r="E137" s="422">
        <f t="shared" si="64"/>
        <v>26499.81</v>
      </c>
      <c r="F137" s="422">
        <v>-1166.6522</v>
      </c>
      <c r="G137" s="422"/>
      <c r="H137" s="422"/>
      <c r="I137" s="422">
        <v>1175.07</v>
      </c>
      <c r="J137" s="422">
        <f t="shared" si="88"/>
        <v>-0.0399999999999636</v>
      </c>
      <c r="K137" s="422">
        <f t="shared" si="89"/>
        <v>23843.2278</v>
      </c>
      <c r="L137" s="422">
        <v>2664.96</v>
      </c>
      <c r="M137" s="422">
        <f t="shared" si="65"/>
        <v>26508.1878</v>
      </c>
      <c r="N137" s="422">
        <f t="shared" si="87"/>
        <v>0.0316145662931107</v>
      </c>
      <c r="O137" s="429" t="s">
        <v>174</v>
      </c>
    </row>
    <row r="138" s="54" customFormat="1" ht="25" customHeight="1" spans="1:15">
      <c r="A138" s="421">
        <v>2050203</v>
      </c>
      <c r="B138" s="142" t="s">
        <v>175</v>
      </c>
      <c r="C138" s="422">
        <v>10676.85</v>
      </c>
      <c r="D138" s="422">
        <v>1436</v>
      </c>
      <c r="E138" s="422">
        <f t="shared" si="64"/>
        <v>12112.85</v>
      </c>
      <c r="F138" s="422">
        <v>-258.838084</v>
      </c>
      <c r="G138" s="422"/>
      <c r="H138" s="422"/>
      <c r="I138" s="422">
        <v>354.54</v>
      </c>
      <c r="J138" s="422">
        <f t="shared" si="88"/>
        <v>-0.400000000000091</v>
      </c>
      <c r="K138" s="422">
        <f t="shared" si="89"/>
        <v>10772.551916</v>
      </c>
      <c r="L138" s="422">
        <v>1435.6</v>
      </c>
      <c r="M138" s="422">
        <f t="shared" si="65"/>
        <v>12208.151916</v>
      </c>
      <c r="N138" s="422">
        <f t="shared" si="87"/>
        <v>0.786783589328691</v>
      </c>
      <c r="O138" s="257"/>
    </row>
    <row r="139" s="54" customFormat="1" ht="25" customHeight="1" spans="1:15">
      <c r="A139" s="421">
        <v>2050204</v>
      </c>
      <c r="B139" s="142" t="s">
        <v>176</v>
      </c>
      <c r="C139" s="422">
        <v>10585.91</v>
      </c>
      <c r="D139" s="422">
        <v>486</v>
      </c>
      <c r="E139" s="422">
        <f t="shared" si="64"/>
        <v>11071.91</v>
      </c>
      <c r="F139" s="422">
        <f>1566.83104-600</f>
        <v>966.83104</v>
      </c>
      <c r="G139" s="422"/>
      <c r="H139" s="422"/>
      <c r="I139" s="422">
        <v>404.85</v>
      </c>
      <c r="J139" s="422">
        <f t="shared" si="88"/>
        <v>2.04000000000002</v>
      </c>
      <c r="K139" s="422">
        <f t="shared" si="89"/>
        <v>11957.59104</v>
      </c>
      <c r="L139" s="422">
        <v>488.04</v>
      </c>
      <c r="M139" s="422">
        <f t="shared" si="65"/>
        <v>12445.63104</v>
      </c>
      <c r="N139" s="422">
        <f t="shared" si="87"/>
        <v>12.4072634260936</v>
      </c>
      <c r="O139" s="257" t="s">
        <v>177</v>
      </c>
    </row>
    <row r="140" s="54" customFormat="1" ht="25" customHeight="1" spans="1:15">
      <c r="A140" s="421">
        <v>2050205</v>
      </c>
      <c r="B140" s="142" t="s">
        <v>178</v>
      </c>
      <c r="C140" s="422">
        <v>10.31</v>
      </c>
      <c r="D140" s="422">
        <v>2</v>
      </c>
      <c r="E140" s="422">
        <f t="shared" si="64"/>
        <v>12.31</v>
      </c>
      <c r="F140" s="422">
        <v>-0.15</v>
      </c>
      <c r="G140" s="422"/>
      <c r="H140" s="422"/>
      <c r="I140" s="422">
        <v>-0.86</v>
      </c>
      <c r="J140" s="422">
        <f t="shared" si="88"/>
        <v>0.15</v>
      </c>
      <c r="K140" s="422">
        <f t="shared" si="89"/>
        <v>9.3</v>
      </c>
      <c r="L140" s="422">
        <v>2.15</v>
      </c>
      <c r="M140" s="422">
        <f t="shared" si="65"/>
        <v>11.45</v>
      </c>
      <c r="N140" s="422">
        <f t="shared" si="87"/>
        <v>-6.98619008935824</v>
      </c>
      <c r="O140" s="257"/>
    </row>
    <row r="141" s="54" customFormat="1" ht="80" customHeight="1" spans="1:15">
      <c r="A141" s="421">
        <v>2050299</v>
      </c>
      <c r="B141" s="142" t="s">
        <v>179</v>
      </c>
      <c r="C141" s="422">
        <v>6963.87</v>
      </c>
      <c r="D141" s="422">
        <v>634</v>
      </c>
      <c r="E141" s="422">
        <f t="shared" si="64"/>
        <v>7597.87</v>
      </c>
      <c r="F141" s="422">
        <v>-1503.0357</v>
      </c>
      <c r="G141" s="422"/>
      <c r="H141" s="422"/>
      <c r="I141" s="422">
        <v>-1874.37</v>
      </c>
      <c r="J141" s="422">
        <f t="shared" si="88"/>
        <v>162.9</v>
      </c>
      <c r="K141" s="422">
        <f t="shared" si="89"/>
        <v>3586.4643</v>
      </c>
      <c r="L141" s="422">
        <v>796.9</v>
      </c>
      <c r="M141" s="422">
        <f t="shared" si="65"/>
        <v>4383.3643</v>
      </c>
      <c r="N141" s="422">
        <f t="shared" si="87"/>
        <v>-42.3079850010595</v>
      </c>
      <c r="O141" s="257" t="s">
        <v>180</v>
      </c>
    </row>
    <row r="142" s="54" customFormat="1" ht="25" customHeight="1" spans="1:15">
      <c r="A142" s="421">
        <v>20503</v>
      </c>
      <c r="B142" s="142" t="s">
        <v>181</v>
      </c>
      <c r="C142" s="422">
        <f t="shared" ref="C142:L142" si="93">C143+C144+C145+C146</f>
        <v>823.96</v>
      </c>
      <c r="D142" s="422">
        <f t="shared" si="93"/>
        <v>2</v>
      </c>
      <c r="E142" s="422">
        <f t="shared" si="64"/>
        <v>825.96</v>
      </c>
      <c r="F142" s="422">
        <f t="shared" si="93"/>
        <v>-2.295</v>
      </c>
      <c r="G142" s="422">
        <f t="shared" si="93"/>
        <v>1.48</v>
      </c>
      <c r="H142" s="422">
        <f t="shared" si="93"/>
        <v>0</v>
      </c>
      <c r="I142" s="422">
        <f t="shared" si="93"/>
        <v>13.32</v>
      </c>
      <c r="J142" s="422">
        <f t="shared" si="93"/>
        <v>2007.92</v>
      </c>
      <c r="K142" s="422">
        <f t="shared" si="93"/>
        <v>836.465</v>
      </c>
      <c r="L142" s="422">
        <f t="shared" si="93"/>
        <v>2009.92</v>
      </c>
      <c r="M142" s="422">
        <f t="shared" si="65"/>
        <v>2846.385</v>
      </c>
      <c r="N142" s="422">
        <f t="shared" si="87"/>
        <v>244.615356675868</v>
      </c>
      <c r="O142" s="257"/>
    </row>
    <row r="143" s="54" customFormat="1" ht="25" customHeight="1" spans="1:15">
      <c r="A143" s="421">
        <v>2050302</v>
      </c>
      <c r="B143" s="142" t="s">
        <v>182</v>
      </c>
      <c r="C143" s="422">
        <v>672.3</v>
      </c>
      <c r="D143" s="422">
        <v>1</v>
      </c>
      <c r="E143" s="422">
        <f t="shared" si="64"/>
        <v>673.3</v>
      </c>
      <c r="F143" s="422">
        <f>-0.815-1.48</f>
        <v>-2.295</v>
      </c>
      <c r="G143" s="422">
        <v>1.48</v>
      </c>
      <c r="H143" s="422"/>
      <c r="I143" s="422">
        <v>12.72</v>
      </c>
      <c r="J143" s="422">
        <f t="shared" ref="J143:J146" si="94">L143-D143</f>
        <v>7.84</v>
      </c>
      <c r="K143" s="422">
        <f t="shared" ref="K143:K146" si="95">C143+F143+G143+H143+I143</f>
        <v>684.205</v>
      </c>
      <c r="L143" s="422">
        <v>8.84</v>
      </c>
      <c r="M143" s="422">
        <f t="shared" si="65"/>
        <v>693.045</v>
      </c>
      <c r="N143" s="422">
        <f t="shared" si="87"/>
        <v>2.93257091935246</v>
      </c>
      <c r="O143" s="257"/>
    </row>
    <row r="144" s="54" customFormat="1" ht="25" customHeight="1" spans="1:15">
      <c r="A144" s="421">
        <v>2050303</v>
      </c>
      <c r="B144" s="142" t="s">
        <v>183</v>
      </c>
      <c r="C144" s="422">
        <v>0.18</v>
      </c>
      <c r="D144" s="422">
        <v>1</v>
      </c>
      <c r="E144" s="422">
        <f t="shared" si="64"/>
        <v>1.18</v>
      </c>
      <c r="F144" s="422"/>
      <c r="G144" s="422"/>
      <c r="H144" s="422"/>
      <c r="I144" s="422">
        <v>0.6</v>
      </c>
      <c r="J144" s="422">
        <f t="shared" si="94"/>
        <v>0.0800000000000001</v>
      </c>
      <c r="K144" s="422">
        <f t="shared" si="95"/>
        <v>0.78</v>
      </c>
      <c r="L144" s="422">
        <v>1.08</v>
      </c>
      <c r="M144" s="422">
        <f t="shared" si="65"/>
        <v>1.86</v>
      </c>
      <c r="N144" s="422">
        <f t="shared" si="87"/>
        <v>57.6271186440678</v>
      </c>
      <c r="O144" s="257"/>
    </row>
    <row r="145" s="54" customFormat="1" ht="25" customHeight="1" spans="1:15">
      <c r="A145" s="421">
        <v>2050305</v>
      </c>
      <c r="B145" s="142" t="s">
        <v>184</v>
      </c>
      <c r="C145" s="422">
        <v>139.48</v>
      </c>
      <c r="D145" s="422">
        <v>0</v>
      </c>
      <c r="E145" s="422">
        <f t="shared" si="64"/>
        <v>139.48</v>
      </c>
      <c r="F145" s="422"/>
      <c r="G145" s="422"/>
      <c r="H145" s="422"/>
      <c r="I145" s="422"/>
      <c r="J145" s="422">
        <f t="shared" si="94"/>
        <v>2000</v>
      </c>
      <c r="K145" s="422">
        <f t="shared" si="95"/>
        <v>139.48</v>
      </c>
      <c r="L145" s="422">
        <v>2000</v>
      </c>
      <c r="M145" s="422">
        <f t="shared" si="65"/>
        <v>2139.48</v>
      </c>
      <c r="N145" s="422">
        <f t="shared" si="87"/>
        <v>1433.89733295096</v>
      </c>
      <c r="O145" s="257"/>
    </row>
    <row r="146" s="54" customFormat="1" ht="25" customHeight="1" spans="1:15">
      <c r="A146" s="421">
        <v>2050399</v>
      </c>
      <c r="B146" s="142" t="s">
        <v>185</v>
      </c>
      <c r="C146" s="422">
        <v>12</v>
      </c>
      <c r="D146" s="422">
        <v>0</v>
      </c>
      <c r="E146" s="422">
        <f t="shared" si="64"/>
        <v>12</v>
      </c>
      <c r="F146" s="422"/>
      <c r="G146" s="422"/>
      <c r="H146" s="422"/>
      <c r="I146" s="422"/>
      <c r="J146" s="422">
        <f t="shared" si="94"/>
        <v>0</v>
      </c>
      <c r="K146" s="422">
        <f t="shared" si="95"/>
        <v>12</v>
      </c>
      <c r="L146" s="422"/>
      <c r="M146" s="422">
        <f t="shared" si="65"/>
        <v>12</v>
      </c>
      <c r="N146" s="422">
        <v>100</v>
      </c>
      <c r="O146" s="257"/>
    </row>
    <row r="147" s="54" customFormat="1" ht="25" customHeight="1" spans="1:15">
      <c r="A147" s="421">
        <v>20507</v>
      </c>
      <c r="B147" s="142" t="s">
        <v>186</v>
      </c>
      <c r="C147" s="422">
        <f t="shared" ref="C147:L147" si="96">C148+C149</f>
        <v>47.91</v>
      </c>
      <c r="D147" s="422">
        <f t="shared" si="96"/>
        <v>115</v>
      </c>
      <c r="E147" s="422">
        <f t="shared" si="64"/>
        <v>162.91</v>
      </c>
      <c r="F147" s="422">
        <f t="shared" si="96"/>
        <v>-3.4</v>
      </c>
      <c r="G147" s="422">
        <f t="shared" si="96"/>
        <v>0</v>
      </c>
      <c r="H147" s="422">
        <f t="shared" si="96"/>
        <v>0</v>
      </c>
      <c r="I147" s="422">
        <f t="shared" si="96"/>
        <v>1.92</v>
      </c>
      <c r="J147" s="422">
        <f t="shared" si="96"/>
        <v>0.189999999999998</v>
      </c>
      <c r="K147" s="422">
        <f t="shared" si="96"/>
        <v>46.43</v>
      </c>
      <c r="L147" s="422">
        <f t="shared" si="96"/>
        <v>115.19</v>
      </c>
      <c r="M147" s="422">
        <f t="shared" si="65"/>
        <v>161.62</v>
      </c>
      <c r="N147" s="422">
        <f t="shared" ref="N147:N162" si="97">(M147-E147)/E147*100</f>
        <v>-0.791848259775331</v>
      </c>
      <c r="O147" s="257"/>
    </row>
    <row r="148" s="54" customFormat="1" ht="25" customHeight="1" spans="1:15">
      <c r="A148" s="421">
        <v>2050701</v>
      </c>
      <c r="B148" s="142" t="s">
        <v>187</v>
      </c>
      <c r="C148" s="422">
        <v>19.95</v>
      </c>
      <c r="D148" s="422">
        <v>115</v>
      </c>
      <c r="E148" s="422">
        <f t="shared" si="64"/>
        <v>134.95</v>
      </c>
      <c r="F148" s="422">
        <v>-3.4</v>
      </c>
      <c r="G148" s="422">
        <v>0</v>
      </c>
      <c r="H148" s="422">
        <v>0</v>
      </c>
      <c r="I148" s="422"/>
      <c r="J148" s="422">
        <f t="shared" ref="J148:J152" si="98">L148-D148</f>
        <v>0.189999999999998</v>
      </c>
      <c r="K148" s="422">
        <f t="shared" ref="K148:K152" si="99">C148+F148+G148+H148+I148</f>
        <v>16.55</v>
      </c>
      <c r="L148" s="422">
        <v>115.19</v>
      </c>
      <c r="M148" s="422">
        <f t="shared" si="65"/>
        <v>131.74</v>
      </c>
      <c r="N148" s="422">
        <f t="shared" si="97"/>
        <v>-2.37865876250462</v>
      </c>
      <c r="O148" s="257"/>
    </row>
    <row r="149" s="54" customFormat="1" ht="25" customHeight="1" spans="1:15">
      <c r="A149" s="421">
        <v>2050799</v>
      </c>
      <c r="B149" s="142" t="s">
        <v>188</v>
      </c>
      <c r="C149" s="422">
        <v>27.96</v>
      </c>
      <c r="D149" s="422">
        <v>0</v>
      </c>
      <c r="E149" s="422">
        <f t="shared" si="64"/>
        <v>27.96</v>
      </c>
      <c r="F149" s="422"/>
      <c r="G149" s="422">
        <v>0</v>
      </c>
      <c r="H149" s="422">
        <v>0</v>
      </c>
      <c r="I149" s="422">
        <v>1.92</v>
      </c>
      <c r="J149" s="422">
        <f t="shared" si="98"/>
        <v>0</v>
      </c>
      <c r="K149" s="422">
        <f t="shared" si="99"/>
        <v>29.88</v>
      </c>
      <c r="L149" s="422"/>
      <c r="M149" s="422">
        <f t="shared" si="65"/>
        <v>29.88</v>
      </c>
      <c r="N149" s="422">
        <f t="shared" si="97"/>
        <v>6.86695278969958</v>
      </c>
      <c r="O149" s="257"/>
    </row>
    <row r="150" s="54" customFormat="1" ht="25" customHeight="1" spans="1:15">
      <c r="A150" s="421">
        <v>20508</v>
      </c>
      <c r="B150" s="142" t="s">
        <v>189</v>
      </c>
      <c r="C150" s="422">
        <f t="shared" ref="C150:L150" si="100">C151+C152</f>
        <v>1046</v>
      </c>
      <c r="D150" s="422">
        <f t="shared" si="100"/>
        <v>0</v>
      </c>
      <c r="E150" s="422">
        <f t="shared" si="64"/>
        <v>1046</v>
      </c>
      <c r="F150" s="422">
        <f t="shared" si="100"/>
        <v>-1</v>
      </c>
      <c r="G150" s="422">
        <f t="shared" si="100"/>
        <v>0</v>
      </c>
      <c r="H150" s="422">
        <f t="shared" si="100"/>
        <v>0</v>
      </c>
      <c r="I150" s="422">
        <f t="shared" si="100"/>
        <v>0</v>
      </c>
      <c r="J150" s="422">
        <f t="shared" si="100"/>
        <v>0</v>
      </c>
      <c r="K150" s="422">
        <f t="shared" si="100"/>
        <v>1045</v>
      </c>
      <c r="L150" s="422">
        <f t="shared" si="100"/>
        <v>0</v>
      </c>
      <c r="M150" s="422">
        <f t="shared" si="65"/>
        <v>1045</v>
      </c>
      <c r="N150" s="422">
        <f t="shared" si="97"/>
        <v>-0.0956022944550669</v>
      </c>
      <c r="O150" s="429"/>
    </row>
    <row r="151" s="54" customFormat="1" ht="25" customHeight="1" spans="1:15">
      <c r="A151" s="421">
        <v>2050801</v>
      </c>
      <c r="B151" s="142" t="s">
        <v>190</v>
      </c>
      <c r="C151" s="422">
        <v>1040</v>
      </c>
      <c r="D151" s="422">
        <v>0</v>
      </c>
      <c r="E151" s="422">
        <f t="shared" si="64"/>
        <v>1040</v>
      </c>
      <c r="F151" s="422"/>
      <c r="G151" s="422">
        <v>0</v>
      </c>
      <c r="H151" s="422">
        <v>0</v>
      </c>
      <c r="I151" s="422">
        <v>0</v>
      </c>
      <c r="J151" s="422">
        <f t="shared" si="98"/>
        <v>0</v>
      </c>
      <c r="K151" s="422">
        <f t="shared" si="99"/>
        <v>1040</v>
      </c>
      <c r="L151" s="422"/>
      <c r="M151" s="422">
        <f t="shared" si="65"/>
        <v>1040</v>
      </c>
      <c r="N151" s="422">
        <f t="shared" si="97"/>
        <v>0</v>
      </c>
      <c r="O151" s="429"/>
    </row>
    <row r="152" s="54" customFormat="1" ht="25" customHeight="1" spans="1:15">
      <c r="A152" s="421">
        <v>2050803</v>
      </c>
      <c r="B152" s="142" t="s">
        <v>191</v>
      </c>
      <c r="C152" s="422">
        <v>6</v>
      </c>
      <c r="D152" s="422">
        <v>0</v>
      </c>
      <c r="E152" s="422">
        <f t="shared" si="64"/>
        <v>6</v>
      </c>
      <c r="F152" s="422">
        <v>-1</v>
      </c>
      <c r="G152" s="422">
        <v>0</v>
      </c>
      <c r="H152" s="422">
        <v>0</v>
      </c>
      <c r="I152" s="422">
        <v>0</v>
      </c>
      <c r="J152" s="422">
        <f t="shared" si="98"/>
        <v>0</v>
      </c>
      <c r="K152" s="422">
        <f t="shared" si="99"/>
        <v>5</v>
      </c>
      <c r="L152" s="422"/>
      <c r="M152" s="422">
        <f t="shared" si="65"/>
        <v>5</v>
      </c>
      <c r="N152" s="422">
        <f t="shared" si="97"/>
        <v>-16.6666666666667</v>
      </c>
      <c r="O152" s="257"/>
    </row>
    <row r="153" s="54" customFormat="1" ht="25" customHeight="1" spans="1:15">
      <c r="A153" s="421">
        <v>20509</v>
      </c>
      <c r="B153" s="142" t="s">
        <v>192</v>
      </c>
      <c r="C153" s="422">
        <f t="shared" ref="C153:L153" si="101">C154</f>
        <v>2899</v>
      </c>
      <c r="D153" s="422">
        <f t="shared" si="101"/>
        <v>0</v>
      </c>
      <c r="E153" s="422">
        <f t="shared" si="64"/>
        <v>2899</v>
      </c>
      <c r="F153" s="422">
        <f t="shared" si="101"/>
        <v>-2595.75</v>
      </c>
      <c r="G153" s="422">
        <f t="shared" si="101"/>
        <v>0</v>
      </c>
      <c r="H153" s="422">
        <f t="shared" si="101"/>
        <v>0</v>
      </c>
      <c r="I153" s="422">
        <f t="shared" si="101"/>
        <v>-180</v>
      </c>
      <c r="J153" s="422">
        <f t="shared" si="101"/>
        <v>0</v>
      </c>
      <c r="K153" s="422">
        <f t="shared" si="101"/>
        <v>123.25</v>
      </c>
      <c r="L153" s="422">
        <f t="shared" si="101"/>
        <v>0</v>
      </c>
      <c r="M153" s="422">
        <f t="shared" si="65"/>
        <v>123.25</v>
      </c>
      <c r="N153" s="422">
        <f t="shared" si="97"/>
        <v>-95.7485339772335</v>
      </c>
      <c r="O153" s="429"/>
    </row>
    <row r="154" s="54" customFormat="1" ht="25" customHeight="1" spans="1:15">
      <c r="A154" s="421">
        <v>2050999</v>
      </c>
      <c r="B154" s="142" t="s">
        <v>193</v>
      </c>
      <c r="C154" s="422">
        <v>2899</v>
      </c>
      <c r="D154" s="422"/>
      <c r="E154" s="422">
        <f t="shared" si="64"/>
        <v>2899</v>
      </c>
      <c r="F154" s="422">
        <v>-2595.75</v>
      </c>
      <c r="G154" s="422">
        <v>0</v>
      </c>
      <c r="H154" s="422">
        <v>0</v>
      </c>
      <c r="I154" s="422">
        <v>-180</v>
      </c>
      <c r="J154" s="422">
        <f t="shared" ref="J154:J159" si="102">L154-D154</f>
        <v>0</v>
      </c>
      <c r="K154" s="422">
        <f t="shared" ref="K154:K159" si="103">C154+F154+G154+H154+I154</f>
        <v>123.25</v>
      </c>
      <c r="L154" s="422">
        <v>0</v>
      </c>
      <c r="M154" s="422">
        <f t="shared" si="65"/>
        <v>123.25</v>
      </c>
      <c r="N154" s="422">
        <f t="shared" si="97"/>
        <v>-95.7485339772335</v>
      </c>
      <c r="O154" s="257" t="s">
        <v>194</v>
      </c>
    </row>
    <row r="155" s="54" customFormat="1" ht="25" customHeight="1" spans="1:15">
      <c r="A155" s="421">
        <v>20599</v>
      </c>
      <c r="B155" s="142" t="s">
        <v>195</v>
      </c>
      <c r="C155" s="422">
        <f t="shared" ref="C155:L155" si="104">C156</f>
        <v>118</v>
      </c>
      <c r="D155" s="422">
        <f t="shared" si="104"/>
        <v>0</v>
      </c>
      <c r="E155" s="422">
        <f t="shared" si="64"/>
        <v>118</v>
      </c>
      <c r="F155" s="422">
        <f t="shared" si="104"/>
        <v>-298</v>
      </c>
      <c r="G155" s="422">
        <f t="shared" si="104"/>
        <v>0</v>
      </c>
      <c r="H155" s="422">
        <f t="shared" si="104"/>
        <v>0</v>
      </c>
      <c r="I155" s="422">
        <f t="shared" si="104"/>
        <v>180</v>
      </c>
      <c r="J155" s="422">
        <f t="shared" si="104"/>
        <v>180.93</v>
      </c>
      <c r="K155" s="422">
        <f t="shared" si="104"/>
        <v>0</v>
      </c>
      <c r="L155" s="422">
        <f t="shared" si="104"/>
        <v>180.93</v>
      </c>
      <c r="M155" s="422">
        <f t="shared" si="65"/>
        <v>180.93</v>
      </c>
      <c r="N155" s="422">
        <f t="shared" si="97"/>
        <v>53.3305084745763</v>
      </c>
      <c r="O155" s="257"/>
    </row>
    <row r="156" s="54" customFormat="1" ht="35" customHeight="1" spans="1:15">
      <c r="A156" s="421">
        <v>2059999</v>
      </c>
      <c r="B156" s="142" t="s">
        <v>195</v>
      </c>
      <c r="C156" s="422">
        <v>118</v>
      </c>
      <c r="D156" s="422"/>
      <c r="E156" s="422">
        <f t="shared" si="64"/>
        <v>118</v>
      </c>
      <c r="F156" s="422">
        <v>-298</v>
      </c>
      <c r="G156" s="422">
        <v>0</v>
      </c>
      <c r="H156" s="422">
        <v>0</v>
      </c>
      <c r="I156" s="422">
        <v>180</v>
      </c>
      <c r="J156" s="422">
        <f t="shared" si="102"/>
        <v>180.93</v>
      </c>
      <c r="K156" s="422">
        <f t="shared" si="103"/>
        <v>0</v>
      </c>
      <c r="L156" s="422">
        <v>180.93</v>
      </c>
      <c r="M156" s="422">
        <f t="shared" si="65"/>
        <v>180.93</v>
      </c>
      <c r="N156" s="422">
        <f t="shared" si="97"/>
        <v>53.3305084745763</v>
      </c>
      <c r="O156" s="257" t="s">
        <v>196</v>
      </c>
    </row>
    <row r="157" s="54" customFormat="1" ht="25" customHeight="1" spans="1:15">
      <c r="A157" s="421">
        <v>206</v>
      </c>
      <c r="B157" s="142" t="s">
        <v>197</v>
      </c>
      <c r="C157" s="422">
        <f t="shared" ref="C157:L157" si="105">C158+C162+C165+C160</f>
        <v>647.41</v>
      </c>
      <c r="D157" s="422">
        <f t="shared" si="105"/>
        <v>474</v>
      </c>
      <c r="E157" s="422">
        <f t="shared" si="64"/>
        <v>1121.41</v>
      </c>
      <c r="F157" s="422">
        <f t="shared" si="105"/>
        <v>-7.89000000000001</v>
      </c>
      <c r="G157" s="422">
        <f t="shared" si="105"/>
        <v>0</v>
      </c>
      <c r="H157" s="422">
        <f t="shared" si="105"/>
        <v>0</v>
      </c>
      <c r="I157" s="422">
        <f t="shared" si="105"/>
        <v>-72.2</v>
      </c>
      <c r="J157" s="422">
        <f t="shared" si="105"/>
        <v>458.36</v>
      </c>
      <c r="K157" s="422">
        <f t="shared" si="105"/>
        <v>567.32</v>
      </c>
      <c r="L157" s="422">
        <f t="shared" si="105"/>
        <v>932.36</v>
      </c>
      <c r="M157" s="422">
        <f t="shared" si="65"/>
        <v>1499.68</v>
      </c>
      <c r="N157" s="422">
        <f t="shared" si="97"/>
        <v>33.7316414157177</v>
      </c>
      <c r="O157" s="257"/>
    </row>
    <row r="158" s="54" customFormat="1" ht="25" customHeight="1" spans="1:15">
      <c r="A158" s="421">
        <v>20601</v>
      </c>
      <c r="B158" s="142" t="s">
        <v>198</v>
      </c>
      <c r="C158" s="422">
        <f t="shared" ref="C158:L158" si="106">C159</f>
        <v>5</v>
      </c>
      <c r="D158" s="422">
        <f t="shared" si="106"/>
        <v>0</v>
      </c>
      <c r="E158" s="422">
        <f t="shared" si="64"/>
        <v>5</v>
      </c>
      <c r="F158" s="422">
        <f t="shared" si="106"/>
        <v>-5</v>
      </c>
      <c r="G158" s="422">
        <f t="shared" si="106"/>
        <v>0</v>
      </c>
      <c r="H158" s="422">
        <f t="shared" si="106"/>
        <v>0</v>
      </c>
      <c r="I158" s="422">
        <f t="shared" si="106"/>
        <v>0</v>
      </c>
      <c r="J158" s="422">
        <f t="shared" si="106"/>
        <v>0</v>
      </c>
      <c r="K158" s="422">
        <f t="shared" si="106"/>
        <v>0</v>
      </c>
      <c r="L158" s="422">
        <f t="shared" si="106"/>
        <v>0</v>
      </c>
      <c r="M158" s="422">
        <f t="shared" si="65"/>
        <v>0</v>
      </c>
      <c r="N158" s="422">
        <f t="shared" si="97"/>
        <v>-100</v>
      </c>
      <c r="O158" s="257"/>
    </row>
    <row r="159" s="54" customFormat="1" ht="25" customHeight="1" spans="1:15">
      <c r="A159" s="421">
        <v>2060101</v>
      </c>
      <c r="B159" s="142" t="s">
        <v>70</v>
      </c>
      <c r="C159" s="422">
        <v>5</v>
      </c>
      <c r="D159" s="422"/>
      <c r="E159" s="422">
        <f t="shared" si="64"/>
        <v>5</v>
      </c>
      <c r="F159" s="422">
        <v>-5</v>
      </c>
      <c r="G159" s="422">
        <v>0</v>
      </c>
      <c r="H159" s="422">
        <v>0</v>
      </c>
      <c r="I159" s="422">
        <v>0</v>
      </c>
      <c r="J159" s="422">
        <f t="shared" si="102"/>
        <v>0</v>
      </c>
      <c r="K159" s="422">
        <f t="shared" si="103"/>
        <v>0</v>
      </c>
      <c r="L159" s="422">
        <v>0</v>
      </c>
      <c r="M159" s="422">
        <f t="shared" si="65"/>
        <v>0</v>
      </c>
      <c r="N159" s="422">
        <f t="shared" si="97"/>
        <v>-100</v>
      </c>
      <c r="O159" s="257"/>
    </row>
    <row r="160" s="54" customFormat="1" ht="25" customHeight="1" spans="1:15">
      <c r="A160" s="421">
        <v>20604</v>
      </c>
      <c r="B160" s="142" t="s">
        <v>199</v>
      </c>
      <c r="C160" s="422">
        <f t="shared" ref="C160:L160" si="107">C161</f>
        <v>22.41</v>
      </c>
      <c r="D160" s="422">
        <f t="shared" si="107"/>
        <v>469</v>
      </c>
      <c r="E160" s="422">
        <f t="shared" si="64"/>
        <v>491.41</v>
      </c>
      <c r="F160" s="422">
        <f t="shared" si="107"/>
        <v>-5</v>
      </c>
      <c r="G160" s="422">
        <f t="shared" si="107"/>
        <v>0</v>
      </c>
      <c r="H160" s="422">
        <f t="shared" si="107"/>
        <v>0</v>
      </c>
      <c r="I160" s="422">
        <f t="shared" si="107"/>
        <v>10</v>
      </c>
      <c r="J160" s="422">
        <f t="shared" si="107"/>
        <v>38.27</v>
      </c>
      <c r="K160" s="422">
        <f t="shared" si="107"/>
        <v>27.41</v>
      </c>
      <c r="L160" s="422">
        <f t="shared" si="107"/>
        <v>507.27</v>
      </c>
      <c r="M160" s="422">
        <f t="shared" si="65"/>
        <v>534.68</v>
      </c>
      <c r="N160" s="422">
        <f t="shared" si="97"/>
        <v>8.80527461793613</v>
      </c>
      <c r="O160" s="257"/>
    </row>
    <row r="161" s="54" customFormat="1" ht="25" customHeight="1" spans="1:15">
      <c r="A161" s="421" t="s">
        <v>200</v>
      </c>
      <c r="B161" s="142" t="s">
        <v>201</v>
      </c>
      <c r="C161" s="422">
        <v>22.41</v>
      </c>
      <c r="D161" s="422">
        <v>469</v>
      </c>
      <c r="E161" s="422">
        <f t="shared" si="64"/>
        <v>491.41</v>
      </c>
      <c r="F161" s="422">
        <v>-5</v>
      </c>
      <c r="G161" s="422">
        <v>0</v>
      </c>
      <c r="H161" s="422">
        <v>0</v>
      </c>
      <c r="I161" s="422">
        <v>10</v>
      </c>
      <c r="J161" s="422">
        <f t="shared" ref="J161:J164" si="108">L161-D161</f>
        <v>38.27</v>
      </c>
      <c r="K161" s="422">
        <f t="shared" ref="K161:K164" si="109">C161+F161+G161+H161+I161</f>
        <v>27.41</v>
      </c>
      <c r="L161" s="422">
        <v>507.27</v>
      </c>
      <c r="M161" s="422">
        <f t="shared" si="65"/>
        <v>534.68</v>
      </c>
      <c r="N161" s="422">
        <f t="shared" si="97"/>
        <v>8.80527461793613</v>
      </c>
      <c r="O161" s="257"/>
    </row>
    <row r="162" s="54" customFormat="1" ht="25" customHeight="1" spans="1:15">
      <c r="A162" s="421">
        <v>20607</v>
      </c>
      <c r="B162" s="142" t="s">
        <v>202</v>
      </c>
      <c r="C162" s="422">
        <f t="shared" ref="C162:L162" si="110">C164+C163</f>
        <v>14</v>
      </c>
      <c r="D162" s="422">
        <f t="shared" si="110"/>
        <v>0</v>
      </c>
      <c r="E162" s="422">
        <f t="shared" ref="E162:E226" si="111">C162+D162</f>
        <v>14</v>
      </c>
      <c r="F162" s="422">
        <f t="shared" si="110"/>
        <v>0</v>
      </c>
      <c r="G162" s="422">
        <f t="shared" si="110"/>
        <v>0</v>
      </c>
      <c r="H162" s="422">
        <f t="shared" si="110"/>
        <v>0</v>
      </c>
      <c r="I162" s="422">
        <f t="shared" si="110"/>
        <v>0</v>
      </c>
      <c r="J162" s="422">
        <f t="shared" si="110"/>
        <v>20</v>
      </c>
      <c r="K162" s="422">
        <f t="shared" si="110"/>
        <v>14</v>
      </c>
      <c r="L162" s="422">
        <f t="shared" si="110"/>
        <v>20</v>
      </c>
      <c r="M162" s="422">
        <f t="shared" ref="M162:M226" si="112">K162+L162</f>
        <v>34</v>
      </c>
      <c r="N162" s="422">
        <f t="shared" si="97"/>
        <v>142.857142857143</v>
      </c>
      <c r="O162" s="257"/>
    </row>
    <row r="163" s="54" customFormat="1" ht="25" customHeight="1" spans="1:15">
      <c r="A163" s="421">
        <v>2060702</v>
      </c>
      <c r="B163" s="142" t="s">
        <v>203</v>
      </c>
      <c r="C163" s="422"/>
      <c r="D163" s="422"/>
      <c r="E163" s="422"/>
      <c r="F163" s="422"/>
      <c r="G163" s="422"/>
      <c r="H163" s="422"/>
      <c r="I163" s="422"/>
      <c r="J163" s="422">
        <f t="shared" si="108"/>
        <v>20</v>
      </c>
      <c r="K163" s="422">
        <f t="shared" si="109"/>
        <v>0</v>
      </c>
      <c r="L163" s="422">
        <v>20</v>
      </c>
      <c r="M163" s="422">
        <f t="shared" si="112"/>
        <v>20</v>
      </c>
      <c r="N163" s="422"/>
      <c r="O163" s="257"/>
    </row>
    <row r="164" s="54" customFormat="1" ht="25" customHeight="1" spans="1:15">
      <c r="A164" s="421">
        <v>2060799</v>
      </c>
      <c r="B164" s="142" t="s">
        <v>204</v>
      </c>
      <c r="C164" s="422">
        <v>14</v>
      </c>
      <c r="D164" s="422"/>
      <c r="E164" s="422">
        <f t="shared" si="111"/>
        <v>14</v>
      </c>
      <c r="F164" s="422"/>
      <c r="G164" s="422">
        <v>0</v>
      </c>
      <c r="H164" s="422">
        <v>0</v>
      </c>
      <c r="I164" s="422">
        <v>0</v>
      </c>
      <c r="J164" s="422">
        <f t="shared" si="108"/>
        <v>0</v>
      </c>
      <c r="K164" s="422">
        <f t="shared" si="109"/>
        <v>14</v>
      </c>
      <c r="L164" s="422">
        <v>0</v>
      </c>
      <c r="M164" s="422">
        <f t="shared" si="112"/>
        <v>14</v>
      </c>
      <c r="N164" s="422">
        <f t="shared" ref="N164:N176" si="113">(M164-E164)/E164*100</f>
        <v>0</v>
      </c>
      <c r="O164" s="257"/>
    </row>
    <row r="165" s="54" customFormat="1" ht="25" customHeight="1" spans="1:15">
      <c r="A165" s="421">
        <v>20699</v>
      </c>
      <c r="B165" s="142" t="s">
        <v>205</v>
      </c>
      <c r="C165" s="422">
        <f t="shared" ref="C165:L165" si="114">C166</f>
        <v>606</v>
      </c>
      <c r="D165" s="422">
        <f t="shared" si="114"/>
        <v>5</v>
      </c>
      <c r="E165" s="422">
        <f t="shared" si="111"/>
        <v>611</v>
      </c>
      <c r="F165" s="422">
        <f t="shared" si="114"/>
        <v>2.10999999999999</v>
      </c>
      <c r="G165" s="422">
        <f t="shared" si="114"/>
        <v>0</v>
      </c>
      <c r="H165" s="422">
        <f t="shared" si="114"/>
        <v>0</v>
      </c>
      <c r="I165" s="422">
        <f t="shared" si="114"/>
        <v>-82.2</v>
      </c>
      <c r="J165" s="422">
        <f t="shared" si="114"/>
        <v>400.09</v>
      </c>
      <c r="K165" s="422">
        <f t="shared" si="114"/>
        <v>525.91</v>
      </c>
      <c r="L165" s="422">
        <f t="shared" si="114"/>
        <v>405.09</v>
      </c>
      <c r="M165" s="422">
        <f t="shared" si="112"/>
        <v>931</v>
      </c>
      <c r="N165" s="422">
        <f t="shared" si="113"/>
        <v>52.3731587561375</v>
      </c>
      <c r="O165" s="257"/>
    </row>
    <row r="166" s="54" customFormat="1" ht="35" customHeight="1" spans="1:15">
      <c r="A166" s="421">
        <v>2069999</v>
      </c>
      <c r="B166" s="142" t="s">
        <v>205</v>
      </c>
      <c r="C166" s="422">
        <v>606</v>
      </c>
      <c r="D166" s="422">
        <v>5</v>
      </c>
      <c r="E166" s="422">
        <f t="shared" si="111"/>
        <v>611</v>
      </c>
      <c r="F166" s="422">
        <v>2.10999999999999</v>
      </c>
      <c r="G166" s="422"/>
      <c r="H166" s="422"/>
      <c r="I166" s="422">
        <v>-82.2</v>
      </c>
      <c r="J166" s="422">
        <f t="shared" ref="J166:J174" si="115">L166-D166</f>
        <v>400.09</v>
      </c>
      <c r="K166" s="422">
        <f t="shared" ref="K166:K174" si="116">C166+F166+G166+H166+I166</f>
        <v>525.91</v>
      </c>
      <c r="L166" s="422">
        <v>405.09</v>
      </c>
      <c r="M166" s="422">
        <f t="shared" si="112"/>
        <v>931</v>
      </c>
      <c r="N166" s="422">
        <f t="shared" si="113"/>
        <v>52.3731587561375</v>
      </c>
      <c r="O166" s="257" t="s">
        <v>206</v>
      </c>
    </row>
    <row r="167" s="54" customFormat="1" ht="25" customHeight="1" spans="1:15">
      <c r="A167" s="421">
        <v>207</v>
      </c>
      <c r="B167" s="142" t="s">
        <v>207</v>
      </c>
      <c r="C167" s="422">
        <f t="shared" ref="C167:L167" si="117">C168+C175+C178+C180</f>
        <v>2829.13</v>
      </c>
      <c r="D167" s="422">
        <f t="shared" si="117"/>
        <v>1837</v>
      </c>
      <c r="E167" s="422">
        <f t="shared" si="111"/>
        <v>4666.13</v>
      </c>
      <c r="F167" s="422">
        <f t="shared" si="117"/>
        <v>-302.050145</v>
      </c>
      <c r="G167" s="422">
        <f t="shared" si="117"/>
        <v>0</v>
      </c>
      <c r="H167" s="422">
        <f t="shared" si="117"/>
        <v>0</v>
      </c>
      <c r="I167" s="422">
        <f t="shared" si="117"/>
        <v>-3.96</v>
      </c>
      <c r="J167" s="422">
        <f t="shared" si="117"/>
        <v>-0.5</v>
      </c>
      <c r="K167" s="422">
        <f t="shared" si="117"/>
        <v>2523.119855</v>
      </c>
      <c r="L167" s="422">
        <f t="shared" si="117"/>
        <v>1836.5</v>
      </c>
      <c r="M167" s="422">
        <f t="shared" si="112"/>
        <v>4359.619855</v>
      </c>
      <c r="N167" s="422">
        <f t="shared" si="113"/>
        <v>-6.56882995115867</v>
      </c>
      <c r="O167" s="257"/>
    </row>
    <row r="168" s="54" customFormat="1" ht="25" customHeight="1" spans="1:15">
      <c r="A168" s="421">
        <v>20701</v>
      </c>
      <c r="B168" s="142" t="s">
        <v>208</v>
      </c>
      <c r="C168" s="422">
        <f t="shared" ref="C168:L168" si="118">C169+C170+C171+C172+C173+C174</f>
        <v>593.38</v>
      </c>
      <c r="D168" s="422">
        <f t="shared" si="118"/>
        <v>486</v>
      </c>
      <c r="E168" s="422">
        <f t="shared" si="111"/>
        <v>1079.38</v>
      </c>
      <c r="F168" s="422">
        <f t="shared" si="118"/>
        <v>-7.582345</v>
      </c>
      <c r="G168" s="422">
        <f t="shared" si="118"/>
        <v>0</v>
      </c>
      <c r="H168" s="422">
        <f t="shared" si="118"/>
        <v>0</v>
      </c>
      <c r="I168" s="422">
        <f t="shared" si="118"/>
        <v>0.79</v>
      </c>
      <c r="J168" s="422">
        <f t="shared" si="118"/>
        <v>-0.5</v>
      </c>
      <c r="K168" s="422">
        <f t="shared" si="118"/>
        <v>586.587655</v>
      </c>
      <c r="L168" s="422">
        <f t="shared" si="118"/>
        <v>485.5</v>
      </c>
      <c r="M168" s="422">
        <f t="shared" si="112"/>
        <v>1072.087655</v>
      </c>
      <c r="N168" s="422">
        <f t="shared" si="113"/>
        <v>-0.675604976931229</v>
      </c>
      <c r="O168" s="257"/>
    </row>
    <row r="169" s="54" customFormat="1" ht="25" customHeight="1" spans="1:15">
      <c r="A169" s="421">
        <v>2070101</v>
      </c>
      <c r="B169" s="142" t="s">
        <v>70</v>
      </c>
      <c r="C169" s="422">
        <v>214.48</v>
      </c>
      <c r="D169" s="422">
        <v>0</v>
      </c>
      <c r="E169" s="422">
        <f t="shared" si="111"/>
        <v>214.48</v>
      </c>
      <c r="F169" s="422">
        <v>-0.228236</v>
      </c>
      <c r="G169" s="422"/>
      <c r="H169" s="422"/>
      <c r="I169" s="422"/>
      <c r="J169" s="422">
        <f t="shared" si="115"/>
        <v>0</v>
      </c>
      <c r="K169" s="422">
        <f t="shared" si="116"/>
        <v>214.251764</v>
      </c>
      <c r="L169" s="422"/>
      <c r="M169" s="422">
        <f t="shared" si="112"/>
        <v>214.251764</v>
      </c>
      <c r="N169" s="422">
        <f t="shared" si="113"/>
        <v>-0.106413651622533</v>
      </c>
      <c r="O169" s="257"/>
    </row>
    <row r="170" s="54" customFormat="1" ht="25" customHeight="1" spans="1:15">
      <c r="A170" s="421">
        <v>2070104</v>
      </c>
      <c r="B170" s="142" t="s">
        <v>209</v>
      </c>
      <c r="C170" s="422">
        <v>24.96</v>
      </c>
      <c r="D170" s="422">
        <v>0</v>
      </c>
      <c r="E170" s="422">
        <f t="shared" si="111"/>
        <v>24.96</v>
      </c>
      <c r="F170" s="422">
        <v>-3.628</v>
      </c>
      <c r="G170" s="422"/>
      <c r="H170" s="422"/>
      <c r="I170" s="422"/>
      <c r="J170" s="422">
        <f t="shared" si="115"/>
        <v>0</v>
      </c>
      <c r="K170" s="422">
        <f t="shared" si="116"/>
        <v>21.332</v>
      </c>
      <c r="L170" s="422"/>
      <c r="M170" s="422">
        <f t="shared" si="112"/>
        <v>21.332</v>
      </c>
      <c r="N170" s="422">
        <f t="shared" si="113"/>
        <v>-14.5352564102564</v>
      </c>
      <c r="O170" s="257"/>
    </row>
    <row r="171" s="54" customFormat="1" ht="25" customHeight="1" spans="1:15">
      <c r="A171" s="421">
        <v>2070109</v>
      </c>
      <c r="B171" s="142" t="s">
        <v>210</v>
      </c>
      <c r="C171" s="422">
        <v>143.93</v>
      </c>
      <c r="D171" s="422">
        <v>0</v>
      </c>
      <c r="E171" s="422">
        <f t="shared" si="111"/>
        <v>143.93</v>
      </c>
      <c r="F171" s="422">
        <v>-3.726109</v>
      </c>
      <c r="G171" s="422"/>
      <c r="H171" s="422"/>
      <c r="I171" s="422">
        <v>0.79</v>
      </c>
      <c r="J171" s="422">
        <f t="shared" si="115"/>
        <v>0</v>
      </c>
      <c r="K171" s="422">
        <f t="shared" si="116"/>
        <v>140.993891</v>
      </c>
      <c r="L171" s="422"/>
      <c r="M171" s="422">
        <f t="shared" si="112"/>
        <v>140.993891</v>
      </c>
      <c r="N171" s="422">
        <f t="shared" si="113"/>
        <v>-2.03995622872231</v>
      </c>
      <c r="O171" s="257"/>
    </row>
    <row r="172" s="54" customFormat="1" ht="25" customHeight="1" spans="1:15">
      <c r="A172" s="421">
        <v>2070112</v>
      </c>
      <c r="B172" s="142" t="s">
        <v>211</v>
      </c>
      <c r="C172" s="422">
        <v>2</v>
      </c>
      <c r="D172" s="422">
        <v>0</v>
      </c>
      <c r="E172" s="422">
        <f t="shared" si="111"/>
        <v>2</v>
      </c>
      <c r="F172" s="422"/>
      <c r="G172" s="422"/>
      <c r="H172" s="422"/>
      <c r="I172" s="422"/>
      <c r="J172" s="422">
        <f t="shared" si="115"/>
        <v>0</v>
      </c>
      <c r="K172" s="422">
        <f t="shared" si="116"/>
        <v>2</v>
      </c>
      <c r="L172" s="422"/>
      <c r="M172" s="422">
        <f t="shared" si="112"/>
        <v>2</v>
      </c>
      <c r="N172" s="422">
        <f t="shared" si="113"/>
        <v>0</v>
      </c>
      <c r="O172" s="257"/>
    </row>
    <row r="173" s="54" customFormat="1" ht="25" customHeight="1" spans="1:15">
      <c r="A173" s="421">
        <v>2070113</v>
      </c>
      <c r="B173" s="142" t="s">
        <v>212</v>
      </c>
      <c r="C173" s="422">
        <v>6</v>
      </c>
      <c r="D173" s="422">
        <v>0</v>
      </c>
      <c r="E173" s="422">
        <f t="shared" si="111"/>
        <v>6</v>
      </c>
      <c r="F173" s="422"/>
      <c r="G173" s="422"/>
      <c r="H173" s="422"/>
      <c r="I173" s="422"/>
      <c r="J173" s="422">
        <f t="shared" si="115"/>
        <v>0</v>
      </c>
      <c r="K173" s="422">
        <f t="shared" si="116"/>
        <v>6</v>
      </c>
      <c r="L173" s="422"/>
      <c r="M173" s="422">
        <f t="shared" si="112"/>
        <v>6</v>
      </c>
      <c r="N173" s="422">
        <f t="shared" si="113"/>
        <v>0</v>
      </c>
      <c r="O173" s="257"/>
    </row>
    <row r="174" s="54" customFormat="1" ht="25" customHeight="1" spans="1:15">
      <c r="A174" s="421">
        <v>2070199</v>
      </c>
      <c r="B174" s="142" t="s">
        <v>213</v>
      </c>
      <c r="C174" s="422">
        <v>202.01</v>
      </c>
      <c r="D174" s="422">
        <v>486</v>
      </c>
      <c r="E174" s="422">
        <f t="shared" si="111"/>
        <v>688.01</v>
      </c>
      <c r="F174" s="422"/>
      <c r="G174" s="422"/>
      <c r="H174" s="422"/>
      <c r="I174" s="422"/>
      <c r="J174" s="422">
        <f t="shared" si="115"/>
        <v>-0.5</v>
      </c>
      <c r="K174" s="422">
        <f t="shared" si="116"/>
        <v>202.01</v>
      </c>
      <c r="L174" s="422">
        <v>485.5</v>
      </c>
      <c r="M174" s="422">
        <f t="shared" si="112"/>
        <v>687.51</v>
      </c>
      <c r="N174" s="422">
        <f t="shared" si="113"/>
        <v>-0.0726733623057804</v>
      </c>
      <c r="O174" s="429"/>
    </row>
    <row r="175" s="54" customFormat="1" ht="25" customHeight="1" spans="1:15">
      <c r="A175" s="421">
        <v>20702</v>
      </c>
      <c r="B175" s="142" t="s">
        <v>214</v>
      </c>
      <c r="C175" s="422">
        <f t="shared" ref="C175:L175" si="119">C176+C177</f>
        <v>2</v>
      </c>
      <c r="D175" s="422">
        <f t="shared" si="119"/>
        <v>300</v>
      </c>
      <c r="E175" s="422">
        <f t="shared" si="111"/>
        <v>302</v>
      </c>
      <c r="F175" s="422">
        <f t="shared" si="119"/>
        <v>0</v>
      </c>
      <c r="G175" s="422">
        <f t="shared" si="119"/>
        <v>0</v>
      </c>
      <c r="H175" s="422">
        <f t="shared" si="119"/>
        <v>0</v>
      </c>
      <c r="I175" s="422">
        <f t="shared" si="119"/>
        <v>0</v>
      </c>
      <c r="J175" s="422">
        <f t="shared" si="119"/>
        <v>0</v>
      </c>
      <c r="K175" s="422">
        <f t="shared" si="119"/>
        <v>2</v>
      </c>
      <c r="L175" s="422">
        <f t="shared" si="119"/>
        <v>300</v>
      </c>
      <c r="M175" s="422">
        <f t="shared" si="112"/>
        <v>302</v>
      </c>
      <c r="N175" s="422">
        <f t="shared" si="113"/>
        <v>0</v>
      </c>
      <c r="O175" s="429"/>
    </row>
    <row r="176" s="54" customFormat="1" ht="25" customHeight="1" spans="1:15">
      <c r="A176" s="421">
        <v>2070204</v>
      </c>
      <c r="B176" s="142" t="s">
        <v>215</v>
      </c>
      <c r="C176" s="422">
        <v>2</v>
      </c>
      <c r="D176" s="422">
        <v>200</v>
      </c>
      <c r="E176" s="422">
        <f t="shared" si="111"/>
        <v>202</v>
      </c>
      <c r="F176" s="422"/>
      <c r="G176" s="422">
        <v>0</v>
      </c>
      <c r="H176" s="422">
        <v>0</v>
      </c>
      <c r="I176" s="422">
        <v>0</v>
      </c>
      <c r="J176" s="422">
        <f t="shared" ref="J176:J179" si="120">L176-D176</f>
        <v>0</v>
      </c>
      <c r="K176" s="422">
        <f t="shared" ref="K176:K179" si="121">C176+F176+G176+H176+I176</f>
        <v>2</v>
      </c>
      <c r="L176" s="422">
        <v>200</v>
      </c>
      <c r="M176" s="422">
        <f t="shared" si="112"/>
        <v>202</v>
      </c>
      <c r="N176" s="422">
        <f t="shared" si="113"/>
        <v>0</v>
      </c>
      <c r="O176" s="257"/>
    </row>
    <row r="177" s="54" customFormat="1" ht="25" customHeight="1" spans="1:15">
      <c r="A177" s="421">
        <v>2070299</v>
      </c>
      <c r="B177" s="142" t="s">
        <v>216</v>
      </c>
      <c r="C177" s="422"/>
      <c r="D177" s="422">
        <v>100</v>
      </c>
      <c r="E177" s="422">
        <f t="shared" si="111"/>
        <v>100</v>
      </c>
      <c r="F177" s="422"/>
      <c r="G177" s="422"/>
      <c r="H177" s="422"/>
      <c r="I177" s="422"/>
      <c r="J177" s="422">
        <f t="shared" si="120"/>
        <v>0</v>
      </c>
      <c r="K177" s="422">
        <f t="shared" si="121"/>
        <v>0</v>
      </c>
      <c r="L177" s="423">
        <v>100</v>
      </c>
      <c r="M177" s="422">
        <f t="shared" si="112"/>
        <v>100</v>
      </c>
      <c r="N177" s="422">
        <v>100</v>
      </c>
      <c r="O177" s="257"/>
    </row>
    <row r="178" s="54" customFormat="1" ht="25" customHeight="1" spans="1:15">
      <c r="A178" s="421">
        <v>20703</v>
      </c>
      <c r="B178" s="142" t="s">
        <v>217</v>
      </c>
      <c r="C178" s="422">
        <f t="shared" ref="C178:L178" si="122">C179</f>
        <v>7</v>
      </c>
      <c r="D178" s="422">
        <f t="shared" si="122"/>
        <v>0</v>
      </c>
      <c r="E178" s="422">
        <f t="shared" si="111"/>
        <v>7</v>
      </c>
      <c r="F178" s="422">
        <f t="shared" si="122"/>
        <v>0</v>
      </c>
      <c r="G178" s="422">
        <f t="shared" si="122"/>
        <v>0</v>
      </c>
      <c r="H178" s="422">
        <f t="shared" si="122"/>
        <v>0</v>
      </c>
      <c r="I178" s="422">
        <f t="shared" si="122"/>
        <v>0</v>
      </c>
      <c r="J178" s="422">
        <f t="shared" si="122"/>
        <v>0</v>
      </c>
      <c r="K178" s="422">
        <f t="shared" si="122"/>
        <v>7</v>
      </c>
      <c r="L178" s="422">
        <f t="shared" si="122"/>
        <v>0</v>
      </c>
      <c r="M178" s="422">
        <f t="shared" si="112"/>
        <v>7</v>
      </c>
      <c r="N178" s="422">
        <f t="shared" ref="N178:N201" si="123">(M178-E178)/E178*100</f>
        <v>0</v>
      </c>
      <c r="O178" s="257"/>
    </row>
    <row r="179" s="54" customFormat="1" ht="25" customHeight="1" spans="1:15">
      <c r="A179" s="421">
        <v>2070308</v>
      </c>
      <c r="B179" s="142" t="s">
        <v>218</v>
      </c>
      <c r="C179" s="422">
        <v>7</v>
      </c>
      <c r="D179" s="422"/>
      <c r="E179" s="422">
        <f t="shared" si="111"/>
        <v>7</v>
      </c>
      <c r="F179" s="422"/>
      <c r="G179" s="422">
        <v>0</v>
      </c>
      <c r="H179" s="422">
        <v>0</v>
      </c>
      <c r="I179" s="422">
        <v>0</v>
      </c>
      <c r="J179" s="422">
        <f t="shared" si="120"/>
        <v>0</v>
      </c>
      <c r="K179" s="422">
        <f t="shared" si="121"/>
        <v>7</v>
      </c>
      <c r="L179" s="422">
        <v>0</v>
      </c>
      <c r="M179" s="422">
        <f t="shared" si="112"/>
        <v>7</v>
      </c>
      <c r="N179" s="422">
        <f t="shared" si="123"/>
        <v>0</v>
      </c>
      <c r="O179" s="257"/>
    </row>
    <row r="180" s="54" customFormat="1" ht="25" customHeight="1" spans="1:15">
      <c r="A180" s="421">
        <v>20799</v>
      </c>
      <c r="B180" s="142" t="s">
        <v>219</v>
      </c>
      <c r="C180" s="422">
        <f t="shared" ref="C180:L180" si="124">C181</f>
        <v>2226.75</v>
      </c>
      <c r="D180" s="422">
        <f t="shared" si="124"/>
        <v>1051</v>
      </c>
      <c r="E180" s="422">
        <f t="shared" si="111"/>
        <v>3277.75</v>
      </c>
      <c r="F180" s="422">
        <f t="shared" si="124"/>
        <v>-294.4678</v>
      </c>
      <c r="G180" s="422">
        <f t="shared" si="124"/>
        <v>0</v>
      </c>
      <c r="H180" s="422">
        <f t="shared" si="124"/>
        <v>0</v>
      </c>
      <c r="I180" s="422">
        <f t="shared" si="124"/>
        <v>-4.75</v>
      </c>
      <c r="J180" s="422">
        <f t="shared" si="124"/>
        <v>0</v>
      </c>
      <c r="K180" s="422">
        <f t="shared" si="124"/>
        <v>1927.5322</v>
      </c>
      <c r="L180" s="422">
        <f t="shared" si="124"/>
        <v>1051</v>
      </c>
      <c r="M180" s="422">
        <f t="shared" si="112"/>
        <v>2978.5322</v>
      </c>
      <c r="N180" s="422">
        <f t="shared" si="123"/>
        <v>-9.12875600640683</v>
      </c>
      <c r="O180" s="257"/>
    </row>
    <row r="181" s="54" customFormat="1" ht="25" customHeight="1" spans="1:15">
      <c r="A181" s="421">
        <v>2079999</v>
      </c>
      <c r="B181" s="142" t="s">
        <v>219</v>
      </c>
      <c r="C181" s="422">
        <v>2226.75</v>
      </c>
      <c r="D181" s="422">
        <v>1051</v>
      </c>
      <c r="E181" s="422">
        <f t="shared" si="111"/>
        <v>3277.75</v>
      </c>
      <c r="F181" s="422">
        <v>-294.4678</v>
      </c>
      <c r="G181" s="422"/>
      <c r="H181" s="422"/>
      <c r="I181" s="422">
        <v>-4.75</v>
      </c>
      <c r="J181" s="422">
        <f t="shared" ref="J181:J187" si="125">L181-D181</f>
        <v>0</v>
      </c>
      <c r="K181" s="422">
        <f t="shared" ref="K181:K187" si="126">C181+F181+G181+H181+I181</f>
        <v>1927.5322</v>
      </c>
      <c r="L181" s="422">
        <v>1051</v>
      </c>
      <c r="M181" s="422">
        <f t="shared" si="112"/>
        <v>2978.5322</v>
      </c>
      <c r="N181" s="422">
        <f t="shared" si="123"/>
        <v>-9.12875600640683</v>
      </c>
      <c r="O181" s="257" t="s">
        <v>220</v>
      </c>
    </row>
    <row r="182" s="54" customFormat="1" ht="25" customHeight="1" spans="1:15">
      <c r="A182" s="421">
        <v>208</v>
      </c>
      <c r="B182" s="142" t="s">
        <v>221</v>
      </c>
      <c r="C182" s="422">
        <f t="shared" ref="C182:L182" si="127">C183+C188+C194+C201+C204+C210+C217+C222+C228+C231+C234+C237+C240+C243+C246+C252</f>
        <v>22782.89</v>
      </c>
      <c r="D182" s="422">
        <f t="shared" si="127"/>
        <v>15822.5</v>
      </c>
      <c r="E182" s="422">
        <f t="shared" si="111"/>
        <v>38605.39</v>
      </c>
      <c r="F182" s="422">
        <f t="shared" si="127"/>
        <v>-2003.811016</v>
      </c>
      <c r="G182" s="422">
        <f t="shared" si="127"/>
        <v>0</v>
      </c>
      <c r="H182" s="422">
        <f t="shared" si="127"/>
        <v>0</v>
      </c>
      <c r="I182" s="422">
        <f t="shared" si="127"/>
        <v>257.09</v>
      </c>
      <c r="J182" s="422">
        <f t="shared" si="127"/>
        <v>291.02264</v>
      </c>
      <c r="K182" s="422">
        <f t="shared" si="127"/>
        <v>21036.168984</v>
      </c>
      <c r="L182" s="422">
        <f t="shared" si="127"/>
        <v>16113.52264</v>
      </c>
      <c r="M182" s="422">
        <f t="shared" si="112"/>
        <v>37149.691624</v>
      </c>
      <c r="N182" s="422">
        <f t="shared" si="123"/>
        <v>-3.77071278388849</v>
      </c>
      <c r="O182" s="257"/>
    </row>
    <row r="183" s="54" customFormat="1" ht="25" customHeight="1" spans="1:15">
      <c r="A183" s="421">
        <v>20801</v>
      </c>
      <c r="B183" s="142" t="s">
        <v>222</v>
      </c>
      <c r="C183" s="422">
        <f t="shared" ref="C183:L183" si="128">C184+C185+C186+C187</f>
        <v>756.19</v>
      </c>
      <c r="D183" s="422">
        <f t="shared" si="128"/>
        <v>-68</v>
      </c>
      <c r="E183" s="422">
        <f t="shared" si="111"/>
        <v>688.19</v>
      </c>
      <c r="F183" s="422">
        <f t="shared" si="128"/>
        <v>-42.75724</v>
      </c>
      <c r="G183" s="422">
        <f t="shared" si="128"/>
        <v>0</v>
      </c>
      <c r="H183" s="422">
        <f t="shared" si="128"/>
        <v>0</v>
      </c>
      <c r="I183" s="422">
        <f t="shared" si="128"/>
        <v>1.59</v>
      </c>
      <c r="J183" s="422">
        <f t="shared" si="128"/>
        <v>-0.170000000000002</v>
      </c>
      <c r="K183" s="422">
        <f t="shared" si="128"/>
        <v>715.02276</v>
      </c>
      <c r="L183" s="422">
        <f t="shared" si="128"/>
        <v>-68.17</v>
      </c>
      <c r="M183" s="422">
        <f t="shared" si="112"/>
        <v>646.85276</v>
      </c>
      <c r="N183" s="422">
        <f t="shared" si="123"/>
        <v>-6.00666095119082</v>
      </c>
      <c r="O183" s="257"/>
    </row>
    <row r="184" s="54" customFormat="1" ht="25" customHeight="1" spans="1:15">
      <c r="A184" s="421">
        <v>2080101</v>
      </c>
      <c r="B184" s="142" t="s">
        <v>70</v>
      </c>
      <c r="C184" s="422">
        <v>397.89</v>
      </c>
      <c r="D184" s="422">
        <v>0</v>
      </c>
      <c r="E184" s="422">
        <f t="shared" si="111"/>
        <v>397.89</v>
      </c>
      <c r="F184" s="422">
        <v>-8.609</v>
      </c>
      <c r="G184" s="422"/>
      <c r="H184" s="422"/>
      <c r="I184" s="422">
        <v>1.59</v>
      </c>
      <c r="J184" s="422">
        <f t="shared" si="125"/>
        <v>0</v>
      </c>
      <c r="K184" s="422">
        <f t="shared" si="126"/>
        <v>390.871</v>
      </c>
      <c r="L184" s="422"/>
      <c r="M184" s="422">
        <f t="shared" si="112"/>
        <v>390.871</v>
      </c>
      <c r="N184" s="422">
        <f t="shared" si="123"/>
        <v>-1.76405539219382</v>
      </c>
      <c r="O184" s="257"/>
    </row>
    <row r="185" s="54" customFormat="1" ht="25" customHeight="1" spans="1:15">
      <c r="A185" s="421">
        <v>2080102</v>
      </c>
      <c r="B185" s="142" t="s">
        <v>85</v>
      </c>
      <c r="C185" s="422">
        <v>84</v>
      </c>
      <c r="D185" s="422">
        <v>0</v>
      </c>
      <c r="E185" s="422">
        <f t="shared" si="111"/>
        <v>84</v>
      </c>
      <c r="F185" s="422">
        <v>-30</v>
      </c>
      <c r="G185" s="422"/>
      <c r="H185" s="422"/>
      <c r="I185" s="422"/>
      <c r="J185" s="422">
        <f t="shared" si="125"/>
        <v>0</v>
      </c>
      <c r="K185" s="422">
        <f t="shared" si="126"/>
        <v>54</v>
      </c>
      <c r="L185" s="422"/>
      <c r="M185" s="422">
        <f t="shared" si="112"/>
        <v>54</v>
      </c>
      <c r="N185" s="422">
        <f t="shared" si="123"/>
        <v>-35.7142857142857</v>
      </c>
      <c r="O185" s="257"/>
    </row>
    <row r="186" s="54" customFormat="1" ht="25" customHeight="1" spans="1:15">
      <c r="A186" s="421">
        <v>2080111</v>
      </c>
      <c r="B186" s="142" t="s">
        <v>223</v>
      </c>
      <c r="C186" s="422">
        <v>118.38</v>
      </c>
      <c r="D186" s="422">
        <v>0</v>
      </c>
      <c r="E186" s="422">
        <f t="shared" si="111"/>
        <v>118.38</v>
      </c>
      <c r="F186" s="422">
        <v>-1.0224</v>
      </c>
      <c r="G186" s="422"/>
      <c r="H186" s="422"/>
      <c r="I186" s="422"/>
      <c r="J186" s="422">
        <f t="shared" si="125"/>
        <v>0</v>
      </c>
      <c r="K186" s="422">
        <f t="shared" si="126"/>
        <v>117.3576</v>
      </c>
      <c r="L186" s="422"/>
      <c r="M186" s="422">
        <f t="shared" si="112"/>
        <v>117.3576</v>
      </c>
      <c r="N186" s="422">
        <f t="shared" si="123"/>
        <v>-0.863659401926005</v>
      </c>
      <c r="O186" s="257"/>
    </row>
    <row r="187" s="54" customFormat="1" ht="25" customHeight="1" spans="1:15">
      <c r="A187" s="421">
        <v>2080199</v>
      </c>
      <c r="B187" s="142" t="s">
        <v>224</v>
      </c>
      <c r="C187" s="422">
        <v>155.92</v>
      </c>
      <c r="D187" s="422">
        <v>-68</v>
      </c>
      <c r="E187" s="422">
        <f t="shared" si="111"/>
        <v>87.92</v>
      </c>
      <c r="F187" s="422">
        <v>-3.12584</v>
      </c>
      <c r="G187" s="422"/>
      <c r="H187" s="422"/>
      <c r="I187" s="422"/>
      <c r="J187" s="422">
        <f t="shared" si="125"/>
        <v>-0.170000000000002</v>
      </c>
      <c r="K187" s="422">
        <f t="shared" si="126"/>
        <v>152.79416</v>
      </c>
      <c r="L187" s="422">
        <v>-68.17</v>
      </c>
      <c r="M187" s="422">
        <f t="shared" si="112"/>
        <v>84.62416</v>
      </c>
      <c r="N187" s="422">
        <f t="shared" si="123"/>
        <v>-3.74868061874433</v>
      </c>
      <c r="O187" s="257"/>
    </row>
    <row r="188" s="54" customFormat="1" ht="25" customHeight="1" spans="1:15">
      <c r="A188" s="421">
        <v>20802</v>
      </c>
      <c r="B188" s="142" t="s">
        <v>225</v>
      </c>
      <c r="C188" s="422">
        <f t="shared" ref="C188:L188" si="129">C189+C190+C191+C192+C193</f>
        <v>326.23</v>
      </c>
      <c r="D188" s="422">
        <f t="shared" si="129"/>
        <v>16</v>
      </c>
      <c r="E188" s="422">
        <f t="shared" si="111"/>
        <v>342.23</v>
      </c>
      <c r="F188" s="422">
        <f t="shared" si="129"/>
        <v>-68.68911</v>
      </c>
      <c r="G188" s="422">
        <f t="shared" si="129"/>
        <v>0</v>
      </c>
      <c r="H188" s="422">
        <f t="shared" si="129"/>
        <v>0</v>
      </c>
      <c r="I188" s="422">
        <f t="shared" si="129"/>
        <v>8</v>
      </c>
      <c r="J188" s="422">
        <f t="shared" si="129"/>
        <v>0</v>
      </c>
      <c r="K188" s="422">
        <f t="shared" si="129"/>
        <v>265.54089</v>
      </c>
      <c r="L188" s="422">
        <f t="shared" si="129"/>
        <v>16</v>
      </c>
      <c r="M188" s="422">
        <f t="shared" si="112"/>
        <v>281.54089</v>
      </c>
      <c r="N188" s="422">
        <f t="shared" si="123"/>
        <v>-17.7334278117056</v>
      </c>
      <c r="O188" s="257"/>
    </row>
    <row r="189" s="54" customFormat="1" ht="25" customHeight="1" spans="1:15">
      <c r="A189" s="421">
        <v>2080201</v>
      </c>
      <c r="B189" s="142" t="s">
        <v>70</v>
      </c>
      <c r="C189" s="422">
        <v>206.58</v>
      </c>
      <c r="D189" s="422">
        <v>0</v>
      </c>
      <c r="E189" s="422">
        <f t="shared" si="111"/>
        <v>206.58</v>
      </c>
      <c r="F189" s="422">
        <v>-1.91436</v>
      </c>
      <c r="G189" s="422">
        <v>0</v>
      </c>
      <c r="H189" s="422">
        <v>0</v>
      </c>
      <c r="I189" s="422"/>
      <c r="J189" s="422">
        <f t="shared" ref="J189:J193" si="130">L189-D189</f>
        <v>0</v>
      </c>
      <c r="K189" s="422">
        <f t="shared" ref="K189:K193" si="131">C189+F189+G189+H189+I189</f>
        <v>204.66564</v>
      </c>
      <c r="L189" s="422"/>
      <c r="M189" s="422">
        <f t="shared" si="112"/>
        <v>204.66564</v>
      </c>
      <c r="N189" s="422">
        <f t="shared" si="123"/>
        <v>-0.926691838512919</v>
      </c>
      <c r="O189" s="257"/>
    </row>
    <row r="190" s="54" customFormat="1" ht="25" customHeight="1" spans="1:15">
      <c r="A190" s="421">
        <v>2080206</v>
      </c>
      <c r="B190" s="142" t="s">
        <v>226</v>
      </c>
      <c r="C190" s="422">
        <v>12</v>
      </c>
      <c r="D190" s="422">
        <v>0</v>
      </c>
      <c r="E190" s="422">
        <f t="shared" si="111"/>
        <v>12</v>
      </c>
      <c r="F190" s="422"/>
      <c r="G190" s="422"/>
      <c r="H190" s="422"/>
      <c r="I190" s="422"/>
      <c r="J190" s="422">
        <f t="shared" si="130"/>
        <v>0</v>
      </c>
      <c r="K190" s="422">
        <f t="shared" si="131"/>
        <v>12</v>
      </c>
      <c r="L190" s="422"/>
      <c r="M190" s="422">
        <f t="shared" si="112"/>
        <v>12</v>
      </c>
      <c r="N190" s="422">
        <f t="shared" si="123"/>
        <v>0</v>
      </c>
      <c r="O190" s="257"/>
    </row>
    <row r="191" s="54" customFormat="1" ht="35" customHeight="1" spans="1:15">
      <c r="A191" s="421">
        <v>2080207</v>
      </c>
      <c r="B191" s="142" t="s">
        <v>227</v>
      </c>
      <c r="C191" s="422">
        <v>60.72</v>
      </c>
      <c r="D191" s="422">
        <v>0</v>
      </c>
      <c r="E191" s="422">
        <f t="shared" si="111"/>
        <v>60.72</v>
      </c>
      <c r="F191" s="422">
        <v>-58.72</v>
      </c>
      <c r="G191" s="422"/>
      <c r="H191" s="422"/>
      <c r="I191" s="422"/>
      <c r="J191" s="422">
        <f t="shared" si="130"/>
        <v>0</v>
      </c>
      <c r="K191" s="422">
        <f t="shared" si="131"/>
        <v>2</v>
      </c>
      <c r="L191" s="422"/>
      <c r="M191" s="422">
        <f t="shared" si="112"/>
        <v>2</v>
      </c>
      <c r="N191" s="422">
        <f t="shared" si="123"/>
        <v>-96.7061923583663</v>
      </c>
      <c r="O191" s="257" t="s">
        <v>228</v>
      </c>
    </row>
    <row r="192" s="54" customFormat="1" ht="25" customHeight="1" spans="1:15">
      <c r="A192" s="421">
        <v>2080208</v>
      </c>
      <c r="B192" s="142" t="s">
        <v>229</v>
      </c>
      <c r="C192" s="422">
        <v>13</v>
      </c>
      <c r="D192" s="422">
        <v>0</v>
      </c>
      <c r="E192" s="422">
        <f t="shared" si="111"/>
        <v>13</v>
      </c>
      <c r="F192" s="422">
        <v>-6.0655</v>
      </c>
      <c r="G192" s="422"/>
      <c r="H192" s="422"/>
      <c r="I192" s="422"/>
      <c r="J192" s="422">
        <f t="shared" si="130"/>
        <v>0</v>
      </c>
      <c r="K192" s="422">
        <f t="shared" si="131"/>
        <v>6.9345</v>
      </c>
      <c r="L192" s="422"/>
      <c r="M192" s="422">
        <f t="shared" si="112"/>
        <v>6.9345</v>
      </c>
      <c r="N192" s="422">
        <f t="shared" si="123"/>
        <v>-46.6576923076923</v>
      </c>
      <c r="O192" s="257"/>
    </row>
    <row r="193" s="54" customFormat="1" ht="25" customHeight="1" spans="1:15">
      <c r="A193" s="421">
        <v>2080299</v>
      </c>
      <c r="B193" s="142" t="s">
        <v>230</v>
      </c>
      <c r="C193" s="422">
        <v>33.93</v>
      </c>
      <c r="D193" s="422">
        <v>16</v>
      </c>
      <c r="E193" s="422">
        <f t="shared" si="111"/>
        <v>49.93</v>
      </c>
      <c r="F193" s="422">
        <v>-1.98925</v>
      </c>
      <c r="G193" s="422"/>
      <c r="H193" s="422"/>
      <c r="I193" s="422">
        <v>8</v>
      </c>
      <c r="J193" s="422">
        <f t="shared" si="130"/>
        <v>0</v>
      </c>
      <c r="K193" s="422">
        <f t="shared" si="131"/>
        <v>39.94075</v>
      </c>
      <c r="L193" s="422">
        <v>16</v>
      </c>
      <c r="M193" s="422">
        <f t="shared" si="112"/>
        <v>55.94075</v>
      </c>
      <c r="N193" s="422">
        <f t="shared" si="123"/>
        <v>12.0383536951732</v>
      </c>
      <c r="O193" s="257"/>
    </row>
    <row r="194" s="54" customFormat="1" ht="25" customHeight="1" spans="1:15">
      <c r="A194" s="421">
        <v>20805</v>
      </c>
      <c r="B194" s="142" t="s">
        <v>231</v>
      </c>
      <c r="C194" s="422">
        <f t="shared" ref="C194:L194" si="132">C195+C196+C197+C198+C199+C200</f>
        <v>16067.03</v>
      </c>
      <c r="D194" s="422">
        <f t="shared" si="132"/>
        <v>0</v>
      </c>
      <c r="E194" s="422">
        <f t="shared" si="111"/>
        <v>16067.03</v>
      </c>
      <c r="F194" s="422">
        <f t="shared" si="132"/>
        <v>-1565.06292</v>
      </c>
      <c r="G194" s="422">
        <f t="shared" si="132"/>
        <v>0</v>
      </c>
      <c r="H194" s="422">
        <f t="shared" si="132"/>
        <v>0</v>
      </c>
      <c r="I194" s="422">
        <f t="shared" si="132"/>
        <v>86.05</v>
      </c>
      <c r="J194" s="422">
        <f t="shared" si="132"/>
        <v>0</v>
      </c>
      <c r="K194" s="422">
        <f t="shared" si="132"/>
        <v>14588.01708</v>
      </c>
      <c r="L194" s="422">
        <f t="shared" si="132"/>
        <v>0</v>
      </c>
      <c r="M194" s="422">
        <f t="shared" si="112"/>
        <v>14588.01708</v>
      </c>
      <c r="N194" s="422">
        <f t="shared" si="123"/>
        <v>-9.20526643692082</v>
      </c>
      <c r="O194" s="257"/>
    </row>
    <row r="195" s="54" customFormat="1" ht="25" customHeight="1" spans="1:15">
      <c r="A195" s="421">
        <v>2080501</v>
      </c>
      <c r="B195" s="142" t="s">
        <v>232</v>
      </c>
      <c r="C195" s="422">
        <v>1211.94</v>
      </c>
      <c r="D195" s="422"/>
      <c r="E195" s="422">
        <f t="shared" si="111"/>
        <v>1211.94</v>
      </c>
      <c r="F195" s="422">
        <v>-0.5352</v>
      </c>
      <c r="G195" s="422"/>
      <c r="H195" s="422"/>
      <c r="I195" s="422">
        <v>3.37</v>
      </c>
      <c r="J195" s="422">
        <f t="shared" ref="J195:J200" si="133">L195-D195</f>
        <v>0</v>
      </c>
      <c r="K195" s="422">
        <f t="shared" ref="K195:K200" si="134">C195+F195+G195+H195+I195</f>
        <v>1214.7748</v>
      </c>
      <c r="L195" s="422"/>
      <c r="M195" s="422">
        <f t="shared" si="112"/>
        <v>1214.7748</v>
      </c>
      <c r="N195" s="422">
        <f t="shared" si="123"/>
        <v>0.233905968942345</v>
      </c>
      <c r="O195" s="257"/>
    </row>
    <row r="196" s="54" customFormat="1" ht="25" customHeight="1" spans="1:15">
      <c r="A196" s="421">
        <v>2080502</v>
      </c>
      <c r="B196" s="142" t="s">
        <v>233</v>
      </c>
      <c r="C196" s="422">
        <v>899.74</v>
      </c>
      <c r="D196" s="422"/>
      <c r="E196" s="422">
        <f t="shared" si="111"/>
        <v>899.74</v>
      </c>
      <c r="F196" s="422">
        <v>-37.014206</v>
      </c>
      <c r="G196" s="422"/>
      <c r="H196" s="422"/>
      <c r="I196" s="422">
        <v>-47.64</v>
      </c>
      <c r="J196" s="422">
        <f t="shared" si="133"/>
        <v>0</v>
      </c>
      <c r="K196" s="422">
        <f t="shared" si="134"/>
        <v>815.085794</v>
      </c>
      <c r="L196" s="422"/>
      <c r="M196" s="422">
        <f t="shared" si="112"/>
        <v>815.085794</v>
      </c>
      <c r="N196" s="422">
        <f t="shared" si="123"/>
        <v>-9.40874096961345</v>
      </c>
      <c r="O196" s="257"/>
    </row>
    <row r="197" s="54" customFormat="1" ht="25" customHeight="1" spans="1:15">
      <c r="A197" s="421">
        <v>2080503</v>
      </c>
      <c r="B197" s="142" t="s">
        <v>234</v>
      </c>
      <c r="C197" s="422">
        <v>78.18</v>
      </c>
      <c r="D197" s="422"/>
      <c r="E197" s="422">
        <f t="shared" si="111"/>
        <v>78.18</v>
      </c>
      <c r="F197" s="422">
        <v>-0.512</v>
      </c>
      <c r="G197" s="422"/>
      <c r="H197" s="422"/>
      <c r="I197" s="422">
        <v>1</v>
      </c>
      <c r="J197" s="422">
        <f t="shared" si="133"/>
        <v>0</v>
      </c>
      <c r="K197" s="422">
        <f t="shared" si="134"/>
        <v>78.668</v>
      </c>
      <c r="L197" s="422"/>
      <c r="M197" s="422">
        <f t="shared" si="112"/>
        <v>78.668</v>
      </c>
      <c r="N197" s="422">
        <f t="shared" si="123"/>
        <v>0.624200562803786</v>
      </c>
      <c r="O197" s="257"/>
    </row>
    <row r="198" s="54" customFormat="1" ht="25" customHeight="1" spans="1:15">
      <c r="A198" s="421">
        <v>2080505</v>
      </c>
      <c r="B198" s="142" t="s">
        <v>235</v>
      </c>
      <c r="C198" s="422">
        <v>1837.15</v>
      </c>
      <c r="D198" s="422"/>
      <c r="E198" s="422">
        <f t="shared" si="111"/>
        <v>1837.15</v>
      </c>
      <c r="F198" s="422">
        <v>-28.71393</v>
      </c>
      <c r="G198" s="422"/>
      <c r="H198" s="422"/>
      <c r="I198" s="422">
        <v>86.15</v>
      </c>
      <c r="J198" s="422">
        <f t="shared" si="133"/>
        <v>0</v>
      </c>
      <c r="K198" s="422">
        <f t="shared" si="134"/>
        <v>1894.58607</v>
      </c>
      <c r="L198" s="422"/>
      <c r="M198" s="422">
        <f t="shared" si="112"/>
        <v>1894.58607</v>
      </c>
      <c r="N198" s="422">
        <f t="shared" si="123"/>
        <v>3.12636801567647</v>
      </c>
      <c r="O198" s="257"/>
    </row>
    <row r="199" s="54" customFormat="1" ht="25" customHeight="1" spans="1:15">
      <c r="A199" s="421">
        <v>2080506</v>
      </c>
      <c r="B199" s="142" t="s">
        <v>236</v>
      </c>
      <c r="C199" s="422">
        <v>7240.02</v>
      </c>
      <c r="D199" s="422"/>
      <c r="E199" s="422">
        <f t="shared" si="111"/>
        <v>7240.02</v>
      </c>
      <c r="F199" s="422">
        <v>-771.197584</v>
      </c>
      <c r="G199" s="422"/>
      <c r="H199" s="422"/>
      <c r="I199" s="422">
        <v>43.17</v>
      </c>
      <c r="J199" s="422">
        <f t="shared" si="133"/>
        <v>0</v>
      </c>
      <c r="K199" s="422">
        <f t="shared" si="134"/>
        <v>6511.992416</v>
      </c>
      <c r="L199" s="422"/>
      <c r="M199" s="422">
        <f t="shared" si="112"/>
        <v>6511.992416</v>
      </c>
      <c r="N199" s="422">
        <f t="shared" si="123"/>
        <v>-10.055601835354</v>
      </c>
      <c r="O199" s="257" t="s">
        <v>237</v>
      </c>
    </row>
    <row r="200" s="54" customFormat="1" ht="35" customHeight="1" spans="1:15">
      <c r="A200" s="421">
        <v>2080507</v>
      </c>
      <c r="B200" s="142" t="s">
        <v>238</v>
      </c>
      <c r="C200" s="422">
        <v>4800</v>
      </c>
      <c r="D200" s="422"/>
      <c r="E200" s="422">
        <f t="shared" si="111"/>
        <v>4800</v>
      </c>
      <c r="F200" s="422">
        <v>-727.09</v>
      </c>
      <c r="G200" s="422"/>
      <c r="H200" s="422"/>
      <c r="I200" s="422"/>
      <c r="J200" s="422">
        <f t="shared" si="133"/>
        <v>0</v>
      </c>
      <c r="K200" s="422">
        <f t="shared" si="134"/>
        <v>4072.91</v>
      </c>
      <c r="L200" s="422"/>
      <c r="M200" s="422">
        <f t="shared" si="112"/>
        <v>4072.91</v>
      </c>
      <c r="N200" s="422">
        <f t="shared" si="123"/>
        <v>-15.1477083333333</v>
      </c>
      <c r="O200" s="257" t="s">
        <v>239</v>
      </c>
    </row>
    <row r="201" s="54" customFormat="1" ht="25" customHeight="1" spans="1:15">
      <c r="A201" s="421">
        <v>20807</v>
      </c>
      <c r="B201" s="142" t="s">
        <v>240</v>
      </c>
      <c r="C201" s="422">
        <f t="shared" ref="C201:L201" si="135">C203+C202</f>
        <v>60.43</v>
      </c>
      <c r="D201" s="422">
        <f t="shared" si="135"/>
        <v>230</v>
      </c>
      <c r="E201" s="422">
        <f t="shared" si="111"/>
        <v>290.43</v>
      </c>
      <c r="F201" s="422">
        <f t="shared" si="135"/>
        <v>7.4083</v>
      </c>
      <c r="G201" s="422">
        <f t="shared" si="135"/>
        <v>0</v>
      </c>
      <c r="H201" s="422">
        <f t="shared" si="135"/>
        <v>0</v>
      </c>
      <c r="I201" s="422">
        <f t="shared" si="135"/>
        <v>0</v>
      </c>
      <c r="J201" s="422">
        <f t="shared" si="135"/>
        <v>0</v>
      </c>
      <c r="K201" s="422">
        <f t="shared" si="135"/>
        <v>67.8383</v>
      </c>
      <c r="L201" s="422">
        <f t="shared" si="135"/>
        <v>230</v>
      </c>
      <c r="M201" s="422">
        <f t="shared" si="112"/>
        <v>297.8383</v>
      </c>
      <c r="N201" s="422">
        <f t="shared" si="123"/>
        <v>2.55080398030506</v>
      </c>
      <c r="O201" s="257"/>
    </row>
    <row r="202" s="54" customFormat="1" ht="25" customHeight="1" spans="1:15">
      <c r="A202" s="421">
        <v>2080701</v>
      </c>
      <c r="B202" s="142" t="s">
        <v>241</v>
      </c>
      <c r="C202" s="422"/>
      <c r="D202" s="422">
        <v>130</v>
      </c>
      <c r="E202" s="422">
        <f t="shared" si="111"/>
        <v>130</v>
      </c>
      <c r="F202" s="422"/>
      <c r="G202" s="422"/>
      <c r="H202" s="422"/>
      <c r="I202" s="422"/>
      <c r="J202" s="422">
        <f t="shared" ref="J202:J209" si="136">L202-D202</f>
        <v>0</v>
      </c>
      <c r="K202" s="422">
        <f t="shared" ref="K202:K209" si="137">C202+F202+G202+H202+I202</f>
        <v>0</v>
      </c>
      <c r="L202" s="423">
        <v>130</v>
      </c>
      <c r="M202" s="422">
        <f t="shared" si="112"/>
        <v>130</v>
      </c>
      <c r="N202" s="422">
        <v>100</v>
      </c>
      <c r="O202" s="257"/>
    </row>
    <row r="203" s="54" customFormat="1" ht="25" customHeight="1" spans="1:15">
      <c r="A203" s="421">
        <v>2080799</v>
      </c>
      <c r="B203" s="142" t="s">
        <v>242</v>
      </c>
      <c r="C203" s="422">
        <v>60.43</v>
      </c>
      <c r="D203" s="422">
        <v>100</v>
      </c>
      <c r="E203" s="422">
        <f t="shared" si="111"/>
        <v>160.43</v>
      </c>
      <c r="F203" s="422">
        <v>7.4083</v>
      </c>
      <c r="G203" s="422"/>
      <c r="H203" s="422"/>
      <c r="I203" s="422"/>
      <c r="J203" s="422">
        <f t="shared" si="136"/>
        <v>0</v>
      </c>
      <c r="K203" s="422">
        <f t="shared" si="137"/>
        <v>67.8383</v>
      </c>
      <c r="L203" s="422">
        <v>100</v>
      </c>
      <c r="M203" s="422">
        <f t="shared" si="112"/>
        <v>167.8383</v>
      </c>
      <c r="N203" s="422">
        <f t="shared" ref="N203:N211" si="138">(M203-E203)/E203*100</f>
        <v>4.61777722371127</v>
      </c>
      <c r="O203" s="257"/>
    </row>
    <row r="204" s="54" customFormat="1" ht="25" customHeight="1" spans="1:15">
      <c r="A204" s="421">
        <v>20808</v>
      </c>
      <c r="B204" s="142" t="s">
        <v>243</v>
      </c>
      <c r="C204" s="422">
        <f t="shared" ref="C204:L204" si="139">C205+C206+C207+C208+C209</f>
        <v>705.01</v>
      </c>
      <c r="D204" s="422">
        <f t="shared" si="139"/>
        <v>862</v>
      </c>
      <c r="E204" s="422">
        <f t="shared" si="111"/>
        <v>1567.01</v>
      </c>
      <c r="F204" s="422">
        <f t="shared" si="139"/>
        <v>-30</v>
      </c>
      <c r="G204" s="422">
        <f t="shared" si="139"/>
        <v>0</v>
      </c>
      <c r="H204" s="422">
        <f t="shared" si="139"/>
        <v>0</v>
      </c>
      <c r="I204" s="422">
        <f t="shared" si="139"/>
        <v>17.51</v>
      </c>
      <c r="J204" s="422">
        <f t="shared" si="139"/>
        <v>32.41</v>
      </c>
      <c r="K204" s="422">
        <f t="shared" si="139"/>
        <v>692.52</v>
      </c>
      <c r="L204" s="422">
        <f t="shared" si="139"/>
        <v>894.41</v>
      </c>
      <c r="M204" s="422">
        <f t="shared" si="112"/>
        <v>1586.93</v>
      </c>
      <c r="N204" s="422">
        <f t="shared" si="138"/>
        <v>1.27121077721264</v>
      </c>
      <c r="O204" s="257"/>
    </row>
    <row r="205" s="54" customFormat="1" ht="25" customHeight="1" spans="1:15">
      <c r="A205" s="421">
        <v>2080801</v>
      </c>
      <c r="B205" s="142" t="s">
        <v>244</v>
      </c>
      <c r="C205" s="422">
        <v>420.01</v>
      </c>
      <c r="D205" s="422">
        <v>0</v>
      </c>
      <c r="E205" s="422">
        <f t="shared" si="111"/>
        <v>420.01</v>
      </c>
      <c r="F205" s="422">
        <v>-30</v>
      </c>
      <c r="G205" s="422"/>
      <c r="H205" s="422"/>
      <c r="I205" s="422">
        <v>17.51</v>
      </c>
      <c r="J205" s="422">
        <f t="shared" si="136"/>
        <v>0</v>
      </c>
      <c r="K205" s="422">
        <f t="shared" si="137"/>
        <v>407.52</v>
      </c>
      <c r="L205" s="422"/>
      <c r="M205" s="422">
        <f t="shared" si="112"/>
        <v>407.52</v>
      </c>
      <c r="N205" s="422">
        <f t="shared" si="138"/>
        <v>-2.97373872050666</v>
      </c>
      <c r="O205" s="257"/>
    </row>
    <row r="206" s="54" customFormat="1" ht="25" customHeight="1" spans="1:15">
      <c r="A206" s="421">
        <v>2080803</v>
      </c>
      <c r="B206" s="142" t="s">
        <v>245</v>
      </c>
      <c r="C206" s="422">
        <v>20</v>
      </c>
      <c r="D206" s="422">
        <v>71</v>
      </c>
      <c r="E206" s="422">
        <f t="shared" si="111"/>
        <v>91</v>
      </c>
      <c r="F206" s="422"/>
      <c r="G206" s="422"/>
      <c r="H206" s="422"/>
      <c r="I206" s="422"/>
      <c r="J206" s="422">
        <f t="shared" si="136"/>
        <v>31.84</v>
      </c>
      <c r="K206" s="422">
        <f t="shared" si="137"/>
        <v>20</v>
      </c>
      <c r="L206" s="422">
        <v>102.84</v>
      </c>
      <c r="M206" s="422">
        <f t="shared" si="112"/>
        <v>122.84</v>
      </c>
      <c r="N206" s="422">
        <f t="shared" si="138"/>
        <v>34.989010989011</v>
      </c>
      <c r="O206" s="257"/>
    </row>
    <row r="207" s="54" customFormat="1" ht="25" customHeight="1" spans="1:15">
      <c r="A207" s="421">
        <v>2080805</v>
      </c>
      <c r="B207" s="142" t="s">
        <v>246</v>
      </c>
      <c r="C207" s="422">
        <v>225</v>
      </c>
      <c r="D207" s="422">
        <v>61</v>
      </c>
      <c r="E207" s="422">
        <f t="shared" si="111"/>
        <v>286</v>
      </c>
      <c r="F207" s="422"/>
      <c r="G207" s="422"/>
      <c r="H207" s="422"/>
      <c r="I207" s="422"/>
      <c r="J207" s="422">
        <f t="shared" si="136"/>
        <v>0.289999999999999</v>
      </c>
      <c r="K207" s="422">
        <f t="shared" si="137"/>
        <v>225</v>
      </c>
      <c r="L207" s="422">
        <v>61.29</v>
      </c>
      <c r="M207" s="422">
        <f t="shared" si="112"/>
        <v>286.29</v>
      </c>
      <c r="N207" s="422">
        <f t="shared" si="138"/>
        <v>0.101398601398609</v>
      </c>
      <c r="O207" s="257"/>
    </row>
    <row r="208" s="54" customFormat="1" ht="25" customHeight="1" spans="1:15">
      <c r="A208" s="421">
        <v>2080806</v>
      </c>
      <c r="B208" s="142" t="s">
        <v>247</v>
      </c>
      <c r="C208" s="422">
        <v>40</v>
      </c>
      <c r="D208" s="422">
        <v>0</v>
      </c>
      <c r="E208" s="422">
        <f t="shared" si="111"/>
        <v>40</v>
      </c>
      <c r="F208" s="422"/>
      <c r="G208" s="422"/>
      <c r="H208" s="422"/>
      <c r="I208" s="422"/>
      <c r="J208" s="422">
        <f t="shared" si="136"/>
        <v>0</v>
      </c>
      <c r="K208" s="422">
        <f t="shared" si="137"/>
        <v>40</v>
      </c>
      <c r="L208" s="422"/>
      <c r="M208" s="422">
        <f t="shared" si="112"/>
        <v>40</v>
      </c>
      <c r="N208" s="422">
        <f t="shared" si="138"/>
        <v>0</v>
      </c>
      <c r="O208" s="257"/>
    </row>
    <row r="209" s="54" customFormat="1" ht="25" customHeight="1" spans="1:15">
      <c r="A209" s="421">
        <v>2080899</v>
      </c>
      <c r="B209" s="142" t="s">
        <v>248</v>
      </c>
      <c r="C209" s="422"/>
      <c r="D209" s="422">
        <v>730</v>
      </c>
      <c r="E209" s="422">
        <f t="shared" si="111"/>
        <v>730</v>
      </c>
      <c r="F209" s="422"/>
      <c r="G209" s="422"/>
      <c r="H209" s="422"/>
      <c r="I209" s="422"/>
      <c r="J209" s="422">
        <f t="shared" si="136"/>
        <v>0.279999999999973</v>
      </c>
      <c r="K209" s="422">
        <f t="shared" si="137"/>
        <v>0</v>
      </c>
      <c r="L209" s="423">
        <v>730.28</v>
      </c>
      <c r="M209" s="422">
        <f t="shared" si="112"/>
        <v>730.28</v>
      </c>
      <c r="N209" s="422">
        <f t="shared" si="138"/>
        <v>0.0383561643835579</v>
      </c>
      <c r="O209" s="257"/>
    </row>
    <row r="210" s="54" customFormat="1" ht="25" customHeight="1" spans="1:15">
      <c r="A210" s="421">
        <v>20809</v>
      </c>
      <c r="B210" s="142" t="s">
        <v>249</v>
      </c>
      <c r="C210" s="422">
        <f t="shared" ref="C210:L210" si="140">C211+C213+C215+C212+C214+C216</f>
        <v>567.22</v>
      </c>
      <c r="D210" s="422">
        <f t="shared" si="140"/>
        <v>1293.5</v>
      </c>
      <c r="E210" s="422">
        <f t="shared" si="111"/>
        <v>1860.72</v>
      </c>
      <c r="F210" s="422">
        <f t="shared" si="140"/>
        <v>-250</v>
      </c>
      <c r="G210" s="422">
        <f t="shared" si="140"/>
        <v>0</v>
      </c>
      <c r="H210" s="422">
        <f t="shared" si="140"/>
        <v>0</v>
      </c>
      <c r="I210" s="422">
        <f t="shared" si="140"/>
        <v>84.36</v>
      </c>
      <c r="J210" s="422">
        <f t="shared" si="140"/>
        <v>0.570000000000046</v>
      </c>
      <c r="K210" s="422">
        <f t="shared" si="140"/>
        <v>401.58</v>
      </c>
      <c r="L210" s="422">
        <f t="shared" si="140"/>
        <v>1294.07</v>
      </c>
      <c r="M210" s="422">
        <f t="shared" si="112"/>
        <v>1695.65</v>
      </c>
      <c r="N210" s="422">
        <f t="shared" si="138"/>
        <v>-8.87129713229287</v>
      </c>
      <c r="O210" s="257"/>
    </row>
    <row r="211" s="54" customFormat="1" ht="25" customHeight="1" spans="1:15">
      <c r="A211" s="421">
        <v>2080901</v>
      </c>
      <c r="B211" s="142" t="s">
        <v>250</v>
      </c>
      <c r="C211" s="422">
        <v>92</v>
      </c>
      <c r="D211" s="422">
        <v>105.5</v>
      </c>
      <c r="E211" s="422">
        <f t="shared" si="111"/>
        <v>197.5</v>
      </c>
      <c r="F211" s="422"/>
      <c r="G211" s="422"/>
      <c r="H211" s="422">
        <v>0</v>
      </c>
      <c r="I211" s="422">
        <v>72.04</v>
      </c>
      <c r="J211" s="422">
        <f t="shared" ref="J211:J216" si="141">L211-D211</f>
        <v>-0.5</v>
      </c>
      <c r="K211" s="422">
        <f t="shared" ref="K211:K216" si="142">C211+F211+G211+H211+I211</f>
        <v>164.04</v>
      </c>
      <c r="L211" s="422">
        <v>105</v>
      </c>
      <c r="M211" s="422">
        <f t="shared" si="112"/>
        <v>269.04</v>
      </c>
      <c r="N211" s="422">
        <f t="shared" si="138"/>
        <v>36.2227848101266</v>
      </c>
      <c r="O211" s="257"/>
    </row>
    <row r="212" s="54" customFormat="1" ht="25" customHeight="1" spans="1:15">
      <c r="A212" s="421">
        <v>2080902</v>
      </c>
      <c r="B212" s="142" t="s">
        <v>251</v>
      </c>
      <c r="C212" s="422"/>
      <c r="D212" s="422">
        <v>1</v>
      </c>
      <c r="E212" s="422">
        <f t="shared" si="111"/>
        <v>1</v>
      </c>
      <c r="F212" s="422"/>
      <c r="G212" s="422"/>
      <c r="H212" s="422"/>
      <c r="I212" s="422"/>
      <c r="J212" s="422">
        <f t="shared" si="141"/>
        <v>0.14</v>
      </c>
      <c r="K212" s="422">
        <f t="shared" si="142"/>
        <v>0</v>
      </c>
      <c r="L212" s="422">
        <v>1.14</v>
      </c>
      <c r="M212" s="422">
        <f t="shared" si="112"/>
        <v>1.14</v>
      </c>
      <c r="N212" s="422">
        <v>100</v>
      </c>
      <c r="O212" s="257"/>
    </row>
    <row r="213" s="54" customFormat="1" ht="25" customHeight="1" spans="1:15">
      <c r="A213" s="421">
        <v>2080903</v>
      </c>
      <c r="B213" s="142" t="s">
        <v>252</v>
      </c>
      <c r="C213" s="422">
        <v>4.9</v>
      </c>
      <c r="D213" s="422">
        <v>0</v>
      </c>
      <c r="E213" s="422">
        <f t="shared" si="111"/>
        <v>4.9</v>
      </c>
      <c r="F213" s="422"/>
      <c r="G213" s="422"/>
      <c r="H213" s="422">
        <v>0</v>
      </c>
      <c r="I213" s="422">
        <v>0</v>
      </c>
      <c r="J213" s="422">
        <f t="shared" si="141"/>
        <v>0</v>
      </c>
      <c r="K213" s="422">
        <f t="shared" si="142"/>
        <v>4.9</v>
      </c>
      <c r="L213" s="422"/>
      <c r="M213" s="422">
        <f t="shared" si="112"/>
        <v>4.9</v>
      </c>
      <c r="N213" s="422">
        <f t="shared" ref="N213:N224" si="143">(M213-E213)/E213*100</f>
        <v>0</v>
      </c>
      <c r="O213" s="257"/>
    </row>
    <row r="214" s="54" customFormat="1" ht="25" customHeight="1" spans="1:15">
      <c r="A214" s="421">
        <v>2080904</v>
      </c>
      <c r="B214" s="142" t="s">
        <v>253</v>
      </c>
      <c r="C214" s="422"/>
      <c r="D214" s="422">
        <v>13</v>
      </c>
      <c r="E214" s="422">
        <f t="shared" si="111"/>
        <v>13</v>
      </c>
      <c r="F214" s="422"/>
      <c r="G214" s="422"/>
      <c r="H214" s="422"/>
      <c r="I214" s="422"/>
      <c r="J214" s="422">
        <f t="shared" si="141"/>
        <v>0.4</v>
      </c>
      <c r="K214" s="422">
        <f t="shared" si="142"/>
        <v>0</v>
      </c>
      <c r="L214" s="423">
        <v>13.4</v>
      </c>
      <c r="M214" s="422">
        <f t="shared" si="112"/>
        <v>13.4</v>
      </c>
      <c r="N214" s="422">
        <f t="shared" si="143"/>
        <v>3.07692307692308</v>
      </c>
      <c r="O214" s="257"/>
    </row>
    <row r="215" s="54" customFormat="1" ht="25" customHeight="1" spans="1:15">
      <c r="A215" s="421">
        <v>2080905</v>
      </c>
      <c r="B215" s="142" t="s">
        <v>254</v>
      </c>
      <c r="C215" s="422">
        <v>470.32</v>
      </c>
      <c r="D215" s="422">
        <v>1</v>
      </c>
      <c r="E215" s="422">
        <f t="shared" si="111"/>
        <v>471.32</v>
      </c>
      <c r="F215" s="422"/>
      <c r="G215" s="422"/>
      <c r="H215" s="422">
        <v>0</v>
      </c>
      <c r="I215" s="422">
        <v>-399.43</v>
      </c>
      <c r="J215" s="422">
        <f t="shared" si="141"/>
        <v>0.33</v>
      </c>
      <c r="K215" s="422">
        <f t="shared" si="142"/>
        <v>70.89</v>
      </c>
      <c r="L215" s="422">
        <v>1.33</v>
      </c>
      <c r="M215" s="422">
        <f t="shared" si="112"/>
        <v>72.22</v>
      </c>
      <c r="N215" s="422">
        <f t="shared" si="143"/>
        <v>-84.6770771450395</v>
      </c>
      <c r="O215" s="257"/>
    </row>
    <row r="216" s="54" customFormat="1" ht="25" customHeight="1" spans="1:15">
      <c r="A216" s="421">
        <v>2080999</v>
      </c>
      <c r="B216" s="142" t="s">
        <v>255</v>
      </c>
      <c r="C216" s="422"/>
      <c r="D216" s="422">
        <v>1173</v>
      </c>
      <c r="E216" s="422">
        <f t="shared" si="111"/>
        <v>1173</v>
      </c>
      <c r="F216" s="422">
        <v>-250</v>
      </c>
      <c r="G216" s="422"/>
      <c r="H216" s="422"/>
      <c r="I216" s="422">
        <v>411.75</v>
      </c>
      <c r="J216" s="422">
        <f t="shared" si="141"/>
        <v>0.200000000000045</v>
      </c>
      <c r="K216" s="422">
        <f t="shared" si="142"/>
        <v>161.75</v>
      </c>
      <c r="L216" s="422">
        <v>1173.2</v>
      </c>
      <c r="M216" s="422">
        <f t="shared" si="112"/>
        <v>1334.95</v>
      </c>
      <c r="N216" s="422">
        <f t="shared" si="143"/>
        <v>13.8064791133845</v>
      </c>
      <c r="O216" s="257" t="s">
        <v>256</v>
      </c>
    </row>
    <row r="217" s="54" customFormat="1" ht="25" customHeight="1" spans="1:15">
      <c r="A217" s="421">
        <v>20810</v>
      </c>
      <c r="B217" s="142" t="s">
        <v>257</v>
      </c>
      <c r="C217" s="422">
        <f t="shared" ref="C217:L217" si="144">C218+C219+C220+C221</f>
        <v>549.08</v>
      </c>
      <c r="D217" s="422">
        <f t="shared" si="144"/>
        <v>246</v>
      </c>
      <c r="E217" s="422">
        <f t="shared" si="111"/>
        <v>795.08</v>
      </c>
      <c r="F217" s="422">
        <f t="shared" si="144"/>
        <v>-24.5152</v>
      </c>
      <c r="G217" s="422">
        <f t="shared" si="144"/>
        <v>0</v>
      </c>
      <c r="H217" s="422">
        <f t="shared" si="144"/>
        <v>0</v>
      </c>
      <c r="I217" s="422">
        <f t="shared" si="144"/>
        <v>0.8</v>
      </c>
      <c r="J217" s="422">
        <f t="shared" si="144"/>
        <v>-0.20000000000001</v>
      </c>
      <c r="K217" s="422">
        <f t="shared" si="144"/>
        <v>525.3648</v>
      </c>
      <c r="L217" s="422">
        <f t="shared" si="144"/>
        <v>245.8</v>
      </c>
      <c r="M217" s="422">
        <f t="shared" si="112"/>
        <v>771.1648</v>
      </c>
      <c r="N217" s="422">
        <f t="shared" si="143"/>
        <v>-3.0078985762439</v>
      </c>
      <c r="O217" s="257"/>
    </row>
    <row r="218" s="54" customFormat="1" ht="25" customHeight="1" spans="1:15">
      <c r="A218" s="421">
        <v>2081001</v>
      </c>
      <c r="B218" s="142" t="s">
        <v>258</v>
      </c>
      <c r="C218" s="422">
        <v>8.3</v>
      </c>
      <c r="D218" s="422">
        <v>2</v>
      </c>
      <c r="E218" s="422">
        <f t="shared" si="111"/>
        <v>10.3</v>
      </c>
      <c r="F218" s="422"/>
      <c r="G218" s="422"/>
      <c r="H218" s="422"/>
      <c r="I218" s="422"/>
      <c r="J218" s="422">
        <f t="shared" ref="J218:J221" si="145">L218-D218</f>
        <v>0</v>
      </c>
      <c r="K218" s="422">
        <f t="shared" ref="K218:K221" si="146">C218+F218+G218+H218+I218</f>
        <v>8.3</v>
      </c>
      <c r="L218" s="422">
        <v>2</v>
      </c>
      <c r="M218" s="422">
        <f t="shared" si="112"/>
        <v>10.3</v>
      </c>
      <c r="N218" s="422">
        <f t="shared" si="143"/>
        <v>0</v>
      </c>
      <c r="O218" s="429"/>
    </row>
    <row r="219" s="54" customFormat="1" ht="25" customHeight="1" spans="1:15">
      <c r="A219" s="421">
        <v>2081002</v>
      </c>
      <c r="B219" s="142" t="s">
        <v>259</v>
      </c>
      <c r="C219" s="422">
        <v>274</v>
      </c>
      <c r="D219" s="422">
        <v>109</v>
      </c>
      <c r="E219" s="422">
        <f t="shared" si="111"/>
        <v>383</v>
      </c>
      <c r="F219" s="422"/>
      <c r="G219" s="422"/>
      <c r="H219" s="422"/>
      <c r="I219" s="422"/>
      <c r="J219" s="422">
        <f t="shared" si="145"/>
        <v>0.219999999999999</v>
      </c>
      <c r="K219" s="422">
        <f t="shared" si="146"/>
        <v>274</v>
      </c>
      <c r="L219" s="422">
        <v>109.22</v>
      </c>
      <c r="M219" s="422">
        <f t="shared" si="112"/>
        <v>383.22</v>
      </c>
      <c r="N219" s="422">
        <f t="shared" si="143"/>
        <v>0.0574412532637147</v>
      </c>
      <c r="O219" s="429"/>
    </row>
    <row r="220" s="54" customFormat="1" ht="25" customHeight="1" spans="1:15">
      <c r="A220" s="421">
        <v>2081004</v>
      </c>
      <c r="B220" s="142" t="s">
        <v>260</v>
      </c>
      <c r="C220" s="422">
        <v>205.41</v>
      </c>
      <c r="D220" s="422">
        <v>62</v>
      </c>
      <c r="E220" s="422">
        <f t="shared" si="111"/>
        <v>267.41</v>
      </c>
      <c r="F220" s="422">
        <v>-21</v>
      </c>
      <c r="G220" s="422"/>
      <c r="H220" s="422"/>
      <c r="I220" s="422"/>
      <c r="J220" s="422">
        <f t="shared" si="145"/>
        <v>-0.0200000000000031</v>
      </c>
      <c r="K220" s="422">
        <f t="shared" si="146"/>
        <v>184.41</v>
      </c>
      <c r="L220" s="422">
        <v>61.98</v>
      </c>
      <c r="M220" s="422">
        <f t="shared" si="112"/>
        <v>246.39</v>
      </c>
      <c r="N220" s="422">
        <f t="shared" si="143"/>
        <v>-7.8605886092517</v>
      </c>
      <c r="O220" s="257" t="s">
        <v>261</v>
      </c>
    </row>
    <row r="221" s="54" customFormat="1" ht="25" customHeight="1" spans="1:15">
      <c r="A221" s="421">
        <v>2081005</v>
      </c>
      <c r="B221" s="142" t="s">
        <v>262</v>
      </c>
      <c r="C221" s="422">
        <v>61.37</v>
      </c>
      <c r="D221" s="422">
        <v>73</v>
      </c>
      <c r="E221" s="422">
        <f t="shared" si="111"/>
        <v>134.37</v>
      </c>
      <c r="F221" s="422">
        <v>-3.5152</v>
      </c>
      <c r="G221" s="422"/>
      <c r="H221" s="422"/>
      <c r="I221" s="422">
        <v>0.8</v>
      </c>
      <c r="J221" s="422">
        <f t="shared" si="145"/>
        <v>-0.400000000000006</v>
      </c>
      <c r="K221" s="422">
        <f t="shared" si="146"/>
        <v>58.6548</v>
      </c>
      <c r="L221" s="422">
        <v>72.6</v>
      </c>
      <c r="M221" s="422">
        <f t="shared" si="112"/>
        <v>131.2548</v>
      </c>
      <c r="N221" s="422">
        <f t="shared" si="143"/>
        <v>-2.31837463719581</v>
      </c>
      <c r="O221" s="257"/>
    </row>
    <row r="222" s="54" customFormat="1" ht="25" customHeight="1" spans="1:15">
      <c r="A222" s="421">
        <v>20811</v>
      </c>
      <c r="B222" s="142" t="s">
        <v>263</v>
      </c>
      <c r="C222" s="422">
        <f t="shared" ref="C222:L222" si="147">C223+C224+C226+C227+C225</f>
        <v>1033.63</v>
      </c>
      <c r="D222" s="422">
        <f t="shared" si="147"/>
        <v>1011.9</v>
      </c>
      <c r="E222" s="422">
        <f t="shared" si="111"/>
        <v>2045.53</v>
      </c>
      <c r="F222" s="422">
        <f t="shared" si="147"/>
        <v>-113.155</v>
      </c>
      <c r="G222" s="422">
        <f t="shared" si="147"/>
        <v>0</v>
      </c>
      <c r="H222" s="422">
        <f t="shared" si="147"/>
        <v>0</v>
      </c>
      <c r="I222" s="422">
        <f t="shared" si="147"/>
        <v>1.21</v>
      </c>
      <c r="J222" s="422">
        <f t="shared" si="147"/>
        <v>111.15</v>
      </c>
      <c r="K222" s="422">
        <f t="shared" si="147"/>
        <v>921.685</v>
      </c>
      <c r="L222" s="422">
        <f t="shared" si="147"/>
        <v>1123.05</v>
      </c>
      <c r="M222" s="422">
        <f t="shared" si="112"/>
        <v>2044.735</v>
      </c>
      <c r="N222" s="422">
        <f t="shared" si="143"/>
        <v>-0.0388652329714206</v>
      </c>
      <c r="O222" s="257"/>
    </row>
    <row r="223" s="54" customFormat="1" ht="25" customHeight="1" spans="1:15">
      <c r="A223" s="421">
        <v>2081101</v>
      </c>
      <c r="B223" s="142" t="s">
        <v>70</v>
      </c>
      <c r="C223" s="422">
        <v>176.5</v>
      </c>
      <c r="D223" s="422">
        <v>0</v>
      </c>
      <c r="E223" s="422">
        <f t="shared" si="111"/>
        <v>176.5</v>
      </c>
      <c r="F223" s="422">
        <v>-0.02</v>
      </c>
      <c r="G223" s="422"/>
      <c r="H223" s="422"/>
      <c r="I223" s="422">
        <v>1.21</v>
      </c>
      <c r="J223" s="422">
        <f t="shared" ref="J223:J227" si="148">L223-D223</f>
        <v>0</v>
      </c>
      <c r="K223" s="422">
        <f t="shared" ref="K223:K227" si="149">C223+F223+G223+H223+I223</f>
        <v>177.69</v>
      </c>
      <c r="L223" s="422"/>
      <c r="M223" s="422">
        <f t="shared" si="112"/>
        <v>177.69</v>
      </c>
      <c r="N223" s="422">
        <f t="shared" si="143"/>
        <v>0.674220963172803</v>
      </c>
      <c r="O223" s="257"/>
    </row>
    <row r="224" s="54" customFormat="1" ht="25" customHeight="1" spans="1:15">
      <c r="A224" s="421">
        <v>2081104</v>
      </c>
      <c r="B224" s="142" t="s">
        <v>264</v>
      </c>
      <c r="C224" s="422">
        <v>43.22</v>
      </c>
      <c r="D224" s="422">
        <v>0</v>
      </c>
      <c r="E224" s="422">
        <f t="shared" si="111"/>
        <v>43.22</v>
      </c>
      <c r="F224" s="422">
        <v>4.76</v>
      </c>
      <c r="G224" s="423"/>
      <c r="H224" s="423"/>
      <c r="I224" s="423">
        <v>6</v>
      </c>
      <c r="J224" s="422">
        <f t="shared" si="148"/>
        <v>0.3</v>
      </c>
      <c r="K224" s="422">
        <f t="shared" si="149"/>
        <v>53.98</v>
      </c>
      <c r="L224" s="422">
        <v>0.3</v>
      </c>
      <c r="M224" s="422">
        <f t="shared" si="112"/>
        <v>54.28</v>
      </c>
      <c r="N224" s="422">
        <f t="shared" si="143"/>
        <v>25.5900046274873</v>
      </c>
      <c r="O224" s="257"/>
    </row>
    <row r="225" s="54" customFormat="1" ht="25" customHeight="1" spans="1:15">
      <c r="A225" s="421">
        <v>2081105</v>
      </c>
      <c r="B225" s="142" t="s">
        <v>265</v>
      </c>
      <c r="C225" s="423"/>
      <c r="D225" s="423">
        <v>11.2</v>
      </c>
      <c r="E225" s="422">
        <f t="shared" si="111"/>
        <v>11.2</v>
      </c>
      <c r="F225" s="422"/>
      <c r="G225" s="423"/>
      <c r="H225" s="422"/>
      <c r="I225" s="422"/>
      <c r="J225" s="422">
        <f t="shared" si="148"/>
        <v>41.9</v>
      </c>
      <c r="K225" s="422">
        <f t="shared" si="149"/>
        <v>0</v>
      </c>
      <c r="L225" s="423">
        <v>53.1</v>
      </c>
      <c r="M225" s="422">
        <f t="shared" si="112"/>
        <v>53.1</v>
      </c>
      <c r="N225" s="422">
        <v>100</v>
      </c>
      <c r="O225" s="257"/>
    </row>
    <row r="226" s="54" customFormat="1" ht="25" customHeight="1" spans="1:15">
      <c r="A226" s="421">
        <v>2081107</v>
      </c>
      <c r="B226" s="142" t="s">
        <v>266</v>
      </c>
      <c r="C226" s="422">
        <v>320</v>
      </c>
      <c r="D226" s="422">
        <v>100.4</v>
      </c>
      <c r="E226" s="422">
        <f t="shared" si="111"/>
        <v>420.4</v>
      </c>
      <c r="F226" s="422"/>
      <c r="G226" s="423"/>
      <c r="H226" s="423"/>
      <c r="I226" s="423"/>
      <c r="J226" s="422">
        <f t="shared" si="148"/>
        <v>69.05</v>
      </c>
      <c r="K226" s="422">
        <f t="shared" si="149"/>
        <v>320</v>
      </c>
      <c r="L226" s="422">
        <v>169.45</v>
      </c>
      <c r="M226" s="422">
        <f t="shared" si="112"/>
        <v>489.45</v>
      </c>
      <c r="N226" s="422">
        <f t="shared" ref="N226:N241" si="150">(M226-E226)/E226*100</f>
        <v>16.4248334919125</v>
      </c>
      <c r="O226" s="257"/>
    </row>
    <row r="227" s="54" customFormat="1" ht="35" customHeight="1" spans="1:15">
      <c r="A227" s="421">
        <v>2081199</v>
      </c>
      <c r="B227" s="142" t="s">
        <v>267</v>
      </c>
      <c r="C227" s="422">
        <v>493.91</v>
      </c>
      <c r="D227" s="422">
        <v>900.3</v>
      </c>
      <c r="E227" s="422">
        <f t="shared" ref="E227:E253" si="151">C227+D227</f>
        <v>1394.21</v>
      </c>
      <c r="F227" s="422">
        <v>-117.895</v>
      </c>
      <c r="G227" s="423"/>
      <c r="H227" s="423"/>
      <c r="I227" s="423">
        <v>-6</v>
      </c>
      <c r="J227" s="422">
        <f t="shared" si="148"/>
        <v>-0.0999999999999091</v>
      </c>
      <c r="K227" s="422">
        <f t="shared" si="149"/>
        <v>370.015</v>
      </c>
      <c r="L227" s="422">
        <v>900.2</v>
      </c>
      <c r="M227" s="422">
        <f t="shared" ref="M227:M253" si="152">K227+L227</f>
        <v>1270.215</v>
      </c>
      <c r="N227" s="422">
        <f t="shared" si="150"/>
        <v>-8.89356696623894</v>
      </c>
      <c r="O227" s="257" t="s">
        <v>268</v>
      </c>
    </row>
    <row r="228" s="54" customFormat="1" ht="25" customHeight="1" spans="1:15">
      <c r="A228" s="421">
        <v>20816</v>
      </c>
      <c r="B228" s="142" t="s">
        <v>269</v>
      </c>
      <c r="C228" s="422">
        <f t="shared" ref="C228:L228" si="153">C229+C230</f>
        <v>64.95</v>
      </c>
      <c r="D228" s="422">
        <f t="shared" si="153"/>
        <v>0</v>
      </c>
      <c r="E228" s="422">
        <f t="shared" si="151"/>
        <v>64.95</v>
      </c>
      <c r="F228" s="422">
        <f t="shared" si="153"/>
        <v>-12.364</v>
      </c>
      <c r="G228" s="422">
        <f t="shared" si="153"/>
        <v>0</v>
      </c>
      <c r="H228" s="422">
        <f t="shared" si="153"/>
        <v>0</v>
      </c>
      <c r="I228" s="422">
        <f t="shared" si="153"/>
        <v>0</v>
      </c>
      <c r="J228" s="422">
        <f t="shared" si="153"/>
        <v>0</v>
      </c>
      <c r="K228" s="422">
        <f t="shared" si="153"/>
        <v>52.586</v>
      </c>
      <c r="L228" s="422">
        <f t="shared" si="153"/>
        <v>0</v>
      </c>
      <c r="M228" s="422">
        <f t="shared" si="152"/>
        <v>52.586</v>
      </c>
      <c r="N228" s="422">
        <f t="shared" si="150"/>
        <v>-19.036181678214</v>
      </c>
      <c r="O228" s="257"/>
    </row>
    <row r="229" s="54" customFormat="1" ht="25" customHeight="1" spans="1:15">
      <c r="A229" s="421">
        <v>2081601</v>
      </c>
      <c r="B229" s="142" t="s">
        <v>70</v>
      </c>
      <c r="C229" s="422">
        <v>38.95</v>
      </c>
      <c r="D229" s="422">
        <v>0</v>
      </c>
      <c r="E229" s="422">
        <f t="shared" si="151"/>
        <v>38.95</v>
      </c>
      <c r="F229" s="422">
        <v>-8.364</v>
      </c>
      <c r="G229" s="423"/>
      <c r="H229" s="423"/>
      <c r="I229" s="423"/>
      <c r="J229" s="422">
        <f t="shared" ref="J229:J233" si="154">L229-D229</f>
        <v>0</v>
      </c>
      <c r="K229" s="422">
        <f t="shared" ref="K229:K233" si="155">C229+F229+G229+H229+I229</f>
        <v>30.586</v>
      </c>
      <c r="L229" s="422">
        <v>0</v>
      </c>
      <c r="M229" s="422">
        <f t="shared" si="152"/>
        <v>30.586</v>
      </c>
      <c r="N229" s="422">
        <f t="shared" si="150"/>
        <v>-21.4736842105263</v>
      </c>
      <c r="O229" s="257"/>
    </row>
    <row r="230" s="54" customFormat="1" ht="25" customHeight="1" spans="1:15">
      <c r="A230" s="421">
        <v>2081699</v>
      </c>
      <c r="B230" s="142" t="s">
        <v>270</v>
      </c>
      <c r="C230" s="422">
        <v>26</v>
      </c>
      <c r="D230" s="422">
        <v>0</v>
      </c>
      <c r="E230" s="422">
        <f t="shared" si="151"/>
        <v>26</v>
      </c>
      <c r="F230" s="422">
        <v>-4</v>
      </c>
      <c r="G230" s="423"/>
      <c r="H230" s="423"/>
      <c r="I230" s="423"/>
      <c r="J230" s="422">
        <f t="shared" si="154"/>
        <v>0</v>
      </c>
      <c r="K230" s="422">
        <f t="shared" si="155"/>
        <v>22</v>
      </c>
      <c r="L230" s="422">
        <v>0</v>
      </c>
      <c r="M230" s="422">
        <f t="shared" si="152"/>
        <v>22</v>
      </c>
      <c r="N230" s="422">
        <f t="shared" si="150"/>
        <v>-15.3846153846154</v>
      </c>
      <c r="O230" s="257"/>
    </row>
    <row r="231" s="54" customFormat="1" ht="25" customHeight="1" spans="1:15">
      <c r="A231" s="421">
        <v>20819</v>
      </c>
      <c r="B231" s="142" t="s">
        <v>271</v>
      </c>
      <c r="C231" s="422">
        <f t="shared" ref="C231:L231" si="156">C232+C233</f>
        <v>540</v>
      </c>
      <c r="D231" s="422">
        <f t="shared" si="156"/>
        <v>2362</v>
      </c>
      <c r="E231" s="422">
        <f t="shared" si="151"/>
        <v>2902</v>
      </c>
      <c r="F231" s="422">
        <f t="shared" si="156"/>
        <v>0</v>
      </c>
      <c r="G231" s="422">
        <f t="shared" si="156"/>
        <v>0</v>
      </c>
      <c r="H231" s="422">
        <f t="shared" si="156"/>
        <v>0</v>
      </c>
      <c r="I231" s="422">
        <f t="shared" si="156"/>
        <v>0</v>
      </c>
      <c r="J231" s="422">
        <f t="shared" si="156"/>
        <v>86.5</v>
      </c>
      <c r="K231" s="422">
        <f t="shared" si="156"/>
        <v>540</v>
      </c>
      <c r="L231" s="422">
        <f t="shared" si="156"/>
        <v>2448.5</v>
      </c>
      <c r="M231" s="422">
        <f t="shared" si="152"/>
        <v>2988.5</v>
      </c>
      <c r="N231" s="422">
        <f t="shared" si="150"/>
        <v>2.98070296347347</v>
      </c>
      <c r="O231" s="429"/>
    </row>
    <row r="232" s="54" customFormat="1" ht="25" customHeight="1" spans="1:15">
      <c r="A232" s="421">
        <v>2081901</v>
      </c>
      <c r="B232" s="142" t="s">
        <v>272</v>
      </c>
      <c r="C232" s="422">
        <v>170</v>
      </c>
      <c r="D232" s="422">
        <v>1009</v>
      </c>
      <c r="E232" s="422">
        <f t="shared" si="151"/>
        <v>1179</v>
      </c>
      <c r="F232" s="422"/>
      <c r="G232" s="423"/>
      <c r="H232" s="423">
        <v>0</v>
      </c>
      <c r="I232" s="423">
        <v>0</v>
      </c>
      <c r="J232" s="422">
        <f t="shared" si="154"/>
        <v>0</v>
      </c>
      <c r="K232" s="422">
        <f t="shared" si="155"/>
        <v>170</v>
      </c>
      <c r="L232" s="422">
        <v>1009</v>
      </c>
      <c r="M232" s="422">
        <f t="shared" si="152"/>
        <v>1179</v>
      </c>
      <c r="N232" s="422">
        <f t="shared" si="150"/>
        <v>0</v>
      </c>
      <c r="O232" s="257"/>
    </row>
    <row r="233" s="54" customFormat="1" ht="25" customHeight="1" spans="1:15">
      <c r="A233" s="421">
        <v>2081902</v>
      </c>
      <c r="B233" s="142" t="s">
        <v>273</v>
      </c>
      <c r="C233" s="422">
        <v>370</v>
      </c>
      <c r="D233" s="422">
        <v>1353</v>
      </c>
      <c r="E233" s="422">
        <f t="shared" si="151"/>
        <v>1723</v>
      </c>
      <c r="F233" s="422"/>
      <c r="G233" s="423"/>
      <c r="H233" s="423">
        <v>0</v>
      </c>
      <c r="I233" s="423">
        <v>0</v>
      </c>
      <c r="J233" s="422">
        <f t="shared" si="154"/>
        <v>86.5</v>
      </c>
      <c r="K233" s="422">
        <f t="shared" si="155"/>
        <v>370</v>
      </c>
      <c r="L233" s="422">
        <v>1439.5</v>
      </c>
      <c r="M233" s="422">
        <f t="shared" si="152"/>
        <v>1809.5</v>
      </c>
      <c r="N233" s="422">
        <f t="shared" si="150"/>
        <v>5.02031340684852</v>
      </c>
      <c r="O233" s="257"/>
    </row>
    <row r="234" s="54" customFormat="1" ht="25" customHeight="1" spans="1:15">
      <c r="A234" s="421">
        <v>20820</v>
      </c>
      <c r="B234" s="142" t="s">
        <v>274</v>
      </c>
      <c r="C234" s="422">
        <f t="shared" ref="C234:L234" si="157">C235+C236</f>
        <v>403.58</v>
      </c>
      <c r="D234" s="422">
        <f t="shared" si="157"/>
        <v>219</v>
      </c>
      <c r="E234" s="422">
        <f t="shared" si="151"/>
        <v>622.58</v>
      </c>
      <c r="F234" s="422">
        <f t="shared" si="157"/>
        <v>-210.6</v>
      </c>
      <c r="G234" s="422">
        <f t="shared" si="157"/>
        <v>0</v>
      </c>
      <c r="H234" s="422">
        <f t="shared" si="157"/>
        <v>0</v>
      </c>
      <c r="I234" s="422">
        <f t="shared" si="157"/>
        <v>9.47</v>
      </c>
      <c r="J234" s="422">
        <f t="shared" si="157"/>
        <v>-0.199999999999989</v>
      </c>
      <c r="K234" s="422">
        <f t="shared" si="157"/>
        <v>202.45</v>
      </c>
      <c r="L234" s="422">
        <f t="shared" si="157"/>
        <v>218.8</v>
      </c>
      <c r="M234" s="422">
        <f t="shared" si="152"/>
        <v>421.25</v>
      </c>
      <c r="N234" s="422">
        <f t="shared" si="150"/>
        <v>-32.3380127855055</v>
      </c>
      <c r="O234" s="257"/>
    </row>
    <row r="235" s="54" customFormat="1" ht="25" customHeight="1" spans="1:15">
      <c r="A235" s="421">
        <v>2082001</v>
      </c>
      <c r="B235" s="142" t="s">
        <v>275</v>
      </c>
      <c r="C235" s="422">
        <v>401.58</v>
      </c>
      <c r="D235" s="422">
        <v>219</v>
      </c>
      <c r="E235" s="422">
        <f t="shared" si="151"/>
        <v>620.58</v>
      </c>
      <c r="F235" s="422">
        <v>-209.6</v>
      </c>
      <c r="G235" s="422"/>
      <c r="H235" s="422"/>
      <c r="I235" s="422">
        <v>9.47</v>
      </c>
      <c r="J235" s="422">
        <f t="shared" ref="J235:J239" si="158">L235-D235</f>
        <v>-0.199999999999989</v>
      </c>
      <c r="K235" s="422">
        <f t="shared" ref="K235:K239" si="159">C235+F235+G235+H235+I235</f>
        <v>201.45</v>
      </c>
      <c r="L235" s="422">
        <v>218.8</v>
      </c>
      <c r="M235" s="422">
        <f t="shared" si="152"/>
        <v>420.25</v>
      </c>
      <c r="N235" s="422">
        <f t="shared" si="150"/>
        <v>-32.281091881788</v>
      </c>
      <c r="O235" s="257" t="s">
        <v>276</v>
      </c>
    </row>
    <row r="236" s="54" customFormat="1" ht="25" customHeight="1" spans="1:15">
      <c r="A236" s="421">
        <v>2082002</v>
      </c>
      <c r="B236" s="142" t="s">
        <v>277</v>
      </c>
      <c r="C236" s="422">
        <v>2</v>
      </c>
      <c r="D236" s="422">
        <v>0</v>
      </c>
      <c r="E236" s="422">
        <f t="shared" si="151"/>
        <v>2</v>
      </c>
      <c r="F236" s="422">
        <v>-1</v>
      </c>
      <c r="G236" s="423"/>
      <c r="H236" s="423"/>
      <c r="I236" s="423"/>
      <c r="J236" s="422">
        <f t="shared" si="158"/>
        <v>0</v>
      </c>
      <c r="K236" s="422">
        <f t="shared" si="159"/>
        <v>1</v>
      </c>
      <c r="L236" s="422"/>
      <c r="M236" s="422">
        <f t="shared" si="152"/>
        <v>1</v>
      </c>
      <c r="N236" s="422">
        <f t="shared" si="150"/>
        <v>-50</v>
      </c>
      <c r="O236" s="257"/>
    </row>
    <row r="237" s="54" customFormat="1" ht="25" customHeight="1" spans="1:15">
      <c r="A237" s="421">
        <v>20821</v>
      </c>
      <c r="B237" s="142" t="s">
        <v>278</v>
      </c>
      <c r="C237" s="422">
        <f t="shared" ref="C237:L237" si="160">C238+C239</f>
        <v>2</v>
      </c>
      <c r="D237" s="422">
        <f t="shared" si="160"/>
        <v>210</v>
      </c>
      <c r="E237" s="422">
        <f t="shared" si="151"/>
        <v>212</v>
      </c>
      <c r="F237" s="422">
        <f t="shared" si="160"/>
        <v>0</v>
      </c>
      <c r="G237" s="422">
        <f t="shared" si="160"/>
        <v>0</v>
      </c>
      <c r="H237" s="422">
        <f t="shared" si="160"/>
        <v>0</v>
      </c>
      <c r="I237" s="422">
        <f t="shared" si="160"/>
        <v>0</v>
      </c>
      <c r="J237" s="422">
        <f t="shared" si="160"/>
        <v>3.80000000000001</v>
      </c>
      <c r="K237" s="422">
        <f t="shared" si="160"/>
        <v>2</v>
      </c>
      <c r="L237" s="422">
        <f t="shared" si="160"/>
        <v>213.8</v>
      </c>
      <c r="M237" s="422">
        <f t="shared" si="152"/>
        <v>215.8</v>
      </c>
      <c r="N237" s="422">
        <f t="shared" si="150"/>
        <v>1.79245283018868</v>
      </c>
      <c r="O237" s="257"/>
    </row>
    <row r="238" s="54" customFormat="1" ht="25" customHeight="1" spans="1:15">
      <c r="A238" s="421">
        <v>2082101</v>
      </c>
      <c r="B238" s="142" t="s">
        <v>279</v>
      </c>
      <c r="C238" s="422">
        <v>1</v>
      </c>
      <c r="D238" s="422">
        <v>0</v>
      </c>
      <c r="E238" s="422">
        <f t="shared" si="151"/>
        <v>1</v>
      </c>
      <c r="F238" s="422"/>
      <c r="G238" s="423">
        <v>0</v>
      </c>
      <c r="H238" s="423">
        <v>0</v>
      </c>
      <c r="I238" s="423">
        <v>0</v>
      </c>
      <c r="J238" s="422">
        <f t="shared" si="158"/>
        <v>0</v>
      </c>
      <c r="K238" s="422">
        <f t="shared" si="159"/>
        <v>1</v>
      </c>
      <c r="L238" s="422"/>
      <c r="M238" s="422">
        <f t="shared" si="152"/>
        <v>1</v>
      </c>
      <c r="N238" s="422">
        <f t="shared" si="150"/>
        <v>0</v>
      </c>
      <c r="O238" s="257"/>
    </row>
    <row r="239" s="54" customFormat="1" ht="25" customHeight="1" spans="1:15">
      <c r="A239" s="421">
        <v>2082102</v>
      </c>
      <c r="B239" s="142" t="s">
        <v>280</v>
      </c>
      <c r="C239" s="422">
        <v>1</v>
      </c>
      <c r="D239" s="422">
        <v>210</v>
      </c>
      <c r="E239" s="422">
        <f t="shared" si="151"/>
        <v>211</v>
      </c>
      <c r="F239" s="422"/>
      <c r="G239" s="423">
        <v>0</v>
      </c>
      <c r="H239" s="423">
        <v>0</v>
      </c>
      <c r="I239" s="423">
        <v>0</v>
      </c>
      <c r="J239" s="422">
        <f t="shared" si="158"/>
        <v>3.80000000000001</v>
      </c>
      <c r="K239" s="422">
        <f t="shared" si="159"/>
        <v>1</v>
      </c>
      <c r="L239" s="422">
        <v>213.8</v>
      </c>
      <c r="M239" s="422">
        <f t="shared" si="152"/>
        <v>214.8</v>
      </c>
      <c r="N239" s="422">
        <f t="shared" si="150"/>
        <v>1.80094786729858</v>
      </c>
      <c r="O239" s="257"/>
    </row>
    <row r="240" s="54" customFormat="1" ht="25" customHeight="1" spans="1:15">
      <c r="A240" s="421">
        <v>20825</v>
      </c>
      <c r="B240" s="142" t="s">
        <v>281</v>
      </c>
      <c r="C240" s="422">
        <f t="shared" ref="C240:L240" si="161">C241+C242</f>
        <v>0.5</v>
      </c>
      <c r="D240" s="422">
        <f t="shared" si="161"/>
        <v>18</v>
      </c>
      <c r="E240" s="422">
        <f t="shared" si="151"/>
        <v>18.5</v>
      </c>
      <c r="F240" s="422">
        <f t="shared" si="161"/>
        <v>-0.032</v>
      </c>
      <c r="G240" s="422">
        <f t="shared" si="161"/>
        <v>0</v>
      </c>
      <c r="H240" s="422">
        <f t="shared" si="161"/>
        <v>0</v>
      </c>
      <c r="I240" s="422">
        <f t="shared" si="161"/>
        <v>0</v>
      </c>
      <c r="J240" s="422">
        <f t="shared" si="161"/>
        <v>12.7</v>
      </c>
      <c r="K240" s="422">
        <f t="shared" si="161"/>
        <v>0.468</v>
      </c>
      <c r="L240" s="422">
        <f t="shared" si="161"/>
        <v>30.7</v>
      </c>
      <c r="M240" s="422">
        <f t="shared" si="152"/>
        <v>31.168</v>
      </c>
      <c r="N240" s="422">
        <f t="shared" si="150"/>
        <v>68.4756756756757</v>
      </c>
      <c r="O240" s="257"/>
    </row>
    <row r="241" s="54" customFormat="1" ht="25" customHeight="1" spans="1:15">
      <c r="A241" s="421">
        <v>2082501</v>
      </c>
      <c r="B241" s="142" t="s">
        <v>282</v>
      </c>
      <c r="C241" s="422">
        <v>0.5</v>
      </c>
      <c r="D241" s="422">
        <v>6</v>
      </c>
      <c r="E241" s="422">
        <f t="shared" si="151"/>
        <v>6.5</v>
      </c>
      <c r="F241" s="422">
        <v>-0.032</v>
      </c>
      <c r="G241" s="423">
        <v>0</v>
      </c>
      <c r="H241" s="423">
        <v>0</v>
      </c>
      <c r="I241" s="423">
        <v>0</v>
      </c>
      <c r="J241" s="422">
        <f t="shared" ref="J241:J245" si="162">L241-D241</f>
        <v>4.4</v>
      </c>
      <c r="K241" s="422">
        <f t="shared" ref="K241:K245" si="163">C241+F241+G241+H241+I241</f>
        <v>0.468</v>
      </c>
      <c r="L241" s="422">
        <v>10.4</v>
      </c>
      <c r="M241" s="422">
        <f t="shared" si="152"/>
        <v>10.868</v>
      </c>
      <c r="N241" s="422">
        <f t="shared" si="150"/>
        <v>67.2</v>
      </c>
      <c r="O241" s="257"/>
    </row>
    <row r="242" s="54" customFormat="1" ht="25" customHeight="1" spans="1:15">
      <c r="A242" s="421">
        <v>2082502</v>
      </c>
      <c r="B242" s="142" t="s">
        <v>283</v>
      </c>
      <c r="C242" s="423"/>
      <c r="D242" s="423">
        <v>12</v>
      </c>
      <c r="E242" s="422">
        <f t="shared" si="151"/>
        <v>12</v>
      </c>
      <c r="F242" s="422"/>
      <c r="G242" s="423"/>
      <c r="H242" s="422"/>
      <c r="I242" s="422"/>
      <c r="J242" s="422">
        <f t="shared" si="162"/>
        <v>8.3</v>
      </c>
      <c r="K242" s="422">
        <f t="shared" si="163"/>
        <v>0</v>
      </c>
      <c r="L242" s="423">
        <v>20.3</v>
      </c>
      <c r="M242" s="422">
        <f t="shared" si="152"/>
        <v>20.3</v>
      </c>
      <c r="N242" s="422">
        <v>100</v>
      </c>
      <c r="O242" s="257"/>
    </row>
    <row r="243" s="54" customFormat="1" ht="25" customHeight="1" spans="1:15">
      <c r="A243" s="421">
        <v>20826</v>
      </c>
      <c r="B243" s="142" t="s">
        <v>284</v>
      </c>
      <c r="C243" s="422">
        <f t="shared" ref="C243:L243" si="164">C244+C245</f>
        <v>764.64</v>
      </c>
      <c r="D243" s="422">
        <f t="shared" si="164"/>
        <v>7810</v>
      </c>
      <c r="E243" s="422">
        <f t="shared" si="151"/>
        <v>8574.64</v>
      </c>
      <c r="F243" s="422">
        <f t="shared" si="164"/>
        <v>204</v>
      </c>
      <c r="G243" s="422">
        <f t="shared" si="164"/>
        <v>0</v>
      </c>
      <c r="H243" s="422">
        <f t="shared" si="164"/>
        <v>0</v>
      </c>
      <c r="I243" s="422">
        <f t="shared" si="164"/>
        <v>0</v>
      </c>
      <c r="J243" s="422">
        <f t="shared" si="164"/>
        <v>0</v>
      </c>
      <c r="K243" s="422">
        <f t="shared" si="164"/>
        <v>968.64</v>
      </c>
      <c r="L243" s="422">
        <f t="shared" si="164"/>
        <v>7810</v>
      </c>
      <c r="M243" s="422">
        <f t="shared" si="152"/>
        <v>8778.64</v>
      </c>
      <c r="N243" s="422">
        <f t="shared" ref="N243:N249" si="165">(M243-E243)/E243*100</f>
        <v>2.37910862730097</v>
      </c>
      <c r="O243" s="429"/>
    </row>
    <row r="244" s="54" customFormat="1" ht="25" customHeight="1" spans="1:15">
      <c r="A244" s="421">
        <v>2082602</v>
      </c>
      <c r="B244" s="142" t="s">
        <v>285</v>
      </c>
      <c r="C244" s="422">
        <v>756</v>
      </c>
      <c r="D244" s="422">
        <v>7810</v>
      </c>
      <c r="E244" s="422">
        <f t="shared" si="151"/>
        <v>8566</v>
      </c>
      <c r="F244" s="422">
        <v>204</v>
      </c>
      <c r="G244" s="422">
        <v>0</v>
      </c>
      <c r="H244" s="422">
        <v>0</v>
      </c>
      <c r="I244" s="422">
        <v>0</v>
      </c>
      <c r="J244" s="422">
        <f t="shared" si="162"/>
        <v>0</v>
      </c>
      <c r="K244" s="422">
        <f t="shared" si="163"/>
        <v>960</v>
      </c>
      <c r="L244" s="422">
        <v>7810</v>
      </c>
      <c r="M244" s="422">
        <f t="shared" si="152"/>
        <v>8770</v>
      </c>
      <c r="N244" s="422">
        <f t="shared" si="165"/>
        <v>2.38150828858277</v>
      </c>
      <c r="O244" s="257" t="s">
        <v>286</v>
      </c>
    </row>
    <row r="245" s="54" customFormat="1" ht="25" customHeight="1" spans="1:15">
      <c r="A245" s="421">
        <v>2082699</v>
      </c>
      <c r="B245" s="142" t="s">
        <v>287</v>
      </c>
      <c r="C245" s="422">
        <v>8.64</v>
      </c>
      <c r="D245" s="422">
        <v>0</v>
      </c>
      <c r="E245" s="422">
        <f t="shared" si="151"/>
        <v>8.64</v>
      </c>
      <c r="F245" s="422"/>
      <c r="G245" s="423">
        <v>0</v>
      </c>
      <c r="H245" s="423">
        <v>0</v>
      </c>
      <c r="I245" s="423">
        <v>0</v>
      </c>
      <c r="J245" s="422">
        <f t="shared" si="162"/>
        <v>0</v>
      </c>
      <c r="K245" s="422">
        <f t="shared" si="163"/>
        <v>8.64</v>
      </c>
      <c r="L245" s="422"/>
      <c r="M245" s="422">
        <f t="shared" si="152"/>
        <v>8.64</v>
      </c>
      <c r="N245" s="422">
        <f t="shared" si="165"/>
        <v>0</v>
      </c>
      <c r="O245" s="257"/>
    </row>
    <row r="246" s="54" customFormat="1" ht="25" customHeight="1" spans="1:15">
      <c r="A246" s="421">
        <v>20828</v>
      </c>
      <c r="B246" s="142" t="s">
        <v>288</v>
      </c>
      <c r="C246" s="422">
        <f t="shared" ref="C246:L246" si="166">C247+C248+C249+C250+C251</f>
        <v>348.22</v>
      </c>
      <c r="D246" s="422">
        <f t="shared" si="166"/>
        <v>246.1</v>
      </c>
      <c r="E246" s="422">
        <f t="shared" si="151"/>
        <v>594.32</v>
      </c>
      <c r="F246" s="422">
        <f t="shared" si="166"/>
        <v>49.9916</v>
      </c>
      <c r="G246" s="422">
        <f t="shared" si="166"/>
        <v>0</v>
      </c>
      <c r="H246" s="422">
        <f t="shared" si="166"/>
        <v>0</v>
      </c>
      <c r="I246" s="422">
        <f t="shared" si="166"/>
        <v>23.87</v>
      </c>
      <c r="J246" s="422">
        <f t="shared" si="166"/>
        <v>44.45</v>
      </c>
      <c r="K246" s="422">
        <f t="shared" si="166"/>
        <v>422.0816</v>
      </c>
      <c r="L246" s="422">
        <f t="shared" si="166"/>
        <v>290.55</v>
      </c>
      <c r="M246" s="422">
        <f t="shared" si="152"/>
        <v>712.6316</v>
      </c>
      <c r="N246" s="422">
        <f t="shared" si="165"/>
        <v>19.9070534392247</v>
      </c>
      <c r="O246" s="257"/>
    </row>
    <row r="247" s="54" customFormat="1" ht="25" customHeight="1" spans="1:15">
      <c r="A247" s="421">
        <v>2082801</v>
      </c>
      <c r="B247" s="142" t="s">
        <v>70</v>
      </c>
      <c r="C247" s="422">
        <v>149</v>
      </c>
      <c r="D247" s="422">
        <v>19</v>
      </c>
      <c r="E247" s="422">
        <f t="shared" si="151"/>
        <v>168</v>
      </c>
      <c r="F247" s="422">
        <v>-0.0084</v>
      </c>
      <c r="G247" s="423"/>
      <c r="H247" s="423"/>
      <c r="I247" s="423">
        <v>18.55</v>
      </c>
      <c r="J247" s="422">
        <f t="shared" ref="J247:J251" si="167">L247-D247</f>
        <v>0</v>
      </c>
      <c r="K247" s="422">
        <f t="shared" ref="K247:K251" si="168">C247+F247+G247+H247+I247</f>
        <v>167.5416</v>
      </c>
      <c r="L247" s="422">
        <v>19</v>
      </c>
      <c r="M247" s="422">
        <f t="shared" si="152"/>
        <v>186.5416</v>
      </c>
      <c r="N247" s="422">
        <f t="shared" si="165"/>
        <v>11.0366666666667</v>
      </c>
      <c r="O247" s="257"/>
    </row>
    <row r="248" s="54" customFormat="1" ht="25" customHeight="1" spans="1:15">
      <c r="A248" s="421">
        <v>2082802</v>
      </c>
      <c r="B248" s="142" t="s">
        <v>85</v>
      </c>
      <c r="C248" s="422">
        <v>68</v>
      </c>
      <c r="D248" s="422">
        <v>3.6</v>
      </c>
      <c r="E248" s="422">
        <f t="shared" si="151"/>
        <v>71.6</v>
      </c>
      <c r="F248" s="422"/>
      <c r="G248" s="423"/>
      <c r="H248" s="423"/>
      <c r="I248" s="423"/>
      <c r="J248" s="422">
        <f t="shared" si="167"/>
        <v>0.4</v>
      </c>
      <c r="K248" s="422">
        <f t="shared" si="168"/>
        <v>68</v>
      </c>
      <c r="L248" s="422">
        <v>4</v>
      </c>
      <c r="M248" s="422">
        <f t="shared" si="152"/>
        <v>72</v>
      </c>
      <c r="N248" s="422">
        <f t="shared" si="165"/>
        <v>0.558659217877103</v>
      </c>
      <c r="O248" s="257"/>
    </row>
    <row r="249" s="54" customFormat="1" ht="25" customHeight="1" spans="1:15">
      <c r="A249" s="421">
        <v>2082804</v>
      </c>
      <c r="B249" s="142" t="s">
        <v>289</v>
      </c>
      <c r="C249" s="422">
        <v>105.43</v>
      </c>
      <c r="D249" s="422">
        <v>92.5</v>
      </c>
      <c r="E249" s="422">
        <f t="shared" si="151"/>
        <v>197.93</v>
      </c>
      <c r="F249" s="422">
        <v>50</v>
      </c>
      <c r="G249" s="422"/>
      <c r="H249" s="422"/>
      <c r="I249" s="422"/>
      <c r="J249" s="422">
        <f t="shared" si="167"/>
        <v>24.55</v>
      </c>
      <c r="K249" s="422">
        <f t="shared" si="168"/>
        <v>155.43</v>
      </c>
      <c r="L249" s="422">
        <v>117.05</v>
      </c>
      <c r="M249" s="422">
        <f t="shared" si="152"/>
        <v>272.48</v>
      </c>
      <c r="N249" s="422">
        <f t="shared" si="165"/>
        <v>37.6648310008589</v>
      </c>
      <c r="O249" s="257" t="s">
        <v>290</v>
      </c>
    </row>
    <row r="250" s="54" customFormat="1" ht="25" customHeight="1" spans="1:15">
      <c r="A250" s="421">
        <v>2082850</v>
      </c>
      <c r="B250" s="142" t="s">
        <v>102</v>
      </c>
      <c r="C250" s="422">
        <v>19.79</v>
      </c>
      <c r="D250" s="422">
        <v>0</v>
      </c>
      <c r="E250" s="422">
        <f t="shared" si="151"/>
        <v>19.79</v>
      </c>
      <c r="F250" s="422"/>
      <c r="G250" s="423"/>
      <c r="H250" s="423"/>
      <c r="I250" s="423">
        <v>5.32</v>
      </c>
      <c r="J250" s="422">
        <f t="shared" si="167"/>
        <v>0</v>
      </c>
      <c r="K250" s="422">
        <f t="shared" si="168"/>
        <v>25.11</v>
      </c>
      <c r="L250" s="422"/>
      <c r="M250" s="422">
        <f t="shared" si="152"/>
        <v>25.11</v>
      </c>
      <c r="N250" s="422">
        <v>100</v>
      </c>
      <c r="O250" s="257"/>
    </row>
    <row r="251" s="54" customFormat="1" ht="25" customHeight="1" spans="1:15">
      <c r="A251" s="421">
        <v>2082899</v>
      </c>
      <c r="B251" s="142" t="s">
        <v>291</v>
      </c>
      <c r="C251" s="422">
        <v>6</v>
      </c>
      <c r="D251" s="422">
        <v>131</v>
      </c>
      <c r="E251" s="422">
        <f t="shared" si="151"/>
        <v>137</v>
      </c>
      <c r="F251" s="422"/>
      <c r="G251" s="423"/>
      <c r="H251" s="423"/>
      <c r="I251" s="423"/>
      <c r="J251" s="422">
        <f t="shared" si="167"/>
        <v>19.5</v>
      </c>
      <c r="K251" s="422">
        <f t="shared" si="168"/>
        <v>6</v>
      </c>
      <c r="L251" s="422">
        <v>150.5</v>
      </c>
      <c r="M251" s="422">
        <f t="shared" si="152"/>
        <v>156.5</v>
      </c>
      <c r="N251" s="422">
        <f t="shared" ref="N251:N272" si="169">(M251-E251)/E251*100</f>
        <v>14.2335766423358</v>
      </c>
      <c r="O251" s="257"/>
    </row>
    <row r="252" s="54" customFormat="1" ht="25" customHeight="1" spans="1:15">
      <c r="A252" s="421">
        <v>20899</v>
      </c>
      <c r="B252" s="142" t="s">
        <v>292</v>
      </c>
      <c r="C252" s="422">
        <f t="shared" ref="C252:L252" si="170">C253</f>
        <v>594.18</v>
      </c>
      <c r="D252" s="422">
        <f t="shared" si="170"/>
        <v>1366</v>
      </c>
      <c r="E252" s="422">
        <f t="shared" si="151"/>
        <v>1960.18</v>
      </c>
      <c r="F252" s="422">
        <f t="shared" si="170"/>
        <v>51.964554</v>
      </c>
      <c r="G252" s="422">
        <f t="shared" si="170"/>
        <v>0</v>
      </c>
      <c r="H252" s="422">
        <f t="shared" si="170"/>
        <v>0</v>
      </c>
      <c r="I252" s="422">
        <f t="shared" si="170"/>
        <v>24.23</v>
      </c>
      <c r="J252" s="422">
        <f t="shared" si="170"/>
        <v>0.0126399999999194</v>
      </c>
      <c r="K252" s="422">
        <f t="shared" si="170"/>
        <v>670.374554</v>
      </c>
      <c r="L252" s="422">
        <f t="shared" si="170"/>
        <v>1366.01264</v>
      </c>
      <c r="M252" s="422">
        <f t="shared" si="152"/>
        <v>2036.387194</v>
      </c>
      <c r="N252" s="422">
        <f t="shared" si="169"/>
        <v>3.88776510320481</v>
      </c>
      <c r="O252" s="257"/>
    </row>
    <row r="253" s="54" customFormat="1" ht="35" customHeight="1" spans="1:15">
      <c r="A253" s="421">
        <v>2089901</v>
      </c>
      <c r="B253" s="142" t="s">
        <v>292</v>
      </c>
      <c r="C253" s="422">
        <v>594.18</v>
      </c>
      <c r="D253" s="422">
        <v>1366</v>
      </c>
      <c r="E253" s="422">
        <f t="shared" si="151"/>
        <v>1960.18</v>
      </c>
      <c r="F253" s="422">
        <v>51.964554</v>
      </c>
      <c r="G253" s="423"/>
      <c r="H253" s="423"/>
      <c r="I253" s="423">
        <v>24.23</v>
      </c>
      <c r="J253" s="422">
        <f t="shared" ref="J253:J258" si="171">L253-D253</f>
        <v>0.0126399999999194</v>
      </c>
      <c r="K253" s="422">
        <f t="shared" ref="K253:K258" si="172">C253+F253+G253+H253+I253</f>
        <v>670.374554</v>
      </c>
      <c r="L253" s="422">
        <v>1366.01264</v>
      </c>
      <c r="M253" s="422">
        <f t="shared" si="152"/>
        <v>2036.387194</v>
      </c>
      <c r="N253" s="422">
        <f t="shared" si="169"/>
        <v>3.88776510320481</v>
      </c>
      <c r="O253" s="257" t="s">
        <v>293</v>
      </c>
    </row>
    <row r="254" s="54" customFormat="1" ht="25" customHeight="1" spans="1:15">
      <c r="A254" s="421">
        <v>210</v>
      </c>
      <c r="B254" s="142" t="s">
        <v>294</v>
      </c>
      <c r="C254" s="422">
        <f t="shared" ref="C254:M254" si="173">C255+C259+C262+C266+C275+C278+C280+C282+C285+C288+C290+C292+C273</f>
        <v>8266.54</v>
      </c>
      <c r="D254" s="422">
        <f t="shared" si="173"/>
        <v>16993</v>
      </c>
      <c r="E254" s="422">
        <f t="shared" si="173"/>
        <v>25259.54</v>
      </c>
      <c r="F254" s="422">
        <f t="shared" si="173"/>
        <v>-194.4543</v>
      </c>
      <c r="G254" s="422">
        <f t="shared" si="173"/>
        <v>0</v>
      </c>
      <c r="H254" s="422">
        <f t="shared" si="173"/>
        <v>0</v>
      </c>
      <c r="I254" s="422">
        <f t="shared" si="173"/>
        <v>-36.9</v>
      </c>
      <c r="J254" s="422">
        <f t="shared" si="173"/>
        <v>642.417519000001</v>
      </c>
      <c r="K254" s="422">
        <f t="shared" si="173"/>
        <v>8035.1857</v>
      </c>
      <c r="L254" s="422">
        <f t="shared" si="173"/>
        <v>17635.417519</v>
      </c>
      <c r="M254" s="422">
        <f t="shared" si="173"/>
        <v>25670.603219</v>
      </c>
      <c r="N254" s="422">
        <f t="shared" si="169"/>
        <v>1.6273582931439</v>
      </c>
      <c r="O254" s="257"/>
    </row>
    <row r="255" s="54" customFormat="1" ht="25" customHeight="1" spans="1:15">
      <c r="A255" s="421">
        <v>21001</v>
      </c>
      <c r="B255" s="142" t="s">
        <v>295</v>
      </c>
      <c r="C255" s="422">
        <f t="shared" ref="C255:L255" si="174">C256+C257+C258</f>
        <v>352.33</v>
      </c>
      <c r="D255" s="422">
        <f t="shared" si="174"/>
        <v>0</v>
      </c>
      <c r="E255" s="422">
        <f t="shared" ref="E255:E293" si="175">C255+D255</f>
        <v>352.33</v>
      </c>
      <c r="F255" s="422">
        <f t="shared" si="174"/>
        <v>-15.881</v>
      </c>
      <c r="G255" s="422">
        <f t="shared" si="174"/>
        <v>0</v>
      </c>
      <c r="H255" s="422">
        <f t="shared" si="174"/>
        <v>0</v>
      </c>
      <c r="I255" s="422">
        <f t="shared" si="174"/>
        <v>1.27</v>
      </c>
      <c r="J255" s="422">
        <f t="shared" si="174"/>
        <v>0</v>
      </c>
      <c r="K255" s="422">
        <f t="shared" si="174"/>
        <v>337.719</v>
      </c>
      <c r="L255" s="422">
        <f t="shared" si="174"/>
        <v>0</v>
      </c>
      <c r="M255" s="422">
        <f t="shared" ref="M255:M293" si="176">K255+L255</f>
        <v>337.719</v>
      </c>
      <c r="N255" s="422">
        <f t="shared" si="169"/>
        <v>-4.14696449351462</v>
      </c>
      <c r="O255" s="257"/>
    </row>
    <row r="256" s="54" customFormat="1" ht="25" customHeight="1" spans="1:15">
      <c r="A256" s="421">
        <v>2100101</v>
      </c>
      <c r="B256" s="142" t="s">
        <v>70</v>
      </c>
      <c r="C256" s="422">
        <v>318.33</v>
      </c>
      <c r="D256" s="422">
        <v>0</v>
      </c>
      <c r="E256" s="422">
        <f t="shared" si="175"/>
        <v>318.33</v>
      </c>
      <c r="F256" s="422">
        <v>-10.881</v>
      </c>
      <c r="G256" s="423"/>
      <c r="H256" s="423"/>
      <c r="I256" s="423">
        <v>1.27</v>
      </c>
      <c r="J256" s="422">
        <f t="shared" si="171"/>
        <v>0</v>
      </c>
      <c r="K256" s="422">
        <f t="shared" si="172"/>
        <v>308.719</v>
      </c>
      <c r="L256" s="422"/>
      <c r="M256" s="422">
        <f t="shared" si="176"/>
        <v>308.719</v>
      </c>
      <c r="N256" s="422">
        <f t="shared" si="169"/>
        <v>-3.01919391826094</v>
      </c>
      <c r="O256" s="257"/>
    </row>
    <row r="257" s="54" customFormat="1" ht="25" customHeight="1" spans="1:15">
      <c r="A257" s="421">
        <v>2100102</v>
      </c>
      <c r="B257" s="142" t="s">
        <v>85</v>
      </c>
      <c r="C257" s="422">
        <v>2</v>
      </c>
      <c r="D257" s="422">
        <v>0</v>
      </c>
      <c r="E257" s="422">
        <f t="shared" si="175"/>
        <v>2</v>
      </c>
      <c r="F257" s="422">
        <v>-2</v>
      </c>
      <c r="G257" s="423"/>
      <c r="H257" s="423"/>
      <c r="I257" s="423"/>
      <c r="J257" s="422">
        <f t="shared" si="171"/>
        <v>0</v>
      </c>
      <c r="K257" s="422">
        <f t="shared" si="172"/>
        <v>0</v>
      </c>
      <c r="L257" s="422"/>
      <c r="M257" s="422">
        <f t="shared" si="176"/>
        <v>0</v>
      </c>
      <c r="N257" s="422">
        <f t="shared" si="169"/>
        <v>-100</v>
      </c>
      <c r="O257" s="257"/>
    </row>
    <row r="258" s="54" customFormat="1" ht="25" customHeight="1" spans="1:15">
      <c r="A258" s="421">
        <v>2100199</v>
      </c>
      <c r="B258" s="142" t="s">
        <v>296</v>
      </c>
      <c r="C258" s="422">
        <v>32</v>
      </c>
      <c r="D258" s="422">
        <v>0</v>
      </c>
      <c r="E258" s="422">
        <f t="shared" si="175"/>
        <v>32</v>
      </c>
      <c r="F258" s="422">
        <v>-3</v>
      </c>
      <c r="G258" s="423"/>
      <c r="H258" s="423"/>
      <c r="I258" s="423"/>
      <c r="J258" s="422">
        <f t="shared" si="171"/>
        <v>0</v>
      </c>
      <c r="K258" s="422">
        <f t="shared" si="172"/>
        <v>29</v>
      </c>
      <c r="L258" s="422"/>
      <c r="M258" s="422">
        <f t="shared" si="176"/>
        <v>29</v>
      </c>
      <c r="N258" s="422">
        <f t="shared" si="169"/>
        <v>-9.375</v>
      </c>
      <c r="O258" s="257"/>
    </row>
    <row r="259" s="54" customFormat="1" ht="25" customHeight="1" spans="1:15">
      <c r="A259" s="421">
        <v>21002</v>
      </c>
      <c r="B259" s="142" t="s">
        <v>297</v>
      </c>
      <c r="C259" s="422">
        <f t="shared" ref="C259:L259" si="177">C260+C261</f>
        <v>604.72</v>
      </c>
      <c r="D259" s="422">
        <f t="shared" si="177"/>
        <v>132</v>
      </c>
      <c r="E259" s="422">
        <f t="shared" si="175"/>
        <v>736.72</v>
      </c>
      <c r="F259" s="422">
        <f t="shared" si="177"/>
        <v>-0.0196</v>
      </c>
      <c r="G259" s="422">
        <f t="shared" si="177"/>
        <v>0</v>
      </c>
      <c r="H259" s="422">
        <f t="shared" si="177"/>
        <v>0</v>
      </c>
      <c r="I259" s="422">
        <f t="shared" si="177"/>
        <v>0</v>
      </c>
      <c r="J259" s="422">
        <f t="shared" si="177"/>
        <v>-0.379999999999995</v>
      </c>
      <c r="K259" s="422">
        <f t="shared" si="177"/>
        <v>604.7004</v>
      </c>
      <c r="L259" s="422">
        <f t="shared" si="177"/>
        <v>131.62</v>
      </c>
      <c r="M259" s="422">
        <f t="shared" si="176"/>
        <v>736.3204</v>
      </c>
      <c r="N259" s="422">
        <f t="shared" si="169"/>
        <v>-0.0542404169833809</v>
      </c>
      <c r="O259" s="257"/>
    </row>
    <row r="260" s="54" customFormat="1" ht="25" customHeight="1" spans="1:15">
      <c r="A260" s="421">
        <v>2100201</v>
      </c>
      <c r="B260" s="142" t="s">
        <v>298</v>
      </c>
      <c r="C260" s="422">
        <v>604.72</v>
      </c>
      <c r="D260" s="422">
        <v>0</v>
      </c>
      <c r="E260" s="422">
        <f t="shared" si="175"/>
        <v>604.72</v>
      </c>
      <c r="F260" s="422">
        <v>-0.0196</v>
      </c>
      <c r="G260" s="423"/>
      <c r="H260" s="423"/>
      <c r="I260" s="423"/>
      <c r="J260" s="422">
        <f t="shared" ref="J260:J265" si="178">L260-D260</f>
        <v>0</v>
      </c>
      <c r="K260" s="422">
        <f t="shared" ref="K260:K265" si="179">C260+F260+G260+H260+I260</f>
        <v>604.7004</v>
      </c>
      <c r="L260" s="422"/>
      <c r="M260" s="422">
        <f t="shared" si="176"/>
        <v>604.7004</v>
      </c>
      <c r="N260" s="422">
        <f t="shared" si="169"/>
        <v>-0.00324116946685549</v>
      </c>
      <c r="O260" s="257"/>
    </row>
    <row r="261" s="54" customFormat="1" ht="25" customHeight="1" spans="1:15">
      <c r="A261" s="421">
        <v>2100299</v>
      </c>
      <c r="B261" s="142" t="s">
        <v>299</v>
      </c>
      <c r="C261" s="423"/>
      <c r="D261" s="423">
        <v>132</v>
      </c>
      <c r="E261" s="422">
        <f t="shared" si="175"/>
        <v>132</v>
      </c>
      <c r="F261" s="422"/>
      <c r="G261" s="423"/>
      <c r="H261" s="422"/>
      <c r="I261" s="422"/>
      <c r="J261" s="422">
        <f t="shared" si="178"/>
        <v>-0.379999999999995</v>
      </c>
      <c r="K261" s="422">
        <f t="shared" si="179"/>
        <v>0</v>
      </c>
      <c r="L261" s="423">
        <v>131.62</v>
      </c>
      <c r="M261" s="422">
        <f t="shared" si="176"/>
        <v>131.62</v>
      </c>
      <c r="N261" s="422">
        <f t="shared" si="169"/>
        <v>-0.287878787878784</v>
      </c>
      <c r="O261" s="257"/>
    </row>
    <row r="262" s="54" customFormat="1" ht="25" customHeight="1" spans="1:15">
      <c r="A262" s="421">
        <v>21003</v>
      </c>
      <c r="B262" s="142" t="s">
        <v>300</v>
      </c>
      <c r="C262" s="422">
        <f t="shared" ref="C262:L262" si="180">C263+C264+C265</f>
        <v>521.28</v>
      </c>
      <c r="D262" s="422">
        <f t="shared" si="180"/>
        <v>412.5</v>
      </c>
      <c r="E262" s="422">
        <f t="shared" si="175"/>
        <v>933.78</v>
      </c>
      <c r="F262" s="422">
        <f t="shared" si="180"/>
        <v>-6.4611</v>
      </c>
      <c r="G262" s="422">
        <f t="shared" si="180"/>
        <v>0</v>
      </c>
      <c r="H262" s="422">
        <f t="shared" si="180"/>
        <v>0</v>
      </c>
      <c r="I262" s="422">
        <f t="shared" si="180"/>
        <v>0</v>
      </c>
      <c r="J262" s="422">
        <f t="shared" si="180"/>
        <v>575.7072</v>
      </c>
      <c r="K262" s="422">
        <f t="shared" si="180"/>
        <v>514.8189</v>
      </c>
      <c r="L262" s="422">
        <f t="shared" si="180"/>
        <v>988.2072</v>
      </c>
      <c r="M262" s="422">
        <f t="shared" si="176"/>
        <v>1503.0261</v>
      </c>
      <c r="N262" s="422">
        <f t="shared" si="169"/>
        <v>60.9614791492643</v>
      </c>
      <c r="O262" s="257"/>
    </row>
    <row r="263" s="54" customFormat="1" ht="25" customHeight="1" spans="1:15">
      <c r="A263" s="421">
        <v>2100301</v>
      </c>
      <c r="B263" s="142" t="s">
        <v>301</v>
      </c>
      <c r="C263" s="422">
        <v>356.44</v>
      </c>
      <c r="D263" s="422">
        <v>0</v>
      </c>
      <c r="E263" s="422">
        <f t="shared" si="175"/>
        <v>356.44</v>
      </c>
      <c r="F263" s="422">
        <v>-3.8355</v>
      </c>
      <c r="G263" s="423"/>
      <c r="H263" s="423"/>
      <c r="I263" s="423"/>
      <c r="J263" s="422">
        <f t="shared" si="178"/>
        <v>575</v>
      </c>
      <c r="K263" s="422">
        <f t="shared" si="179"/>
        <v>352.6045</v>
      </c>
      <c r="L263" s="422">
        <v>575</v>
      </c>
      <c r="M263" s="422">
        <f t="shared" si="176"/>
        <v>927.6045</v>
      </c>
      <c r="N263" s="422">
        <f t="shared" si="169"/>
        <v>160.241415104926</v>
      </c>
      <c r="O263" s="257"/>
    </row>
    <row r="264" s="54" customFormat="1" ht="25" customHeight="1" spans="1:15">
      <c r="A264" s="421">
        <v>2100302</v>
      </c>
      <c r="B264" s="142" t="s">
        <v>302</v>
      </c>
      <c r="C264" s="422">
        <v>115.84</v>
      </c>
      <c r="D264" s="422">
        <v>0</v>
      </c>
      <c r="E264" s="422">
        <f t="shared" si="175"/>
        <v>115.84</v>
      </c>
      <c r="F264" s="422">
        <v>-2.6256</v>
      </c>
      <c r="G264" s="423"/>
      <c r="H264" s="423"/>
      <c r="I264" s="423"/>
      <c r="J264" s="422">
        <f t="shared" si="178"/>
        <v>0</v>
      </c>
      <c r="K264" s="422">
        <f t="shared" si="179"/>
        <v>113.2144</v>
      </c>
      <c r="L264" s="422"/>
      <c r="M264" s="422">
        <f t="shared" si="176"/>
        <v>113.2144</v>
      </c>
      <c r="N264" s="422">
        <f t="shared" si="169"/>
        <v>-2.26657458563536</v>
      </c>
      <c r="O264" s="257"/>
    </row>
    <row r="265" s="54" customFormat="1" ht="25" customHeight="1" spans="1:15">
      <c r="A265" s="421">
        <v>2100399</v>
      </c>
      <c r="B265" s="142" t="s">
        <v>303</v>
      </c>
      <c r="C265" s="422">
        <v>49</v>
      </c>
      <c r="D265" s="422">
        <v>412.5</v>
      </c>
      <c r="E265" s="422">
        <f t="shared" si="175"/>
        <v>461.5</v>
      </c>
      <c r="F265" s="422"/>
      <c r="G265" s="423"/>
      <c r="H265" s="423"/>
      <c r="I265" s="423"/>
      <c r="J265" s="422">
        <f t="shared" si="178"/>
        <v>0.7072</v>
      </c>
      <c r="K265" s="422">
        <f t="shared" si="179"/>
        <v>49</v>
      </c>
      <c r="L265" s="422">
        <v>413.2072</v>
      </c>
      <c r="M265" s="422">
        <f t="shared" si="176"/>
        <v>462.2072</v>
      </c>
      <c r="N265" s="422">
        <f t="shared" si="169"/>
        <v>0.153239436619718</v>
      </c>
      <c r="O265" s="257"/>
    </row>
    <row r="266" s="54" customFormat="1" ht="25" customHeight="1" spans="1:15">
      <c r="A266" s="421">
        <v>21004</v>
      </c>
      <c r="B266" s="142" t="s">
        <v>304</v>
      </c>
      <c r="C266" s="422">
        <f t="shared" ref="C266:L266" si="181">C267+C268+C269+C270+C271+C272</f>
        <v>3773.78</v>
      </c>
      <c r="D266" s="422">
        <f t="shared" si="181"/>
        <v>3020</v>
      </c>
      <c r="E266" s="422">
        <f t="shared" si="175"/>
        <v>6793.78</v>
      </c>
      <c r="F266" s="422">
        <f t="shared" si="181"/>
        <v>66.8306</v>
      </c>
      <c r="G266" s="422">
        <f t="shared" si="181"/>
        <v>0</v>
      </c>
      <c r="H266" s="422">
        <f t="shared" si="181"/>
        <v>0</v>
      </c>
      <c r="I266" s="422">
        <f t="shared" si="181"/>
        <v>23.82</v>
      </c>
      <c r="J266" s="422">
        <f t="shared" si="181"/>
        <v>67.3840000000001</v>
      </c>
      <c r="K266" s="422">
        <f t="shared" si="181"/>
        <v>3864.4306</v>
      </c>
      <c r="L266" s="422">
        <f t="shared" si="181"/>
        <v>3087.384</v>
      </c>
      <c r="M266" s="422">
        <f t="shared" si="176"/>
        <v>6951.8146</v>
      </c>
      <c r="N266" s="422">
        <f t="shared" si="169"/>
        <v>2.32616599301125</v>
      </c>
      <c r="O266" s="257"/>
    </row>
    <row r="267" s="54" customFormat="1" ht="25" customHeight="1" spans="1:15">
      <c r="A267" s="421">
        <v>2100401</v>
      </c>
      <c r="B267" s="142" t="s">
        <v>305</v>
      </c>
      <c r="C267" s="422">
        <v>1244.09</v>
      </c>
      <c r="D267" s="422">
        <v>283.5</v>
      </c>
      <c r="E267" s="422">
        <f t="shared" si="175"/>
        <v>1527.59</v>
      </c>
      <c r="F267" s="422">
        <v>-0.0024</v>
      </c>
      <c r="G267" s="423"/>
      <c r="H267" s="423"/>
      <c r="I267" s="423"/>
      <c r="J267" s="422">
        <f t="shared" ref="J267:J272" si="182">L267-D267</f>
        <v>0.035000000000025</v>
      </c>
      <c r="K267" s="422">
        <f t="shared" ref="K267:K272" si="183">C267+F267+G267+H267+I267</f>
        <v>1244.0876</v>
      </c>
      <c r="L267" s="422">
        <v>283.535</v>
      </c>
      <c r="M267" s="422">
        <f t="shared" si="176"/>
        <v>1527.6226</v>
      </c>
      <c r="N267" s="422">
        <f t="shared" si="169"/>
        <v>0.00213408047971001</v>
      </c>
      <c r="O267" s="257"/>
    </row>
    <row r="268" s="54" customFormat="1" ht="25" customHeight="1" spans="1:15">
      <c r="A268" s="421">
        <v>2100403</v>
      </c>
      <c r="B268" s="142" t="s">
        <v>306</v>
      </c>
      <c r="C268" s="422">
        <v>138.29</v>
      </c>
      <c r="D268" s="422">
        <v>47.5</v>
      </c>
      <c r="E268" s="422">
        <f t="shared" si="175"/>
        <v>185.79</v>
      </c>
      <c r="F268" s="422">
        <v>-1.587</v>
      </c>
      <c r="G268" s="423"/>
      <c r="H268" s="423"/>
      <c r="I268" s="423"/>
      <c r="J268" s="422">
        <f t="shared" si="182"/>
        <v>0.259999999999998</v>
      </c>
      <c r="K268" s="422">
        <f t="shared" si="183"/>
        <v>136.703</v>
      </c>
      <c r="L268" s="422">
        <v>47.76</v>
      </c>
      <c r="M268" s="422">
        <f t="shared" si="176"/>
        <v>184.463</v>
      </c>
      <c r="N268" s="422">
        <f t="shared" si="169"/>
        <v>-0.714247268421335</v>
      </c>
      <c r="O268" s="257"/>
    </row>
    <row r="269" s="54" customFormat="1" ht="25" customHeight="1" spans="1:15">
      <c r="A269" s="421">
        <v>2100408</v>
      </c>
      <c r="B269" s="142" t="s">
        <v>307</v>
      </c>
      <c r="C269" s="422">
        <v>202.8</v>
      </c>
      <c r="D269" s="422">
        <v>1886</v>
      </c>
      <c r="E269" s="422">
        <f t="shared" si="175"/>
        <v>2088.8</v>
      </c>
      <c r="F269" s="422">
        <v>0</v>
      </c>
      <c r="G269" s="423"/>
      <c r="H269" s="423"/>
      <c r="I269" s="423"/>
      <c r="J269" s="422">
        <f t="shared" si="182"/>
        <v>20.509</v>
      </c>
      <c r="K269" s="422">
        <f t="shared" si="183"/>
        <v>202.8</v>
      </c>
      <c r="L269" s="422">
        <v>1906.509</v>
      </c>
      <c r="M269" s="422">
        <f t="shared" si="176"/>
        <v>2109.309</v>
      </c>
      <c r="N269" s="422">
        <f t="shared" si="169"/>
        <v>0.981855610877059</v>
      </c>
      <c r="O269" s="257"/>
    </row>
    <row r="270" s="54" customFormat="1" ht="25" customHeight="1" spans="1:15">
      <c r="A270" s="421">
        <v>2100409</v>
      </c>
      <c r="B270" s="142" t="s">
        <v>308</v>
      </c>
      <c r="C270" s="422">
        <v>181.4</v>
      </c>
      <c r="D270" s="422">
        <v>36</v>
      </c>
      <c r="E270" s="422">
        <f t="shared" si="175"/>
        <v>217.4</v>
      </c>
      <c r="F270" s="422">
        <v>-3</v>
      </c>
      <c r="G270" s="423"/>
      <c r="H270" s="423"/>
      <c r="I270" s="423"/>
      <c r="J270" s="422">
        <f t="shared" si="182"/>
        <v>46.24</v>
      </c>
      <c r="K270" s="422">
        <f t="shared" si="183"/>
        <v>178.4</v>
      </c>
      <c r="L270" s="422">
        <v>82.24</v>
      </c>
      <c r="M270" s="422">
        <f t="shared" si="176"/>
        <v>260.64</v>
      </c>
      <c r="N270" s="422">
        <f t="shared" si="169"/>
        <v>19.8896044158234</v>
      </c>
      <c r="O270" s="257"/>
    </row>
    <row r="271" s="54" customFormat="1" ht="25" customHeight="1" spans="1:15">
      <c r="A271" s="421">
        <v>2100410</v>
      </c>
      <c r="B271" s="142" t="s">
        <v>309</v>
      </c>
      <c r="C271" s="422">
        <v>1852</v>
      </c>
      <c r="D271" s="422">
        <v>677</v>
      </c>
      <c r="E271" s="422">
        <f t="shared" si="175"/>
        <v>2529</v>
      </c>
      <c r="F271" s="422">
        <v>-4.58</v>
      </c>
      <c r="G271" s="423"/>
      <c r="H271" s="423"/>
      <c r="I271" s="423">
        <v>23.82</v>
      </c>
      <c r="J271" s="422">
        <f t="shared" si="182"/>
        <v>-0.0499999999999545</v>
      </c>
      <c r="K271" s="422">
        <f t="shared" si="183"/>
        <v>1871.24</v>
      </c>
      <c r="L271" s="422">
        <v>676.95</v>
      </c>
      <c r="M271" s="422">
        <f t="shared" si="176"/>
        <v>2548.19</v>
      </c>
      <c r="N271" s="422">
        <f t="shared" si="169"/>
        <v>0.758797943851327</v>
      </c>
      <c r="O271" s="257"/>
    </row>
    <row r="272" s="54" customFormat="1" ht="25" customHeight="1" spans="1:15">
      <c r="A272" s="421">
        <v>2100499</v>
      </c>
      <c r="B272" s="142" t="s">
        <v>310</v>
      </c>
      <c r="C272" s="422">
        <v>155.2</v>
      </c>
      <c r="D272" s="422">
        <v>90</v>
      </c>
      <c r="E272" s="422">
        <f t="shared" si="175"/>
        <v>245.2</v>
      </c>
      <c r="F272" s="422">
        <v>76</v>
      </c>
      <c r="G272" s="423"/>
      <c r="H272" s="423"/>
      <c r="I272" s="423"/>
      <c r="J272" s="422">
        <f t="shared" si="182"/>
        <v>0.390000000000001</v>
      </c>
      <c r="K272" s="422">
        <f t="shared" si="183"/>
        <v>231.2</v>
      </c>
      <c r="L272" s="422">
        <v>90.39</v>
      </c>
      <c r="M272" s="422">
        <f t="shared" si="176"/>
        <v>321.59</v>
      </c>
      <c r="N272" s="422">
        <f t="shared" si="169"/>
        <v>31.1541598694943</v>
      </c>
      <c r="O272" s="257"/>
    </row>
    <row r="273" s="54" customFormat="1" ht="25" customHeight="1" spans="1:15">
      <c r="A273" s="421">
        <v>21006</v>
      </c>
      <c r="B273" s="142" t="s">
        <v>311</v>
      </c>
      <c r="C273" s="422">
        <f t="shared" ref="C273:L273" si="184">C274</f>
        <v>0</v>
      </c>
      <c r="D273" s="422">
        <f t="shared" si="184"/>
        <v>8</v>
      </c>
      <c r="E273" s="422">
        <f t="shared" si="175"/>
        <v>8</v>
      </c>
      <c r="F273" s="422">
        <f t="shared" si="184"/>
        <v>0</v>
      </c>
      <c r="G273" s="422">
        <f t="shared" si="184"/>
        <v>0</v>
      </c>
      <c r="H273" s="422">
        <f t="shared" si="184"/>
        <v>0</v>
      </c>
      <c r="I273" s="422">
        <f t="shared" si="184"/>
        <v>0</v>
      </c>
      <c r="J273" s="422">
        <f t="shared" si="184"/>
        <v>0</v>
      </c>
      <c r="K273" s="422">
        <f t="shared" si="184"/>
        <v>0</v>
      </c>
      <c r="L273" s="422">
        <f t="shared" si="184"/>
        <v>8</v>
      </c>
      <c r="M273" s="422">
        <f t="shared" si="176"/>
        <v>8</v>
      </c>
      <c r="N273" s="422">
        <v>100</v>
      </c>
      <c r="O273" s="257"/>
    </row>
    <row r="274" s="54" customFormat="1" ht="25" customHeight="1" spans="1:15">
      <c r="A274" s="421">
        <v>2100699</v>
      </c>
      <c r="B274" s="142" t="s">
        <v>312</v>
      </c>
      <c r="C274" s="423"/>
      <c r="D274" s="423">
        <v>8</v>
      </c>
      <c r="E274" s="422">
        <f t="shared" si="175"/>
        <v>8</v>
      </c>
      <c r="F274" s="422"/>
      <c r="G274" s="423"/>
      <c r="H274" s="422"/>
      <c r="I274" s="422"/>
      <c r="J274" s="422">
        <f t="shared" ref="J274:J277" si="185">L274-D274</f>
        <v>0</v>
      </c>
      <c r="K274" s="422">
        <f t="shared" ref="K274:K277" si="186">C274+F274+G274+H274+I274</f>
        <v>0</v>
      </c>
      <c r="L274" s="423">
        <v>8</v>
      </c>
      <c r="M274" s="422">
        <f t="shared" si="176"/>
        <v>8</v>
      </c>
      <c r="N274" s="422">
        <v>100</v>
      </c>
      <c r="O274" s="257"/>
    </row>
    <row r="275" s="54" customFormat="1" ht="25" customHeight="1" spans="1:15">
      <c r="A275" s="421">
        <v>21007</v>
      </c>
      <c r="B275" s="142" t="s">
        <v>313</v>
      </c>
      <c r="C275" s="422">
        <f t="shared" ref="C275:L275" si="187">C276+C277</f>
        <v>318.62</v>
      </c>
      <c r="D275" s="422">
        <f t="shared" si="187"/>
        <v>120.5</v>
      </c>
      <c r="E275" s="422">
        <f t="shared" si="175"/>
        <v>439.12</v>
      </c>
      <c r="F275" s="422">
        <f t="shared" si="187"/>
        <v>-16.5152</v>
      </c>
      <c r="G275" s="422">
        <f t="shared" si="187"/>
        <v>0</v>
      </c>
      <c r="H275" s="422">
        <f t="shared" si="187"/>
        <v>0</v>
      </c>
      <c r="I275" s="422">
        <f t="shared" si="187"/>
        <v>0</v>
      </c>
      <c r="J275" s="422">
        <f t="shared" si="187"/>
        <v>0.319999999999993</v>
      </c>
      <c r="K275" s="422">
        <f t="shared" si="187"/>
        <v>302.1048</v>
      </c>
      <c r="L275" s="422">
        <f t="shared" si="187"/>
        <v>120.82</v>
      </c>
      <c r="M275" s="422">
        <f t="shared" si="176"/>
        <v>422.9248</v>
      </c>
      <c r="N275" s="422">
        <f t="shared" ref="N275:N282" si="188">(M275-E275)/E275*100</f>
        <v>-3.68810347968665</v>
      </c>
      <c r="O275" s="257"/>
    </row>
    <row r="276" s="54" customFormat="1" ht="25" customHeight="1" spans="1:15">
      <c r="A276" s="421">
        <v>2100717</v>
      </c>
      <c r="B276" s="142" t="s">
        <v>314</v>
      </c>
      <c r="C276" s="422">
        <v>2</v>
      </c>
      <c r="D276" s="422">
        <v>0</v>
      </c>
      <c r="E276" s="422">
        <f t="shared" si="175"/>
        <v>2</v>
      </c>
      <c r="F276" s="422"/>
      <c r="G276" s="423">
        <v>0</v>
      </c>
      <c r="H276" s="423">
        <v>0</v>
      </c>
      <c r="I276" s="423">
        <v>0</v>
      </c>
      <c r="J276" s="422">
        <f t="shared" si="185"/>
        <v>0</v>
      </c>
      <c r="K276" s="422">
        <f t="shared" si="186"/>
        <v>2</v>
      </c>
      <c r="L276" s="422"/>
      <c r="M276" s="422">
        <f t="shared" si="176"/>
        <v>2</v>
      </c>
      <c r="N276" s="422">
        <f t="shared" si="188"/>
        <v>0</v>
      </c>
      <c r="O276" s="257"/>
    </row>
    <row r="277" s="54" customFormat="1" ht="25" customHeight="1" spans="1:15">
      <c r="A277" s="421">
        <v>2100799</v>
      </c>
      <c r="B277" s="142" t="s">
        <v>315</v>
      </c>
      <c r="C277" s="422">
        <v>316.62</v>
      </c>
      <c r="D277" s="422">
        <v>120.5</v>
      </c>
      <c r="E277" s="422">
        <f t="shared" si="175"/>
        <v>437.12</v>
      </c>
      <c r="F277" s="422">
        <v>-16.5152</v>
      </c>
      <c r="G277" s="423">
        <v>0</v>
      </c>
      <c r="H277" s="423">
        <v>0</v>
      </c>
      <c r="I277" s="423">
        <v>0</v>
      </c>
      <c r="J277" s="422">
        <f t="shared" si="185"/>
        <v>0.319999999999993</v>
      </c>
      <c r="K277" s="422">
        <f t="shared" si="186"/>
        <v>300.1048</v>
      </c>
      <c r="L277" s="422">
        <v>120.82</v>
      </c>
      <c r="M277" s="422">
        <f t="shared" si="176"/>
        <v>420.9248</v>
      </c>
      <c r="N277" s="422">
        <f t="shared" si="188"/>
        <v>-3.70497803806735</v>
      </c>
      <c r="O277" s="257"/>
    </row>
    <row r="278" s="54" customFormat="1" ht="25" customHeight="1" spans="1:15">
      <c r="A278" s="421">
        <v>21011</v>
      </c>
      <c r="B278" s="142" t="s">
        <v>316</v>
      </c>
      <c r="C278" s="422">
        <f t="shared" ref="C278:L278" si="189">C279</f>
        <v>832.67</v>
      </c>
      <c r="D278" s="422">
        <f t="shared" si="189"/>
        <v>0</v>
      </c>
      <c r="E278" s="422">
        <f t="shared" si="175"/>
        <v>832.67</v>
      </c>
      <c r="F278" s="422">
        <f t="shared" si="189"/>
        <v>-7.205</v>
      </c>
      <c r="G278" s="422">
        <f t="shared" si="189"/>
        <v>0</v>
      </c>
      <c r="H278" s="422">
        <f t="shared" si="189"/>
        <v>0</v>
      </c>
      <c r="I278" s="422">
        <f t="shared" si="189"/>
        <v>3.19</v>
      </c>
      <c r="J278" s="422">
        <f t="shared" si="189"/>
        <v>0</v>
      </c>
      <c r="K278" s="422">
        <f t="shared" si="189"/>
        <v>828.655</v>
      </c>
      <c r="L278" s="422">
        <f t="shared" si="189"/>
        <v>0</v>
      </c>
      <c r="M278" s="422">
        <f t="shared" si="176"/>
        <v>828.655</v>
      </c>
      <c r="N278" s="422">
        <f t="shared" si="188"/>
        <v>-0.482183818319381</v>
      </c>
      <c r="O278" s="257"/>
    </row>
    <row r="279" s="54" customFormat="1" ht="25" customHeight="1" spans="1:15">
      <c r="A279" s="421">
        <v>2101199</v>
      </c>
      <c r="B279" s="142" t="s">
        <v>317</v>
      </c>
      <c r="C279" s="422">
        <v>832.67</v>
      </c>
      <c r="D279" s="422"/>
      <c r="E279" s="422">
        <f t="shared" si="175"/>
        <v>832.67</v>
      </c>
      <c r="F279" s="422">
        <v>-7.205</v>
      </c>
      <c r="G279" s="422"/>
      <c r="H279" s="422"/>
      <c r="I279" s="422">
        <v>3.19</v>
      </c>
      <c r="J279" s="422">
        <f t="shared" ref="J279:J284" si="190">L279-D279</f>
        <v>0</v>
      </c>
      <c r="K279" s="422">
        <f t="shared" ref="K279:K284" si="191">C279+F279+G279+H279+I279</f>
        <v>828.655</v>
      </c>
      <c r="L279" s="422"/>
      <c r="M279" s="422">
        <f t="shared" si="176"/>
        <v>828.655</v>
      </c>
      <c r="N279" s="422">
        <f t="shared" si="188"/>
        <v>-0.482183818319381</v>
      </c>
      <c r="O279" s="257"/>
    </row>
    <row r="280" s="54" customFormat="1" ht="25" customHeight="1" spans="1:15">
      <c r="A280" s="421">
        <v>21012</v>
      </c>
      <c r="B280" s="142" t="s">
        <v>318</v>
      </c>
      <c r="C280" s="422">
        <f t="shared" ref="C280:L280" si="192">C281</f>
        <v>810</v>
      </c>
      <c r="D280" s="422">
        <f t="shared" si="192"/>
        <v>12256</v>
      </c>
      <c r="E280" s="422">
        <f t="shared" si="175"/>
        <v>13066</v>
      </c>
      <c r="F280" s="422">
        <f t="shared" si="192"/>
        <v>0</v>
      </c>
      <c r="G280" s="422">
        <f t="shared" si="192"/>
        <v>0</v>
      </c>
      <c r="H280" s="422">
        <f t="shared" si="192"/>
        <v>0</v>
      </c>
      <c r="I280" s="422">
        <f t="shared" si="192"/>
        <v>0</v>
      </c>
      <c r="J280" s="422">
        <f t="shared" si="192"/>
        <v>0.0623190000005707</v>
      </c>
      <c r="K280" s="422">
        <f t="shared" si="192"/>
        <v>810</v>
      </c>
      <c r="L280" s="422">
        <f t="shared" si="192"/>
        <v>12256.062319</v>
      </c>
      <c r="M280" s="422">
        <f t="shared" si="176"/>
        <v>13066.062319</v>
      </c>
      <c r="N280" s="422">
        <f t="shared" si="188"/>
        <v>0.000476955456915434</v>
      </c>
      <c r="O280" s="257"/>
    </row>
    <row r="281" s="54" customFormat="1" ht="25" customHeight="1" spans="1:15">
      <c r="A281" s="421">
        <v>2101202</v>
      </c>
      <c r="B281" s="142" t="s">
        <v>319</v>
      </c>
      <c r="C281" s="422">
        <v>810</v>
      </c>
      <c r="D281" s="422">
        <v>12256</v>
      </c>
      <c r="E281" s="422">
        <f t="shared" si="175"/>
        <v>13066</v>
      </c>
      <c r="F281" s="422"/>
      <c r="G281" s="423">
        <v>0</v>
      </c>
      <c r="H281" s="423">
        <v>0</v>
      </c>
      <c r="I281" s="423">
        <v>0</v>
      </c>
      <c r="J281" s="422">
        <f t="shared" si="190"/>
        <v>0.0623190000005707</v>
      </c>
      <c r="K281" s="422">
        <f t="shared" si="191"/>
        <v>810</v>
      </c>
      <c r="L281" s="422">
        <v>12256.062319</v>
      </c>
      <c r="M281" s="422">
        <f t="shared" si="176"/>
        <v>13066.062319</v>
      </c>
      <c r="N281" s="422">
        <f t="shared" si="188"/>
        <v>0.000476955456915434</v>
      </c>
      <c r="O281" s="257"/>
    </row>
    <row r="282" s="54" customFormat="1" ht="25" customHeight="1" spans="1:15">
      <c r="A282" s="421">
        <v>21013</v>
      </c>
      <c r="B282" s="142" t="s">
        <v>320</v>
      </c>
      <c r="C282" s="422">
        <f t="shared" ref="C282:L282" si="193">C284+C283</f>
        <v>0.3</v>
      </c>
      <c r="D282" s="422">
        <f t="shared" si="193"/>
        <v>876</v>
      </c>
      <c r="E282" s="422">
        <f t="shared" si="175"/>
        <v>876.3</v>
      </c>
      <c r="F282" s="422">
        <f t="shared" si="193"/>
        <v>0</v>
      </c>
      <c r="G282" s="422">
        <f t="shared" si="193"/>
        <v>0</v>
      </c>
      <c r="H282" s="422">
        <f t="shared" si="193"/>
        <v>0</v>
      </c>
      <c r="I282" s="422">
        <f t="shared" si="193"/>
        <v>0</v>
      </c>
      <c r="J282" s="422">
        <f t="shared" si="193"/>
        <v>0</v>
      </c>
      <c r="K282" s="422">
        <f t="shared" si="193"/>
        <v>0.3</v>
      </c>
      <c r="L282" s="422">
        <f t="shared" si="193"/>
        <v>876</v>
      </c>
      <c r="M282" s="422">
        <f t="shared" si="176"/>
        <v>876.3</v>
      </c>
      <c r="N282" s="422">
        <f t="shared" si="188"/>
        <v>0</v>
      </c>
      <c r="O282" s="257"/>
    </row>
    <row r="283" s="54" customFormat="1" ht="25" customHeight="1" spans="1:15">
      <c r="A283" s="421">
        <v>2101301</v>
      </c>
      <c r="B283" s="142" t="s">
        <v>321</v>
      </c>
      <c r="C283" s="423"/>
      <c r="D283" s="423">
        <v>876</v>
      </c>
      <c r="E283" s="422">
        <f t="shared" si="175"/>
        <v>876</v>
      </c>
      <c r="F283" s="422"/>
      <c r="G283" s="423"/>
      <c r="H283" s="422"/>
      <c r="I283" s="422"/>
      <c r="J283" s="422">
        <f t="shared" si="190"/>
        <v>0</v>
      </c>
      <c r="K283" s="422">
        <f t="shared" si="191"/>
        <v>0</v>
      </c>
      <c r="L283" s="423">
        <v>876</v>
      </c>
      <c r="M283" s="422">
        <f t="shared" si="176"/>
        <v>876</v>
      </c>
      <c r="N283" s="422">
        <v>100</v>
      </c>
      <c r="O283" s="257"/>
    </row>
    <row r="284" s="54" customFormat="1" ht="25" customHeight="1" spans="1:15">
      <c r="A284" s="421">
        <v>2101399</v>
      </c>
      <c r="B284" s="142" t="s">
        <v>322</v>
      </c>
      <c r="C284" s="422">
        <v>0.3</v>
      </c>
      <c r="D284" s="422">
        <v>0</v>
      </c>
      <c r="E284" s="422">
        <f t="shared" si="175"/>
        <v>0.3</v>
      </c>
      <c r="F284" s="422"/>
      <c r="G284" s="423">
        <v>0</v>
      </c>
      <c r="H284" s="423">
        <v>0</v>
      </c>
      <c r="I284" s="423">
        <v>0</v>
      </c>
      <c r="J284" s="422">
        <f t="shared" si="190"/>
        <v>0</v>
      </c>
      <c r="K284" s="422">
        <f t="shared" si="191"/>
        <v>0.3</v>
      </c>
      <c r="L284" s="422"/>
      <c r="M284" s="422">
        <f t="shared" si="176"/>
        <v>0.3</v>
      </c>
      <c r="N284" s="422">
        <f t="shared" ref="N284:N286" si="194">(M284-E284)/E284*100</f>
        <v>0</v>
      </c>
      <c r="O284" s="257"/>
    </row>
    <row r="285" s="54" customFormat="1" ht="25" customHeight="1" spans="1:15">
      <c r="A285" s="421">
        <v>21014</v>
      </c>
      <c r="B285" s="142" t="s">
        <v>323</v>
      </c>
      <c r="C285" s="422">
        <f t="shared" ref="C285:L285" si="195">C286+C287</f>
        <v>9.84</v>
      </c>
      <c r="D285" s="422">
        <f t="shared" si="195"/>
        <v>28</v>
      </c>
      <c r="E285" s="422">
        <f t="shared" si="175"/>
        <v>37.84</v>
      </c>
      <c r="F285" s="422">
        <f t="shared" si="195"/>
        <v>-2</v>
      </c>
      <c r="G285" s="422">
        <f t="shared" si="195"/>
        <v>0</v>
      </c>
      <c r="H285" s="422">
        <f t="shared" si="195"/>
        <v>0</v>
      </c>
      <c r="I285" s="422">
        <f t="shared" si="195"/>
        <v>0</v>
      </c>
      <c r="J285" s="422">
        <f t="shared" si="195"/>
        <v>-0.25</v>
      </c>
      <c r="K285" s="422">
        <f t="shared" si="195"/>
        <v>7.84</v>
      </c>
      <c r="L285" s="422">
        <f t="shared" si="195"/>
        <v>27.75</v>
      </c>
      <c r="M285" s="422">
        <f t="shared" si="176"/>
        <v>35.59</v>
      </c>
      <c r="N285" s="422">
        <f t="shared" si="194"/>
        <v>-5.946088794926</v>
      </c>
      <c r="O285" s="257"/>
    </row>
    <row r="286" s="54" customFormat="1" ht="25" customHeight="1" spans="1:15">
      <c r="A286" s="421">
        <v>2101401</v>
      </c>
      <c r="B286" s="142" t="s">
        <v>324</v>
      </c>
      <c r="C286" s="422">
        <v>2</v>
      </c>
      <c r="D286" s="422">
        <v>28</v>
      </c>
      <c r="E286" s="422">
        <f t="shared" si="175"/>
        <v>30</v>
      </c>
      <c r="F286" s="422">
        <v>-2</v>
      </c>
      <c r="G286" s="423">
        <v>0</v>
      </c>
      <c r="H286" s="423">
        <v>0</v>
      </c>
      <c r="I286" s="423">
        <v>0</v>
      </c>
      <c r="J286" s="422">
        <f t="shared" ref="J286:J289" si="196">L286-D286</f>
        <v>-0.25</v>
      </c>
      <c r="K286" s="422">
        <f t="shared" ref="K286:K289" si="197">C286+F286+G286+H286+I286</f>
        <v>0</v>
      </c>
      <c r="L286" s="422">
        <v>27.75</v>
      </c>
      <c r="M286" s="422">
        <f t="shared" si="176"/>
        <v>27.75</v>
      </c>
      <c r="N286" s="422">
        <f t="shared" si="194"/>
        <v>-7.5</v>
      </c>
      <c r="O286" s="257"/>
    </row>
    <row r="287" s="54" customFormat="1" ht="25" customHeight="1" spans="1:15">
      <c r="A287" s="421">
        <v>2101499</v>
      </c>
      <c r="B287" s="142" t="s">
        <v>325</v>
      </c>
      <c r="C287" s="422">
        <v>7.84</v>
      </c>
      <c r="D287" s="422">
        <v>0</v>
      </c>
      <c r="E287" s="422">
        <f t="shared" si="175"/>
        <v>7.84</v>
      </c>
      <c r="F287" s="422"/>
      <c r="G287" s="423"/>
      <c r="H287" s="423"/>
      <c r="I287" s="423"/>
      <c r="J287" s="422">
        <f t="shared" si="196"/>
        <v>0</v>
      </c>
      <c r="K287" s="422">
        <f t="shared" si="197"/>
        <v>7.84</v>
      </c>
      <c r="L287" s="422"/>
      <c r="M287" s="422">
        <f t="shared" si="176"/>
        <v>7.84</v>
      </c>
      <c r="N287" s="422">
        <v>100</v>
      </c>
      <c r="O287" s="257"/>
    </row>
    <row r="288" s="54" customFormat="1" ht="25" customHeight="1" spans="1:15">
      <c r="A288" s="421">
        <v>21015</v>
      </c>
      <c r="B288" s="142" t="s">
        <v>326</v>
      </c>
      <c r="C288" s="422">
        <f t="shared" ref="C288:L288" si="198">C289</f>
        <v>40</v>
      </c>
      <c r="D288" s="422">
        <f t="shared" si="198"/>
        <v>0</v>
      </c>
      <c r="E288" s="422">
        <f t="shared" si="175"/>
        <v>40</v>
      </c>
      <c r="F288" s="422">
        <f t="shared" si="198"/>
        <v>-40</v>
      </c>
      <c r="G288" s="422">
        <f t="shared" si="198"/>
        <v>0</v>
      </c>
      <c r="H288" s="422">
        <f t="shared" si="198"/>
        <v>0</v>
      </c>
      <c r="I288" s="422">
        <f t="shared" si="198"/>
        <v>0</v>
      </c>
      <c r="J288" s="422">
        <f t="shared" si="198"/>
        <v>0</v>
      </c>
      <c r="K288" s="422">
        <f t="shared" si="198"/>
        <v>0</v>
      </c>
      <c r="L288" s="422">
        <f t="shared" si="198"/>
        <v>0</v>
      </c>
      <c r="M288" s="422">
        <f t="shared" si="176"/>
        <v>0</v>
      </c>
      <c r="N288" s="422">
        <f t="shared" ref="N288:N294" si="199">(M288-E288)/E288*100</f>
        <v>-100</v>
      </c>
      <c r="O288" s="257"/>
    </row>
    <row r="289" s="54" customFormat="1" ht="25" customHeight="1" spans="1:15">
      <c r="A289" s="421">
        <v>2101504</v>
      </c>
      <c r="B289" s="142" t="s">
        <v>96</v>
      </c>
      <c r="C289" s="422">
        <v>40</v>
      </c>
      <c r="D289" s="422">
        <v>0</v>
      </c>
      <c r="E289" s="422">
        <f t="shared" si="175"/>
        <v>40</v>
      </c>
      <c r="F289" s="422">
        <v>-40</v>
      </c>
      <c r="G289" s="422">
        <v>0</v>
      </c>
      <c r="H289" s="422">
        <v>0</v>
      </c>
      <c r="I289" s="422">
        <v>0</v>
      </c>
      <c r="J289" s="422">
        <f t="shared" si="196"/>
        <v>0</v>
      </c>
      <c r="K289" s="422">
        <f t="shared" si="197"/>
        <v>0</v>
      </c>
      <c r="L289" s="422">
        <v>0</v>
      </c>
      <c r="M289" s="422">
        <f t="shared" si="176"/>
        <v>0</v>
      </c>
      <c r="N289" s="422">
        <f t="shared" si="199"/>
        <v>-100</v>
      </c>
      <c r="O289" s="257" t="s">
        <v>327</v>
      </c>
    </row>
    <row r="290" s="54" customFormat="1" ht="25" customHeight="1" spans="1:15">
      <c r="A290" s="421">
        <v>21016</v>
      </c>
      <c r="B290" s="142" t="s">
        <v>328</v>
      </c>
      <c r="C290" s="422">
        <f t="shared" ref="C290:L290" si="200">C291</f>
        <v>69</v>
      </c>
      <c r="D290" s="422">
        <f t="shared" si="200"/>
        <v>32</v>
      </c>
      <c r="E290" s="422">
        <f t="shared" si="175"/>
        <v>101</v>
      </c>
      <c r="F290" s="422">
        <f t="shared" si="200"/>
        <v>-9.803</v>
      </c>
      <c r="G290" s="422">
        <f t="shared" si="200"/>
        <v>0</v>
      </c>
      <c r="H290" s="422">
        <f t="shared" si="200"/>
        <v>0</v>
      </c>
      <c r="I290" s="422">
        <f t="shared" si="200"/>
        <v>0</v>
      </c>
      <c r="J290" s="422">
        <f t="shared" si="200"/>
        <v>-0.0259999999999998</v>
      </c>
      <c r="K290" s="422">
        <f t="shared" si="200"/>
        <v>59.197</v>
      </c>
      <c r="L290" s="422">
        <f t="shared" si="200"/>
        <v>31.974</v>
      </c>
      <c r="M290" s="422">
        <f t="shared" si="176"/>
        <v>91.171</v>
      </c>
      <c r="N290" s="422">
        <f t="shared" si="199"/>
        <v>-9.73168316831683</v>
      </c>
      <c r="O290" s="257"/>
    </row>
    <row r="291" s="54" customFormat="1" ht="25" customHeight="1" spans="1:15">
      <c r="A291" s="421">
        <v>2101601</v>
      </c>
      <c r="B291" s="142" t="s">
        <v>328</v>
      </c>
      <c r="C291" s="422">
        <v>69</v>
      </c>
      <c r="D291" s="422">
        <v>32</v>
      </c>
      <c r="E291" s="422">
        <f t="shared" si="175"/>
        <v>101</v>
      </c>
      <c r="F291" s="422">
        <v>-9.803</v>
      </c>
      <c r="G291" s="423">
        <v>0</v>
      </c>
      <c r="H291" s="423">
        <v>0</v>
      </c>
      <c r="I291" s="423">
        <v>0</v>
      </c>
      <c r="J291" s="422">
        <f t="shared" ref="J291:J297" si="201">L291-D291</f>
        <v>-0.0259999999999998</v>
      </c>
      <c r="K291" s="422">
        <f t="shared" ref="K291:K297" si="202">C291+F291+G291+H291+I291</f>
        <v>59.197</v>
      </c>
      <c r="L291" s="422">
        <v>31.974</v>
      </c>
      <c r="M291" s="422">
        <f t="shared" si="176"/>
        <v>91.171</v>
      </c>
      <c r="N291" s="422">
        <f t="shared" si="199"/>
        <v>-9.73168316831683</v>
      </c>
      <c r="O291" s="257"/>
    </row>
    <row r="292" s="54" customFormat="1" ht="25" customHeight="1" spans="1:15">
      <c r="A292" s="421">
        <v>21099</v>
      </c>
      <c r="B292" s="142" t="s">
        <v>329</v>
      </c>
      <c r="C292" s="422">
        <f t="shared" ref="C292:L292" si="203">C293</f>
        <v>934</v>
      </c>
      <c r="D292" s="422">
        <f t="shared" si="203"/>
        <v>108</v>
      </c>
      <c r="E292" s="422">
        <f t="shared" si="175"/>
        <v>1042</v>
      </c>
      <c r="F292" s="422">
        <f t="shared" si="203"/>
        <v>-163.4</v>
      </c>
      <c r="G292" s="422">
        <f t="shared" si="203"/>
        <v>0</v>
      </c>
      <c r="H292" s="422">
        <f t="shared" si="203"/>
        <v>0</v>
      </c>
      <c r="I292" s="422">
        <f t="shared" si="203"/>
        <v>-65.18</v>
      </c>
      <c r="J292" s="422">
        <f t="shared" si="203"/>
        <v>-0.400000000000006</v>
      </c>
      <c r="K292" s="422">
        <f t="shared" si="203"/>
        <v>705.42</v>
      </c>
      <c r="L292" s="422">
        <f t="shared" si="203"/>
        <v>107.6</v>
      </c>
      <c r="M292" s="422">
        <f t="shared" si="176"/>
        <v>813.02</v>
      </c>
      <c r="N292" s="422">
        <f t="shared" si="199"/>
        <v>-21.9750479846449</v>
      </c>
      <c r="O292" s="257"/>
    </row>
    <row r="293" s="54" customFormat="1" ht="25" customHeight="1" spans="1:15">
      <c r="A293" s="421">
        <v>2109901</v>
      </c>
      <c r="B293" s="142" t="s">
        <v>329</v>
      </c>
      <c r="C293" s="422">
        <v>934</v>
      </c>
      <c r="D293" s="422">
        <v>108</v>
      </c>
      <c r="E293" s="422">
        <f t="shared" si="175"/>
        <v>1042</v>
      </c>
      <c r="F293" s="422">
        <v>-163.4</v>
      </c>
      <c r="G293" s="423"/>
      <c r="H293" s="423"/>
      <c r="I293" s="423">
        <v>-65.18</v>
      </c>
      <c r="J293" s="422">
        <f t="shared" si="201"/>
        <v>-0.400000000000006</v>
      </c>
      <c r="K293" s="422">
        <f t="shared" si="202"/>
        <v>705.42</v>
      </c>
      <c r="L293" s="422">
        <v>107.6</v>
      </c>
      <c r="M293" s="422">
        <f t="shared" si="176"/>
        <v>813.02</v>
      </c>
      <c r="N293" s="422">
        <f t="shared" si="199"/>
        <v>-21.9750479846449</v>
      </c>
      <c r="O293" s="257"/>
    </row>
    <row r="294" s="54" customFormat="1" ht="25" customHeight="1" spans="1:15">
      <c r="A294" s="421">
        <v>211</v>
      </c>
      <c r="B294" s="142" t="s">
        <v>330</v>
      </c>
      <c r="C294" s="422">
        <f t="shared" ref="C294:M294" si="204">C295+C302+C306+C298+C304</f>
        <v>577.63</v>
      </c>
      <c r="D294" s="422">
        <f t="shared" si="204"/>
        <v>3819</v>
      </c>
      <c r="E294" s="422">
        <f t="shared" si="204"/>
        <v>4396.63</v>
      </c>
      <c r="F294" s="422">
        <f t="shared" si="204"/>
        <v>0</v>
      </c>
      <c r="G294" s="422">
        <f t="shared" si="204"/>
        <v>0</v>
      </c>
      <c r="H294" s="422">
        <f t="shared" si="204"/>
        <v>0</v>
      </c>
      <c r="I294" s="422">
        <f t="shared" si="204"/>
        <v>0</v>
      </c>
      <c r="J294" s="422">
        <f t="shared" si="204"/>
        <v>-393.04</v>
      </c>
      <c r="K294" s="422">
        <f t="shared" si="204"/>
        <v>577.63</v>
      </c>
      <c r="L294" s="422">
        <f t="shared" si="204"/>
        <v>3425.96</v>
      </c>
      <c r="M294" s="422">
        <f t="shared" si="204"/>
        <v>4003.59</v>
      </c>
      <c r="N294" s="422">
        <f t="shared" si="199"/>
        <v>-8.93957417385588</v>
      </c>
      <c r="O294" s="257"/>
    </row>
    <row r="295" s="54" customFormat="1" ht="25" customHeight="1" spans="1:15">
      <c r="A295" s="421">
        <v>21101</v>
      </c>
      <c r="B295" s="142" t="s">
        <v>331</v>
      </c>
      <c r="C295" s="422">
        <f t="shared" ref="C295:L295" si="205">C296+C297</f>
        <v>18.63</v>
      </c>
      <c r="D295" s="422">
        <f t="shared" si="205"/>
        <v>0</v>
      </c>
      <c r="E295" s="422">
        <f t="shared" ref="E295:E319" si="206">C295+D295</f>
        <v>18.63</v>
      </c>
      <c r="F295" s="422">
        <f t="shared" si="205"/>
        <v>0</v>
      </c>
      <c r="G295" s="422">
        <f t="shared" si="205"/>
        <v>0</v>
      </c>
      <c r="H295" s="422">
        <f t="shared" si="205"/>
        <v>0</v>
      </c>
      <c r="I295" s="422">
        <f t="shared" si="205"/>
        <v>0</v>
      </c>
      <c r="J295" s="422">
        <f t="shared" si="205"/>
        <v>0</v>
      </c>
      <c r="K295" s="422">
        <f t="shared" si="205"/>
        <v>18.63</v>
      </c>
      <c r="L295" s="422">
        <f t="shared" si="205"/>
        <v>0</v>
      </c>
      <c r="M295" s="422">
        <f t="shared" ref="M295:M319" si="207">K295+L295</f>
        <v>18.63</v>
      </c>
      <c r="N295" s="422">
        <v>100</v>
      </c>
      <c r="O295" s="257"/>
    </row>
    <row r="296" s="54" customFormat="1" ht="25" customHeight="1" spans="1:15">
      <c r="A296" s="421">
        <v>2110101</v>
      </c>
      <c r="B296" s="142" t="s">
        <v>70</v>
      </c>
      <c r="C296" s="422">
        <v>3.63</v>
      </c>
      <c r="D296" s="422">
        <v>0</v>
      </c>
      <c r="E296" s="422">
        <f t="shared" si="206"/>
        <v>3.63</v>
      </c>
      <c r="F296" s="422"/>
      <c r="G296" s="423"/>
      <c r="H296" s="423"/>
      <c r="I296" s="423"/>
      <c r="J296" s="422">
        <f t="shared" si="201"/>
        <v>0</v>
      </c>
      <c r="K296" s="422">
        <f t="shared" si="202"/>
        <v>3.63</v>
      </c>
      <c r="L296" s="422"/>
      <c r="M296" s="422">
        <f t="shared" si="207"/>
        <v>3.63</v>
      </c>
      <c r="N296" s="422">
        <v>100</v>
      </c>
      <c r="O296" s="257"/>
    </row>
    <row r="297" s="54" customFormat="1" ht="25" customHeight="1" spans="1:15">
      <c r="A297" s="421">
        <v>2110199</v>
      </c>
      <c r="B297" s="142" t="s">
        <v>332</v>
      </c>
      <c r="C297" s="422">
        <v>15</v>
      </c>
      <c r="D297" s="422">
        <v>0</v>
      </c>
      <c r="E297" s="422">
        <f t="shared" si="206"/>
        <v>15</v>
      </c>
      <c r="F297" s="422"/>
      <c r="G297" s="423"/>
      <c r="H297" s="423"/>
      <c r="I297" s="423"/>
      <c r="J297" s="422">
        <f t="shared" si="201"/>
        <v>0</v>
      </c>
      <c r="K297" s="422">
        <f t="shared" si="202"/>
        <v>15</v>
      </c>
      <c r="L297" s="422"/>
      <c r="M297" s="422">
        <f t="shared" si="207"/>
        <v>15</v>
      </c>
      <c r="N297" s="422">
        <v>100</v>
      </c>
      <c r="O297" s="257"/>
    </row>
    <row r="298" s="54" customFormat="1" ht="25" customHeight="1" spans="1:15">
      <c r="A298" s="421">
        <v>21103</v>
      </c>
      <c r="B298" s="142" t="s">
        <v>333</v>
      </c>
      <c r="C298" s="422">
        <f t="shared" ref="C298:L298" si="208">C300+C299+C301</f>
        <v>120</v>
      </c>
      <c r="D298" s="422">
        <f t="shared" si="208"/>
        <v>3009</v>
      </c>
      <c r="E298" s="422">
        <f t="shared" si="206"/>
        <v>3129</v>
      </c>
      <c r="F298" s="422">
        <f t="shared" si="208"/>
        <v>0</v>
      </c>
      <c r="G298" s="422">
        <f t="shared" si="208"/>
        <v>0</v>
      </c>
      <c r="H298" s="422">
        <f t="shared" si="208"/>
        <v>0</v>
      </c>
      <c r="I298" s="422">
        <f t="shared" si="208"/>
        <v>0</v>
      </c>
      <c r="J298" s="422">
        <f t="shared" si="208"/>
        <v>6.50999999999999</v>
      </c>
      <c r="K298" s="422">
        <f t="shared" si="208"/>
        <v>120</v>
      </c>
      <c r="L298" s="422">
        <f t="shared" si="208"/>
        <v>3015.51</v>
      </c>
      <c r="M298" s="422">
        <f t="shared" si="207"/>
        <v>3135.51</v>
      </c>
      <c r="N298" s="422">
        <v>100</v>
      </c>
      <c r="O298" s="257"/>
    </row>
    <row r="299" s="54" customFormat="1" ht="25" customHeight="1" spans="1:15">
      <c r="A299" s="421">
        <v>2110302</v>
      </c>
      <c r="B299" s="142" t="s">
        <v>334</v>
      </c>
      <c r="C299" s="423"/>
      <c r="D299" s="423">
        <v>422</v>
      </c>
      <c r="E299" s="422">
        <f t="shared" si="206"/>
        <v>422</v>
      </c>
      <c r="F299" s="422"/>
      <c r="G299" s="423"/>
      <c r="H299" s="422"/>
      <c r="I299" s="423"/>
      <c r="J299" s="422">
        <f t="shared" ref="J299:J301" si="209">L299-D299</f>
        <v>-0.490000000000009</v>
      </c>
      <c r="K299" s="422">
        <f t="shared" ref="K299:K301" si="210">C299+F299+G299+H299+I299</f>
        <v>0</v>
      </c>
      <c r="L299" s="423">
        <v>421.51</v>
      </c>
      <c r="M299" s="422">
        <f t="shared" si="207"/>
        <v>421.51</v>
      </c>
      <c r="N299" s="422">
        <v>100</v>
      </c>
      <c r="O299" s="257"/>
    </row>
    <row r="300" s="54" customFormat="1" ht="25" customHeight="1" spans="1:15">
      <c r="A300" s="421" t="s">
        <v>335</v>
      </c>
      <c r="B300" s="142" t="s">
        <v>336</v>
      </c>
      <c r="C300" s="422">
        <v>120</v>
      </c>
      <c r="D300" s="422">
        <v>250</v>
      </c>
      <c r="E300" s="422">
        <f t="shared" si="206"/>
        <v>370</v>
      </c>
      <c r="F300" s="422"/>
      <c r="G300" s="423">
        <v>0</v>
      </c>
      <c r="H300" s="423">
        <v>0</v>
      </c>
      <c r="I300" s="423"/>
      <c r="J300" s="422">
        <f t="shared" si="209"/>
        <v>0</v>
      </c>
      <c r="K300" s="422">
        <f t="shared" si="210"/>
        <v>120</v>
      </c>
      <c r="L300" s="422">
        <v>250</v>
      </c>
      <c r="M300" s="422">
        <f t="shared" si="207"/>
        <v>370</v>
      </c>
      <c r="N300" s="422">
        <v>100</v>
      </c>
      <c r="O300" s="257"/>
    </row>
    <row r="301" s="54" customFormat="1" ht="25" customHeight="1" spans="1:15">
      <c r="A301" s="421">
        <v>2110399</v>
      </c>
      <c r="B301" s="142" t="s">
        <v>337</v>
      </c>
      <c r="C301" s="423"/>
      <c r="D301" s="423">
        <v>2337</v>
      </c>
      <c r="E301" s="422">
        <f t="shared" si="206"/>
        <v>2337</v>
      </c>
      <c r="F301" s="422"/>
      <c r="G301" s="423"/>
      <c r="H301" s="422"/>
      <c r="I301" s="423"/>
      <c r="J301" s="422">
        <f t="shared" si="209"/>
        <v>7</v>
      </c>
      <c r="K301" s="422">
        <f t="shared" si="210"/>
        <v>0</v>
      </c>
      <c r="L301" s="423">
        <v>2344</v>
      </c>
      <c r="M301" s="422">
        <f t="shared" si="207"/>
        <v>2344</v>
      </c>
      <c r="N301" s="422">
        <v>100</v>
      </c>
      <c r="O301" s="257"/>
    </row>
    <row r="302" s="54" customFormat="1" ht="25" customHeight="1" spans="1:15">
      <c r="A302" s="421">
        <v>21110</v>
      </c>
      <c r="B302" s="142" t="s">
        <v>333</v>
      </c>
      <c r="C302" s="422">
        <f t="shared" ref="C302:L302" si="211">C303</f>
        <v>400</v>
      </c>
      <c r="D302" s="422">
        <f t="shared" si="211"/>
        <v>0</v>
      </c>
      <c r="E302" s="422">
        <f t="shared" si="206"/>
        <v>400</v>
      </c>
      <c r="F302" s="422">
        <f t="shared" si="211"/>
        <v>0</v>
      </c>
      <c r="G302" s="422">
        <f t="shared" si="211"/>
        <v>0</v>
      </c>
      <c r="H302" s="422">
        <f t="shared" si="211"/>
        <v>0</v>
      </c>
      <c r="I302" s="422">
        <f t="shared" si="211"/>
        <v>0</v>
      </c>
      <c r="J302" s="422">
        <f t="shared" si="211"/>
        <v>-400</v>
      </c>
      <c r="K302" s="422">
        <f t="shared" si="211"/>
        <v>400</v>
      </c>
      <c r="L302" s="422">
        <f t="shared" si="211"/>
        <v>-400</v>
      </c>
      <c r="M302" s="422">
        <f t="shared" si="207"/>
        <v>0</v>
      </c>
      <c r="N302" s="422">
        <f t="shared" ref="N302:N323" si="212">(M302-E302)/E302*100</f>
        <v>-100</v>
      </c>
      <c r="O302" s="257"/>
    </row>
    <row r="303" s="54" customFormat="1" ht="25" customHeight="1" spans="1:15">
      <c r="A303" s="421">
        <v>2111001</v>
      </c>
      <c r="B303" s="142" t="s">
        <v>333</v>
      </c>
      <c r="C303" s="422">
        <v>400</v>
      </c>
      <c r="D303" s="422"/>
      <c r="E303" s="422">
        <f t="shared" si="206"/>
        <v>400</v>
      </c>
      <c r="F303" s="422"/>
      <c r="G303" s="423">
        <v>0</v>
      </c>
      <c r="H303" s="423">
        <v>0</v>
      </c>
      <c r="I303" s="423">
        <v>0</v>
      </c>
      <c r="J303" s="422">
        <f t="shared" ref="J303:J307" si="213">L303-D303</f>
        <v>-400</v>
      </c>
      <c r="K303" s="422">
        <f t="shared" ref="K303:K307" si="214">C303+F303+G303+H303+I303</f>
        <v>400</v>
      </c>
      <c r="L303" s="422">
        <v>-400</v>
      </c>
      <c r="M303" s="422">
        <f t="shared" si="207"/>
        <v>0</v>
      </c>
      <c r="N303" s="422">
        <f t="shared" si="212"/>
        <v>-100</v>
      </c>
      <c r="O303" s="257"/>
    </row>
    <row r="304" s="54" customFormat="1" ht="25" customHeight="1" spans="1:15">
      <c r="A304" s="421">
        <v>21113</v>
      </c>
      <c r="B304" s="142" t="s">
        <v>338</v>
      </c>
      <c r="C304" s="422">
        <f t="shared" ref="C304:L304" si="215">C305</f>
        <v>0</v>
      </c>
      <c r="D304" s="422">
        <f t="shared" si="215"/>
        <v>649</v>
      </c>
      <c r="E304" s="422">
        <f t="shared" si="206"/>
        <v>649</v>
      </c>
      <c r="F304" s="422">
        <f t="shared" si="215"/>
        <v>0</v>
      </c>
      <c r="G304" s="422">
        <f t="shared" si="215"/>
        <v>0</v>
      </c>
      <c r="H304" s="422">
        <f t="shared" si="215"/>
        <v>0</v>
      </c>
      <c r="I304" s="422">
        <f t="shared" si="215"/>
        <v>0</v>
      </c>
      <c r="J304" s="422">
        <f t="shared" si="215"/>
        <v>0.450000000000045</v>
      </c>
      <c r="K304" s="422">
        <f t="shared" si="215"/>
        <v>0</v>
      </c>
      <c r="L304" s="422">
        <f t="shared" si="215"/>
        <v>649.45</v>
      </c>
      <c r="M304" s="422">
        <f t="shared" si="207"/>
        <v>649.45</v>
      </c>
      <c r="N304" s="422">
        <f t="shared" si="212"/>
        <v>0.0693374422188052</v>
      </c>
      <c r="O304" s="257"/>
    </row>
    <row r="305" s="54" customFormat="1" ht="25" customHeight="1" spans="1:15">
      <c r="A305" s="421">
        <v>2111301</v>
      </c>
      <c r="B305" s="142" t="s">
        <v>338</v>
      </c>
      <c r="C305" s="423"/>
      <c r="D305" s="422">
        <v>649</v>
      </c>
      <c r="E305" s="422">
        <f t="shared" si="206"/>
        <v>649</v>
      </c>
      <c r="F305" s="422"/>
      <c r="G305" s="423"/>
      <c r="H305" s="422"/>
      <c r="I305" s="422"/>
      <c r="J305" s="422">
        <f t="shared" si="213"/>
        <v>0.450000000000045</v>
      </c>
      <c r="K305" s="422">
        <f t="shared" si="214"/>
        <v>0</v>
      </c>
      <c r="L305" s="423">
        <v>649.45</v>
      </c>
      <c r="M305" s="422">
        <f t="shared" si="207"/>
        <v>649.45</v>
      </c>
      <c r="N305" s="422">
        <f t="shared" si="212"/>
        <v>0.0693374422188052</v>
      </c>
      <c r="O305" s="257"/>
    </row>
    <row r="306" s="54" customFormat="1" ht="25" customHeight="1" spans="1:15">
      <c r="A306" s="421">
        <v>21199</v>
      </c>
      <c r="B306" s="142" t="s">
        <v>339</v>
      </c>
      <c r="C306" s="422">
        <f t="shared" ref="C306:L306" si="216">C307</f>
        <v>39</v>
      </c>
      <c r="D306" s="422">
        <f t="shared" si="216"/>
        <v>161</v>
      </c>
      <c r="E306" s="422">
        <f t="shared" si="206"/>
        <v>200</v>
      </c>
      <c r="F306" s="422">
        <f t="shared" si="216"/>
        <v>0</v>
      </c>
      <c r="G306" s="422">
        <f t="shared" si="216"/>
        <v>0</v>
      </c>
      <c r="H306" s="422">
        <f t="shared" si="216"/>
        <v>0</v>
      </c>
      <c r="I306" s="422">
        <f t="shared" si="216"/>
        <v>0</v>
      </c>
      <c r="J306" s="422">
        <f t="shared" si="216"/>
        <v>0</v>
      </c>
      <c r="K306" s="422">
        <f t="shared" si="216"/>
        <v>39</v>
      </c>
      <c r="L306" s="422">
        <f t="shared" si="216"/>
        <v>161</v>
      </c>
      <c r="M306" s="422">
        <f t="shared" si="207"/>
        <v>200</v>
      </c>
      <c r="N306" s="422">
        <f t="shared" si="212"/>
        <v>0</v>
      </c>
      <c r="O306" s="429"/>
    </row>
    <row r="307" s="54" customFormat="1" ht="25" customHeight="1" spans="1:15">
      <c r="A307" s="421">
        <v>2119901</v>
      </c>
      <c r="B307" s="142" t="s">
        <v>339</v>
      </c>
      <c r="C307" s="422">
        <v>39</v>
      </c>
      <c r="D307" s="422">
        <v>161</v>
      </c>
      <c r="E307" s="422">
        <f t="shared" si="206"/>
        <v>200</v>
      </c>
      <c r="F307" s="422"/>
      <c r="G307" s="423">
        <v>0</v>
      </c>
      <c r="H307" s="423">
        <v>0</v>
      </c>
      <c r="I307" s="423">
        <v>0</v>
      </c>
      <c r="J307" s="422">
        <f t="shared" si="213"/>
        <v>0</v>
      </c>
      <c r="K307" s="422">
        <f t="shared" si="214"/>
        <v>39</v>
      </c>
      <c r="L307" s="422">
        <v>161</v>
      </c>
      <c r="M307" s="422">
        <f t="shared" si="207"/>
        <v>200</v>
      </c>
      <c r="N307" s="422">
        <f t="shared" si="212"/>
        <v>0</v>
      </c>
      <c r="O307" s="257"/>
    </row>
    <row r="308" s="54" customFormat="1" ht="25" customHeight="1" spans="1:15">
      <c r="A308" s="421">
        <v>212</v>
      </c>
      <c r="B308" s="142" t="s">
        <v>340</v>
      </c>
      <c r="C308" s="422">
        <f t="shared" ref="C308:L308" si="217">C309+C314+C316+C318+C320</f>
        <v>25272.56</v>
      </c>
      <c r="D308" s="422">
        <f t="shared" si="217"/>
        <v>6671</v>
      </c>
      <c r="E308" s="422">
        <f t="shared" si="206"/>
        <v>31943.56</v>
      </c>
      <c r="F308" s="422">
        <f t="shared" si="217"/>
        <v>-2510.644178</v>
      </c>
      <c r="G308" s="422">
        <f t="shared" si="217"/>
        <v>-3</v>
      </c>
      <c r="H308" s="422">
        <f t="shared" si="217"/>
        <v>0</v>
      </c>
      <c r="I308" s="422">
        <f t="shared" si="217"/>
        <v>79.34</v>
      </c>
      <c r="J308" s="422">
        <f t="shared" si="217"/>
        <v>20.0671329999999</v>
      </c>
      <c r="K308" s="422">
        <f t="shared" si="217"/>
        <v>22838.255822</v>
      </c>
      <c r="L308" s="422">
        <f t="shared" si="217"/>
        <v>6691.067133</v>
      </c>
      <c r="M308" s="422">
        <f t="shared" si="207"/>
        <v>29529.322955</v>
      </c>
      <c r="N308" s="422">
        <f t="shared" si="212"/>
        <v>-7.55782087218833</v>
      </c>
      <c r="O308" s="257"/>
    </row>
    <row r="309" s="54" customFormat="1" ht="25" customHeight="1" spans="1:15">
      <c r="A309" s="421">
        <v>21201</v>
      </c>
      <c r="B309" s="142" t="s">
        <v>341</v>
      </c>
      <c r="C309" s="422">
        <f t="shared" ref="C309:L309" si="218">C310+C311+C312+C313</f>
        <v>12500.86</v>
      </c>
      <c r="D309" s="422">
        <f t="shared" si="218"/>
        <v>330</v>
      </c>
      <c r="E309" s="422">
        <f t="shared" si="206"/>
        <v>12830.86</v>
      </c>
      <c r="F309" s="422">
        <f t="shared" si="218"/>
        <v>-643.550178</v>
      </c>
      <c r="G309" s="422">
        <f t="shared" si="218"/>
        <v>0</v>
      </c>
      <c r="H309" s="422">
        <f t="shared" si="218"/>
        <v>0</v>
      </c>
      <c r="I309" s="422">
        <f t="shared" si="218"/>
        <v>83.34</v>
      </c>
      <c r="J309" s="422">
        <f t="shared" si="218"/>
        <v>0.389999999999986</v>
      </c>
      <c r="K309" s="422">
        <f t="shared" si="218"/>
        <v>11940.649822</v>
      </c>
      <c r="L309" s="422">
        <f t="shared" si="218"/>
        <v>330.39</v>
      </c>
      <c r="M309" s="422">
        <f t="shared" si="207"/>
        <v>12271.039822</v>
      </c>
      <c r="N309" s="422">
        <f t="shared" si="212"/>
        <v>-4.36307603699208</v>
      </c>
      <c r="O309" s="257"/>
    </row>
    <row r="310" s="54" customFormat="1" ht="25" customHeight="1" spans="1:15">
      <c r="A310" s="421">
        <v>2120101</v>
      </c>
      <c r="B310" s="142" t="s">
        <v>70</v>
      </c>
      <c r="C310" s="422">
        <v>2647.9</v>
      </c>
      <c r="D310" s="422">
        <v>135</v>
      </c>
      <c r="E310" s="422">
        <f t="shared" si="206"/>
        <v>2782.9</v>
      </c>
      <c r="F310" s="422">
        <v>-91.456243</v>
      </c>
      <c r="G310" s="423"/>
      <c r="H310" s="423"/>
      <c r="I310" s="423"/>
      <c r="J310" s="422">
        <f t="shared" ref="J310:J313" si="219">L310-D310</f>
        <v>0.389999999999986</v>
      </c>
      <c r="K310" s="422">
        <f t="shared" ref="K310:K313" si="220">C310+F310+G310+H310+I310</f>
        <v>2556.443757</v>
      </c>
      <c r="L310" s="422">
        <v>135.39</v>
      </c>
      <c r="M310" s="422">
        <f t="shared" si="207"/>
        <v>2691.833757</v>
      </c>
      <c r="N310" s="422">
        <f t="shared" si="212"/>
        <v>-3.27235053361602</v>
      </c>
      <c r="O310" s="257"/>
    </row>
    <row r="311" s="54" customFormat="1" ht="25" customHeight="1" spans="1:15">
      <c r="A311" s="421">
        <v>2120104</v>
      </c>
      <c r="B311" s="142" t="s">
        <v>342</v>
      </c>
      <c r="C311" s="422">
        <v>40</v>
      </c>
      <c r="D311" s="422">
        <v>0</v>
      </c>
      <c r="E311" s="422">
        <f t="shared" si="206"/>
        <v>40</v>
      </c>
      <c r="F311" s="422"/>
      <c r="G311" s="423"/>
      <c r="H311" s="423"/>
      <c r="I311" s="423"/>
      <c r="J311" s="422">
        <f t="shared" si="219"/>
        <v>0</v>
      </c>
      <c r="K311" s="422">
        <f t="shared" si="220"/>
        <v>40</v>
      </c>
      <c r="L311" s="422"/>
      <c r="M311" s="422">
        <f t="shared" si="207"/>
        <v>40</v>
      </c>
      <c r="N311" s="422">
        <f t="shared" si="212"/>
        <v>0</v>
      </c>
      <c r="O311" s="257"/>
    </row>
    <row r="312" s="54" customFormat="1" ht="25" customHeight="1" spans="1:15">
      <c r="A312" s="421">
        <v>2120106</v>
      </c>
      <c r="B312" s="142" t="s">
        <v>343</v>
      </c>
      <c r="C312" s="422">
        <v>193.21</v>
      </c>
      <c r="D312" s="422">
        <v>0</v>
      </c>
      <c r="E312" s="422">
        <f t="shared" si="206"/>
        <v>193.21</v>
      </c>
      <c r="F312" s="422">
        <v>-1.0914</v>
      </c>
      <c r="G312" s="423"/>
      <c r="H312" s="423"/>
      <c r="I312" s="423">
        <v>0.86</v>
      </c>
      <c r="J312" s="422">
        <f t="shared" si="219"/>
        <v>0</v>
      </c>
      <c r="K312" s="422">
        <f t="shared" si="220"/>
        <v>192.9786</v>
      </c>
      <c r="L312" s="422"/>
      <c r="M312" s="422">
        <f t="shared" si="207"/>
        <v>192.9786</v>
      </c>
      <c r="N312" s="422">
        <f t="shared" si="212"/>
        <v>-0.11976605765746</v>
      </c>
      <c r="O312" s="257"/>
    </row>
    <row r="313" s="54" customFormat="1" ht="25" customHeight="1" spans="1:15">
      <c r="A313" s="421">
        <v>2120199</v>
      </c>
      <c r="B313" s="142" t="s">
        <v>344</v>
      </c>
      <c r="C313" s="422">
        <v>9619.75</v>
      </c>
      <c r="D313" s="422">
        <v>195</v>
      </c>
      <c r="E313" s="422">
        <f t="shared" si="206"/>
        <v>9814.75</v>
      </c>
      <c r="F313" s="422">
        <v>-551.002535</v>
      </c>
      <c r="G313" s="423"/>
      <c r="H313" s="423"/>
      <c r="I313" s="423">
        <v>82.48</v>
      </c>
      <c r="J313" s="422">
        <f t="shared" si="219"/>
        <v>0</v>
      </c>
      <c r="K313" s="422">
        <f t="shared" si="220"/>
        <v>9151.227465</v>
      </c>
      <c r="L313" s="422">
        <v>195</v>
      </c>
      <c r="M313" s="422">
        <f t="shared" si="207"/>
        <v>9346.227465</v>
      </c>
      <c r="N313" s="422">
        <f t="shared" si="212"/>
        <v>-4.77365735245422</v>
      </c>
      <c r="O313" s="257" t="s">
        <v>345</v>
      </c>
    </row>
    <row r="314" s="54" customFormat="1" ht="25" customHeight="1" spans="1:15">
      <c r="A314" s="421">
        <v>21202</v>
      </c>
      <c r="B314" s="142" t="s">
        <v>346</v>
      </c>
      <c r="C314" s="422">
        <f t="shared" ref="C314:L314" si="221">C315</f>
        <v>41.69</v>
      </c>
      <c r="D314" s="422">
        <f t="shared" si="221"/>
        <v>0</v>
      </c>
      <c r="E314" s="422">
        <f t="shared" si="206"/>
        <v>41.69</v>
      </c>
      <c r="F314" s="422">
        <f t="shared" si="221"/>
        <v>0</v>
      </c>
      <c r="G314" s="422">
        <f t="shared" si="221"/>
        <v>0</v>
      </c>
      <c r="H314" s="422">
        <f t="shared" si="221"/>
        <v>0</v>
      </c>
      <c r="I314" s="422">
        <f t="shared" si="221"/>
        <v>0</v>
      </c>
      <c r="J314" s="422">
        <f t="shared" si="221"/>
        <v>0</v>
      </c>
      <c r="K314" s="422">
        <f t="shared" si="221"/>
        <v>41.69</v>
      </c>
      <c r="L314" s="422">
        <f t="shared" si="221"/>
        <v>0</v>
      </c>
      <c r="M314" s="422">
        <f t="shared" si="207"/>
        <v>41.69</v>
      </c>
      <c r="N314" s="422">
        <f t="shared" si="212"/>
        <v>0</v>
      </c>
      <c r="O314" s="257"/>
    </row>
    <row r="315" s="54" customFormat="1" ht="25" customHeight="1" spans="1:15">
      <c r="A315" s="421">
        <v>2120201</v>
      </c>
      <c r="B315" s="142" t="s">
        <v>346</v>
      </c>
      <c r="C315" s="422">
        <v>41.69</v>
      </c>
      <c r="D315" s="422"/>
      <c r="E315" s="422">
        <f t="shared" si="206"/>
        <v>41.69</v>
      </c>
      <c r="F315" s="422"/>
      <c r="G315" s="423"/>
      <c r="H315" s="423"/>
      <c r="I315" s="423"/>
      <c r="J315" s="422">
        <f t="shared" ref="J315:J319" si="222">L315-D315</f>
        <v>0</v>
      </c>
      <c r="K315" s="422">
        <f t="shared" ref="K315:K319" si="223">C315+F315+G315+H315+I315</f>
        <v>41.69</v>
      </c>
      <c r="L315" s="422">
        <v>0</v>
      </c>
      <c r="M315" s="422">
        <f t="shared" si="207"/>
        <v>41.69</v>
      </c>
      <c r="N315" s="422">
        <f t="shared" si="212"/>
        <v>0</v>
      </c>
      <c r="O315" s="257"/>
    </row>
    <row r="316" s="54" customFormat="1" ht="25" customHeight="1" spans="1:15">
      <c r="A316" s="421">
        <v>21203</v>
      </c>
      <c r="B316" s="142" t="s">
        <v>347</v>
      </c>
      <c r="C316" s="422">
        <f t="shared" ref="C316:L316" si="224">C317</f>
        <v>8169.74</v>
      </c>
      <c r="D316" s="422">
        <f t="shared" si="224"/>
        <v>4837</v>
      </c>
      <c r="E316" s="422">
        <f t="shared" si="206"/>
        <v>13006.74</v>
      </c>
      <c r="F316" s="422">
        <f t="shared" si="224"/>
        <v>-1099.35</v>
      </c>
      <c r="G316" s="422">
        <f t="shared" si="224"/>
        <v>0</v>
      </c>
      <c r="H316" s="422">
        <f t="shared" si="224"/>
        <v>0</v>
      </c>
      <c r="I316" s="422">
        <f t="shared" si="224"/>
        <v>-12.09</v>
      </c>
      <c r="J316" s="422">
        <f t="shared" si="224"/>
        <v>-0.462867000000188</v>
      </c>
      <c r="K316" s="422">
        <f t="shared" si="224"/>
        <v>7058.3</v>
      </c>
      <c r="L316" s="422">
        <f t="shared" si="224"/>
        <v>4836.537133</v>
      </c>
      <c r="M316" s="422">
        <f t="shared" si="207"/>
        <v>11894.837133</v>
      </c>
      <c r="N316" s="422">
        <f t="shared" si="212"/>
        <v>-8.54866682197077</v>
      </c>
      <c r="O316" s="257"/>
    </row>
    <row r="317" s="54" customFormat="1" ht="25" customHeight="1" spans="1:15">
      <c r="A317" s="421">
        <v>2120399</v>
      </c>
      <c r="B317" s="142" t="s">
        <v>348</v>
      </c>
      <c r="C317" s="422">
        <v>8169.74</v>
      </c>
      <c r="D317" s="422">
        <v>4837</v>
      </c>
      <c r="E317" s="422">
        <f t="shared" si="206"/>
        <v>13006.74</v>
      </c>
      <c r="F317" s="422">
        <v>-1099.35</v>
      </c>
      <c r="G317" s="423">
        <v>0</v>
      </c>
      <c r="H317" s="423">
        <v>0</v>
      </c>
      <c r="I317" s="423">
        <v>-12.09</v>
      </c>
      <c r="J317" s="422">
        <f t="shared" si="222"/>
        <v>-0.462867000000188</v>
      </c>
      <c r="K317" s="422">
        <f t="shared" si="223"/>
        <v>7058.3</v>
      </c>
      <c r="L317" s="422">
        <v>4836.537133</v>
      </c>
      <c r="M317" s="422">
        <f t="shared" si="207"/>
        <v>11894.837133</v>
      </c>
      <c r="N317" s="422">
        <f t="shared" si="212"/>
        <v>-8.54866682197077</v>
      </c>
      <c r="O317" s="257" t="s">
        <v>349</v>
      </c>
    </row>
    <row r="318" s="54" customFormat="1" ht="25" customHeight="1" spans="1:15">
      <c r="A318" s="421">
        <v>21205</v>
      </c>
      <c r="B318" s="142" t="s">
        <v>350</v>
      </c>
      <c r="C318" s="422">
        <f t="shared" ref="C318:L318" si="225">C319</f>
        <v>4174.07</v>
      </c>
      <c r="D318" s="422">
        <f t="shared" si="225"/>
        <v>1479</v>
      </c>
      <c r="E318" s="422">
        <f t="shared" si="206"/>
        <v>5653.07</v>
      </c>
      <c r="F318" s="422">
        <f t="shared" si="225"/>
        <v>-447.744</v>
      </c>
      <c r="G318" s="422">
        <f t="shared" si="225"/>
        <v>-3</v>
      </c>
      <c r="H318" s="422">
        <f t="shared" si="225"/>
        <v>0</v>
      </c>
      <c r="I318" s="422">
        <f t="shared" si="225"/>
        <v>8.09</v>
      </c>
      <c r="J318" s="422">
        <f t="shared" si="225"/>
        <v>0.1400000000001</v>
      </c>
      <c r="K318" s="422">
        <f t="shared" si="225"/>
        <v>3731.416</v>
      </c>
      <c r="L318" s="422">
        <f t="shared" si="225"/>
        <v>1479.14</v>
      </c>
      <c r="M318" s="422">
        <f t="shared" si="207"/>
        <v>5210.556</v>
      </c>
      <c r="N318" s="422">
        <f t="shared" si="212"/>
        <v>-7.82785283040897</v>
      </c>
      <c r="O318" s="429"/>
    </row>
    <row r="319" s="54" customFormat="1" ht="45" customHeight="1" spans="1:15">
      <c r="A319" s="421">
        <v>2120501</v>
      </c>
      <c r="B319" s="142" t="s">
        <v>350</v>
      </c>
      <c r="C319" s="422">
        <v>4174.07</v>
      </c>
      <c r="D319" s="422">
        <v>1479</v>
      </c>
      <c r="E319" s="422">
        <f t="shared" si="206"/>
        <v>5653.07</v>
      </c>
      <c r="F319" s="422">
        <f>-450.744+3</f>
        <v>-447.744</v>
      </c>
      <c r="G319" s="423">
        <v>-3</v>
      </c>
      <c r="H319" s="423"/>
      <c r="I319" s="423">
        <v>8.09</v>
      </c>
      <c r="J319" s="422">
        <f t="shared" si="222"/>
        <v>0.1400000000001</v>
      </c>
      <c r="K319" s="422">
        <f t="shared" si="223"/>
        <v>3731.416</v>
      </c>
      <c r="L319" s="422">
        <v>1479.14</v>
      </c>
      <c r="M319" s="422">
        <f t="shared" si="207"/>
        <v>5210.556</v>
      </c>
      <c r="N319" s="422">
        <f t="shared" si="212"/>
        <v>-7.82785283040897</v>
      </c>
      <c r="O319" s="257" t="s">
        <v>351</v>
      </c>
    </row>
    <row r="320" s="54" customFormat="1" ht="25" customHeight="1" spans="1:15">
      <c r="A320" s="421">
        <v>21299</v>
      </c>
      <c r="B320" s="142" t="s">
        <v>352</v>
      </c>
      <c r="C320" s="422">
        <f t="shared" ref="C320:M320" si="226">C321</f>
        <v>386.2</v>
      </c>
      <c r="D320" s="422">
        <f t="shared" si="226"/>
        <v>25</v>
      </c>
      <c r="E320" s="422">
        <f t="shared" si="226"/>
        <v>411.2</v>
      </c>
      <c r="F320" s="422">
        <f t="shared" si="226"/>
        <v>-320</v>
      </c>
      <c r="G320" s="422">
        <f t="shared" si="226"/>
        <v>0</v>
      </c>
      <c r="H320" s="422">
        <f t="shared" si="226"/>
        <v>0</v>
      </c>
      <c r="I320" s="422">
        <f t="shared" si="226"/>
        <v>0</v>
      </c>
      <c r="J320" s="422">
        <f t="shared" si="226"/>
        <v>20</v>
      </c>
      <c r="K320" s="422">
        <f t="shared" si="226"/>
        <v>66.2</v>
      </c>
      <c r="L320" s="422">
        <f t="shared" si="226"/>
        <v>45</v>
      </c>
      <c r="M320" s="422">
        <f t="shared" si="226"/>
        <v>111.2</v>
      </c>
      <c r="N320" s="422">
        <f t="shared" si="212"/>
        <v>-72.9571984435798</v>
      </c>
      <c r="O320" s="429"/>
    </row>
    <row r="321" s="54" customFormat="1" ht="25" customHeight="1" spans="1:15">
      <c r="A321" s="421">
        <v>2129901</v>
      </c>
      <c r="B321" s="142" t="s">
        <v>352</v>
      </c>
      <c r="C321" s="422">
        <v>386.2</v>
      </c>
      <c r="D321" s="422">
        <v>25</v>
      </c>
      <c r="E321" s="422">
        <f t="shared" ref="E321:E323" si="227">C321+D321</f>
        <v>411.2</v>
      </c>
      <c r="F321" s="422">
        <v>-320</v>
      </c>
      <c r="G321" s="423">
        <v>0</v>
      </c>
      <c r="H321" s="423"/>
      <c r="I321" s="423"/>
      <c r="J321" s="422">
        <f>L321-D321</f>
        <v>20</v>
      </c>
      <c r="K321" s="422">
        <f>C321+F321+G321+H321+I321</f>
        <v>66.2</v>
      </c>
      <c r="L321" s="422">
        <v>45</v>
      </c>
      <c r="M321" s="422">
        <f>K321+L321</f>
        <v>111.2</v>
      </c>
      <c r="N321" s="422">
        <f t="shared" si="212"/>
        <v>-72.9571984435798</v>
      </c>
      <c r="O321" s="257" t="s">
        <v>353</v>
      </c>
    </row>
    <row r="322" s="54" customFormat="1" ht="25" customHeight="1" spans="1:15">
      <c r="A322" s="421">
        <v>213</v>
      </c>
      <c r="B322" s="142" t="s">
        <v>354</v>
      </c>
      <c r="C322" s="422">
        <f t="shared" ref="C322:L322" si="228">C323+C334+C338+C349+C351+C356+C359</f>
        <v>10647.6092</v>
      </c>
      <c r="D322" s="422">
        <f t="shared" si="228"/>
        <v>6849</v>
      </c>
      <c r="E322" s="422">
        <f t="shared" si="227"/>
        <v>17496.6092</v>
      </c>
      <c r="F322" s="422">
        <f t="shared" si="228"/>
        <v>-167.023859</v>
      </c>
      <c r="G322" s="422">
        <f t="shared" si="228"/>
        <v>0</v>
      </c>
      <c r="H322" s="422">
        <f t="shared" si="228"/>
        <v>0</v>
      </c>
      <c r="I322" s="422">
        <f t="shared" si="228"/>
        <v>-6.76000000000001</v>
      </c>
      <c r="J322" s="422">
        <f t="shared" si="228"/>
        <v>3685.4034</v>
      </c>
      <c r="K322" s="422">
        <f t="shared" si="228"/>
        <v>10473.825341</v>
      </c>
      <c r="L322" s="422">
        <f t="shared" si="228"/>
        <v>10534.4034</v>
      </c>
      <c r="M322" s="422">
        <f>K322+L322</f>
        <v>21008.228741</v>
      </c>
      <c r="N322" s="422">
        <f t="shared" si="212"/>
        <v>20.0702861957962</v>
      </c>
      <c r="O322" s="257"/>
    </row>
    <row r="323" s="54" customFormat="1" ht="25" customHeight="1" spans="1:15">
      <c r="A323" s="421">
        <v>21301</v>
      </c>
      <c r="B323" s="142" t="s">
        <v>355</v>
      </c>
      <c r="C323" s="422">
        <f>C324+C325+C326+C327+C328+C329+C330+C332+C333+C331</f>
        <v>426.8424</v>
      </c>
      <c r="D323" s="422">
        <f t="shared" ref="D323:M323" si="229">D324+D325+D326+D327+D328+D329+D330+D332+D333+D331</f>
        <v>301</v>
      </c>
      <c r="E323" s="422">
        <f t="shared" si="229"/>
        <v>727.8424</v>
      </c>
      <c r="F323" s="422">
        <f t="shared" si="229"/>
        <v>-49.6628</v>
      </c>
      <c r="G323" s="422">
        <f t="shared" si="229"/>
        <v>0</v>
      </c>
      <c r="H323" s="422">
        <f t="shared" si="229"/>
        <v>0</v>
      </c>
      <c r="I323" s="422">
        <f t="shared" si="229"/>
        <v>10.39</v>
      </c>
      <c r="J323" s="422">
        <f t="shared" si="229"/>
        <v>651.0836</v>
      </c>
      <c r="K323" s="422">
        <f t="shared" si="229"/>
        <v>387.5696</v>
      </c>
      <c r="L323" s="422">
        <f t="shared" si="229"/>
        <v>952.0836</v>
      </c>
      <c r="M323" s="422">
        <f t="shared" si="229"/>
        <v>1339.6532</v>
      </c>
      <c r="N323" s="422">
        <f t="shared" si="212"/>
        <v>84.0581422571699</v>
      </c>
      <c r="O323" s="257"/>
    </row>
    <row r="324" s="54" customFormat="1" ht="25" customHeight="1" spans="1:15">
      <c r="A324" s="421">
        <v>2130104</v>
      </c>
      <c r="B324" s="142" t="s">
        <v>102</v>
      </c>
      <c r="C324" s="422">
        <v>150.4124</v>
      </c>
      <c r="D324" s="422">
        <v>0</v>
      </c>
      <c r="E324" s="422">
        <f t="shared" ref="E324:E351" si="230">C324+D324</f>
        <v>150.4124</v>
      </c>
      <c r="F324" s="422">
        <v>-6.6864</v>
      </c>
      <c r="G324" s="422"/>
      <c r="H324" s="422"/>
      <c r="I324" s="422">
        <v>7.29</v>
      </c>
      <c r="J324" s="422">
        <f t="shared" ref="J324:J333" si="231">L324-D324</f>
        <v>0</v>
      </c>
      <c r="K324" s="422">
        <f t="shared" ref="K324:K333" si="232">C324+F324+G324+H324+I324</f>
        <v>151.016</v>
      </c>
      <c r="L324" s="422"/>
      <c r="M324" s="422">
        <f t="shared" ref="M324:M352" si="233">K324+L324</f>
        <v>151.016</v>
      </c>
      <c r="N324" s="422">
        <f t="shared" ref="N324:N335" si="234">(M324-E324)/E324*100</f>
        <v>0.40129670160173</v>
      </c>
      <c r="O324" s="257"/>
    </row>
    <row r="325" s="54" customFormat="1" ht="25" customHeight="1" spans="1:15">
      <c r="A325" s="421">
        <v>2130106</v>
      </c>
      <c r="B325" s="142" t="s">
        <v>356</v>
      </c>
      <c r="C325" s="422">
        <v>4</v>
      </c>
      <c r="D325" s="422">
        <v>0</v>
      </c>
      <c r="E325" s="422">
        <f t="shared" si="230"/>
        <v>4</v>
      </c>
      <c r="F325" s="422">
        <v>-2</v>
      </c>
      <c r="G325" s="422"/>
      <c r="H325" s="422"/>
      <c r="I325" s="422"/>
      <c r="J325" s="422">
        <f t="shared" si="231"/>
        <v>0</v>
      </c>
      <c r="K325" s="422">
        <f t="shared" si="232"/>
        <v>2</v>
      </c>
      <c r="L325" s="422"/>
      <c r="M325" s="422">
        <f t="shared" si="233"/>
        <v>2</v>
      </c>
      <c r="N325" s="422">
        <f t="shared" si="234"/>
        <v>-50</v>
      </c>
      <c r="O325" s="257"/>
    </row>
    <row r="326" s="54" customFormat="1" ht="25" customHeight="1" spans="1:15">
      <c r="A326" s="421">
        <v>2130108</v>
      </c>
      <c r="B326" s="142" t="s">
        <v>357</v>
      </c>
      <c r="C326" s="422">
        <v>18.2</v>
      </c>
      <c r="D326" s="422">
        <v>10</v>
      </c>
      <c r="E326" s="422">
        <f t="shared" si="230"/>
        <v>28.2</v>
      </c>
      <c r="F326" s="422"/>
      <c r="G326" s="422"/>
      <c r="H326" s="422"/>
      <c r="I326" s="422"/>
      <c r="J326" s="422">
        <f t="shared" si="231"/>
        <v>-0.0999999999999996</v>
      </c>
      <c r="K326" s="422">
        <f t="shared" si="232"/>
        <v>18.2</v>
      </c>
      <c r="L326" s="422">
        <v>9.9</v>
      </c>
      <c r="M326" s="422">
        <f t="shared" si="233"/>
        <v>28.1</v>
      </c>
      <c r="N326" s="422">
        <f t="shared" si="234"/>
        <v>-0.354609929078007</v>
      </c>
      <c r="O326" s="257"/>
    </row>
    <row r="327" s="54" customFormat="1" ht="25" customHeight="1" spans="1:15">
      <c r="A327" s="421">
        <v>2130109</v>
      </c>
      <c r="B327" s="142" t="s">
        <v>358</v>
      </c>
      <c r="C327" s="422">
        <v>2</v>
      </c>
      <c r="D327" s="422">
        <v>0</v>
      </c>
      <c r="E327" s="422">
        <f t="shared" si="230"/>
        <v>2</v>
      </c>
      <c r="F327" s="422"/>
      <c r="G327" s="422"/>
      <c r="H327" s="422"/>
      <c r="I327" s="422"/>
      <c r="J327" s="422">
        <f t="shared" si="231"/>
        <v>0</v>
      </c>
      <c r="K327" s="422">
        <f t="shared" si="232"/>
        <v>2</v>
      </c>
      <c r="L327" s="422"/>
      <c r="M327" s="422">
        <f t="shared" si="233"/>
        <v>2</v>
      </c>
      <c r="N327" s="422">
        <f t="shared" si="234"/>
        <v>0</v>
      </c>
      <c r="O327" s="257"/>
    </row>
    <row r="328" s="54" customFormat="1" ht="25" customHeight="1" spans="1:15">
      <c r="A328" s="421">
        <v>2130110</v>
      </c>
      <c r="B328" s="142" t="s">
        <v>359</v>
      </c>
      <c r="C328" s="422">
        <v>122</v>
      </c>
      <c r="D328" s="422">
        <v>0</v>
      </c>
      <c r="E328" s="422">
        <f t="shared" si="230"/>
        <v>122</v>
      </c>
      <c r="F328" s="422">
        <v>-30</v>
      </c>
      <c r="G328" s="423"/>
      <c r="H328" s="423"/>
      <c r="I328" s="423"/>
      <c r="J328" s="422">
        <f t="shared" si="231"/>
        <v>0</v>
      </c>
      <c r="K328" s="422">
        <f t="shared" si="232"/>
        <v>92</v>
      </c>
      <c r="L328" s="422"/>
      <c r="M328" s="422">
        <f t="shared" si="233"/>
        <v>92</v>
      </c>
      <c r="N328" s="422">
        <f t="shared" si="234"/>
        <v>-24.5901639344262</v>
      </c>
      <c r="O328" s="257" t="s">
        <v>360</v>
      </c>
    </row>
    <row r="329" s="54" customFormat="1" ht="25" customHeight="1" spans="1:15">
      <c r="A329" s="421">
        <v>2130111</v>
      </c>
      <c r="B329" s="142" t="s">
        <v>361</v>
      </c>
      <c r="C329" s="422">
        <v>1</v>
      </c>
      <c r="D329" s="422">
        <v>0</v>
      </c>
      <c r="E329" s="422">
        <f t="shared" si="230"/>
        <v>1</v>
      </c>
      <c r="F329" s="422"/>
      <c r="G329" s="422"/>
      <c r="H329" s="422"/>
      <c r="I329" s="422"/>
      <c r="J329" s="422">
        <f t="shared" si="231"/>
        <v>0</v>
      </c>
      <c r="K329" s="422">
        <f t="shared" si="232"/>
        <v>1</v>
      </c>
      <c r="L329" s="422"/>
      <c r="M329" s="422">
        <f t="shared" si="233"/>
        <v>1</v>
      </c>
      <c r="N329" s="422">
        <f t="shared" si="234"/>
        <v>0</v>
      </c>
      <c r="O329" s="257"/>
    </row>
    <row r="330" s="54" customFormat="1" ht="25" customHeight="1" spans="1:15">
      <c r="A330" s="421">
        <v>2130135</v>
      </c>
      <c r="B330" s="142" t="s">
        <v>362</v>
      </c>
      <c r="C330" s="422">
        <v>2</v>
      </c>
      <c r="D330" s="422">
        <v>0</v>
      </c>
      <c r="E330" s="422">
        <f t="shared" si="230"/>
        <v>2</v>
      </c>
      <c r="F330" s="422"/>
      <c r="G330" s="422"/>
      <c r="H330" s="422"/>
      <c r="I330" s="422"/>
      <c r="J330" s="422">
        <f t="shared" si="231"/>
        <v>0</v>
      </c>
      <c r="K330" s="422">
        <f t="shared" si="232"/>
        <v>2</v>
      </c>
      <c r="L330" s="422"/>
      <c r="M330" s="422">
        <f t="shared" si="233"/>
        <v>2</v>
      </c>
      <c r="N330" s="422">
        <f t="shared" si="234"/>
        <v>0</v>
      </c>
      <c r="O330" s="257"/>
    </row>
    <row r="331" s="54" customFormat="1" ht="25" customHeight="1" spans="1:15">
      <c r="A331" s="421">
        <v>2130148</v>
      </c>
      <c r="B331" s="142" t="s">
        <v>363</v>
      </c>
      <c r="C331" s="422"/>
      <c r="D331" s="422">
        <v>27</v>
      </c>
      <c r="E331" s="422">
        <f t="shared" si="230"/>
        <v>27</v>
      </c>
      <c r="F331" s="422"/>
      <c r="G331" s="422"/>
      <c r="H331" s="422"/>
      <c r="I331" s="422"/>
      <c r="J331" s="422">
        <f t="shared" si="231"/>
        <v>0.449999999999999</v>
      </c>
      <c r="K331" s="422">
        <f t="shared" si="232"/>
        <v>0</v>
      </c>
      <c r="L331" s="423">
        <v>27.45</v>
      </c>
      <c r="M331" s="422">
        <f t="shared" si="233"/>
        <v>27.45</v>
      </c>
      <c r="N331" s="422">
        <f t="shared" si="234"/>
        <v>1.66666666666666</v>
      </c>
      <c r="O331" s="257"/>
    </row>
    <row r="332" s="54" customFormat="1" ht="25" customHeight="1" spans="1:15">
      <c r="A332" s="421">
        <v>2130152</v>
      </c>
      <c r="B332" s="142" t="s">
        <v>364</v>
      </c>
      <c r="C332" s="422">
        <v>56.53</v>
      </c>
      <c r="D332" s="422">
        <v>2</v>
      </c>
      <c r="E332" s="422">
        <f t="shared" si="230"/>
        <v>58.53</v>
      </c>
      <c r="F332" s="422"/>
      <c r="G332" s="422"/>
      <c r="H332" s="422"/>
      <c r="I332" s="422"/>
      <c r="J332" s="422">
        <f t="shared" si="231"/>
        <v>0</v>
      </c>
      <c r="K332" s="422">
        <f t="shared" si="232"/>
        <v>56.53</v>
      </c>
      <c r="L332" s="422">
        <v>2</v>
      </c>
      <c r="M332" s="422">
        <f t="shared" si="233"/>
        <v>58.53</v>
      </c>
      <c r="N332" s="422">
        <f t="shared" si="234"/>
        <v>0</v>
      </c>
      <c r="O332" s="257"/>
    </row>
    <row r="333" s="54" customFormat="1" ht="25" customHeight="1" spans="1:15">
      <c r="A333" s="421">
        <v>2130199</v>
      </c>
      <c r="B333" s="142" t="s">
        <v>365</v>
      </c>
      <c r="C333" s="422">
        <v>70.7</v>
      </c>
      <c r="D333" s="422">
        <v>262</v>
      </c>
      <c r="E333" s="422">
        <f t="shared" si="230"/>
        <v>332.7</v>
      </c>
      <c r="F333" s="422">
        <v>-10.9764</v>
      </c>
      <c r="G333" s="422"/>
      <c r="H333" s="422"/>
      <c r="I333" s="422">
        <v>3.1</v>
      </c>
      <c r="J333" s="422">
        <f t="shared" si="231"/>
        <v>650.7336</v>
      </c>
      <c r="K333" s="422">
        <f t="shared" si="232"/>
        <v>62.8236</v>
      </c>
      <c r="L333" s="422">
        <v>912.7336</v>
      </c>
      <c r="M333" s="422">
        <f t="shared" si="233"/>
        <v>975.5572</v>
      </c>
      <c r="N333" s="422">
        <f t="shared" si="234"/>
        <v>193.224286143673</v>
      </c>
      <c r="O333" s="257"/>
    </row>
    <row r="334" s="54" customFormat="1" ht="25" customHeight="1" spans="1:15">
      <c r="A334" s="421">
        <v>21302</v>
      </c>
      <c r="B334" s="142" t="s">
        <v>366</v>
      </c>
      <c r="C334" s="422">
        <f t="shared" ref="C334:L334" si="235">C335+C337+C336</f>
        <v>139.83</v>
      </c>
      <c r="D334" s="422">
        <f t="shared" si="235"/>
        <v>216</v>
      </c>
      <c r="E334" s="422">
        <f t="shared" si="230"/>
        <v>355.83</v>
      </c>
      <c r="F334" s="422">
        <f t="shared" si="235"/>
        <v>-46.33</v>
      </c>
      <c r="G334" s="422">
        <f t="shared" si="235"/>
        <v>0</v>
      </c>
      <c r="H334" s="422">
        <f t="shared" si="235"/>
        <v>0</v>
      </c>
      <c r="I334" s="422">
        <f t="shared" si="235"/>
        <v>0</v>
      </c>
      <c r="J334" s="422">
        <f t="shared" si="235"/>
        <v>0.080000000000009</v>
      </c>
      <c r="K334" s="422">
        <f t="shared" si="235"/>
        <v>93.5</v>
      </c>
      <c r="L334" s="422">
        <f t="shared" si="235"/>
        <v>216.08</v>
      </c>
      <c r="M334" s="422">
        <f t="shared" si="233"/>
        <v>309.58</v>
      </c>
      <c r="N334" s="422">
        <f t="shared" si="234"/>
        <v>-12.997779838687</v>
      </c>
      <c r="O334" s="257"/>
    </row>
    <row r="335" s="54" customFormat="1" ht="25" customHeight="1" spans="1:15">
      <c r="A335" s="421">
        <v>2130206</v>
      </c>
      <c r="B335" s="142" t="s">
        <v>367</v>
      </c>
      <c r="C335" s="422">
        <v>0</v>
      </c>
      <c r="D335" s="422">
        <v>0</v>
      </c>
      <c r="E335" s="422">
        <f t="shared" si="230"/>
        <v>0</v>
      </c>
      <c r="F335" s="422"/>
      <c r="G335" s="422">
        <v>0</v>
      </c>
      <c r="H335" s="422">
        <v>0</v>
      </c>
      <c r="I335" s="422">
        <v>0</v>
      </c>
      <c r="J335" s="422">
        <f t="shared" ref="J335:J337" si="236">L335-D335</f>
        <v>0</v>
      </c>
      <c r="K335" s="422">
        <f t="shared" ref="K335:K337" si="237">C335+F335+G335+H335+I335</f>
        <v>0</v>
      </c>
      <c r="L335" s="422"/>
      <c r="M335" s="422">
        <f t="shared" si="233"/>
        <v>0</v>
      </c>
      <c r="N335" s="422" t="e">
        <f t="shared" si="234"/>
        <v>#DIV/0!</v>
      </c>
      <c r="O335" s="257"/>
    </row>
    <row r="336" s="54" customFormat="1" ht="25" customHeight="1" spans="1:15">
      <c r="A336" s="421">
        <v>2130209</v>
      </c>
      <c r="B336" s="142" t="s">
        <v>368</v>
      </c>
      <c r="C336" s="422"/>
      <c r="D336" s="422">
        <v>209</v>
      </c>
      <c r="E336" s="422">
        <f t="shared" si="230"/>
        <v>209</v>
      </c>
      <c r="F336" s="422"/>
      <c r="G336" s="422"/>
      <c r="H336" s="422"/>
      <c r="I336" s="422"/>
      <c r="J336" s="422">
        <f t="shared" si="236"/>
        <v>0.240000000000009</v>
      </c>
      <c r="K336" s="422">
        <f t="shared" si="237"/>
        <v>0</v>
      </c>
      <c r="L336" s="423">
        <v>209.24</v>
      </c>
      <c r="M336" s="422">
        <f t="shared" si="233"/>
        <v>209.24</v>
      </c>
      <c r="N336" s="422">
        <v>100</v>
      </c>
      <c r="O336" s="257"/>
    </row>
    <row r="337" s="54" customFormat="1" ht="25" customHeight="1" spans="1:15">
      <c r="A337" s="421">
        <v>2130299</v>
      </c>
      <c r="B337" s="142" t="s">
        <v>369</v>
      </c>
      <c r="C337" s="422">
        <v>139.83</v>
      </c>
      <c r="D337" s="422">
        <v>7</v>
      </c>
      <c r="E337" s="422">
        <f t="shared" si="230"/>
        <v>146.83</v>
      </c>
      <c r="F337" s="422">
        <v>-46.33</v>
      </c>
      <c r="G337" s="423">
        <v>0</v>
      </c>
      <c r="H337" s="423">
        <v>0</v>
      </c>
      <c r="I337" s="423">
        <v>0</v>
      </c>
      <c r="J337" s="422">
        <f t="shared" si="236"/>
        <v>-0.16</v>
      </c>
      <c r="K337" s="422">
        <f t="shared" si="237"/>
        <v>93.5</v>
      </c>
      <c r="L337" s="422">
        <v>6.84</v>
      </c>
      <c r="M337" s="422">
        <f t="shared" si="233"/>
        <v>100.34</v>
      </c>
      <c r="N337" s="422">
        <f t="shared" ref="N337:N351" si="238">(M337-E337)/E337*100</f>
        <v>-31.6624667983382</v>
      </c>
      <c r="O337" s="257" t="s">
        <v>370</v>
      </c>
    </row>
    <row r="338" s="54" customFormat="1" ht="25" customHeight="1" spans="1:15">
      <c r="A338" s="421">
        <v>21303</v>
      </c>
      <c r="B338" s="142" t="s">
        <v>371</v>
      </c>
      <c r="C338" s="422">
        <f t="shared" ref="C338:L338" si="239">C339+C340+C341+C342+C343+C344+C345+C346+C347+C348</f>
        <v>1904.1668</v>
      </c>
      <c r="D338" s="422">
        <f t="shared" si="239"/>
        <v>110</v>
      </c>
      <c r="E338" s="422">
        <f t="shared" si="230"/>
        <v>2014.1668</v>
      </c>
      <c r="F338" s="422">
        <f t="shared" si="239"/>
        <v>-521.479213</v>
      </c>
      <c r="G338" s="422">
        <f t="shared" si="239"/>
        <v>0</v>
      </c>
      <c r="H338" s="422">
        <f t="shared" si="239"/>
        <v>0</v>
      </c>
      <c r="I338" s="422">
        <f t="shared" si="239"/>
        <v>101.82</v>
      </c>
      <c r="J338" s="422">
        <f t="shared" si="239"/>
        <v>25</v>
      </c>
      <c r="K338" s="422">
        <f t="shared" si="239"/>
        <v>1484.507587</v>
      </c>
      <c r="L338" s="422">
        <f t="shared" si="239"/>
        <v>135</v>
      </c>
      <c r="M338" s="422">
        <f t="shared" si="233"/>
        <v>1619.507587</v>
      </c>
      <c r="N338" s="422">
        <f t="shared" si="238"/>
        <v>-19.5941673251689</v>
      </c>
      <c r="O338" s="257"/>
    </row>
    <row r="339" s="54" customFormat="1" ht="25" customHeight="1" spans="1:15">
      <c r="A339" s="421">
        <v>2130301</v>
      </c>
      <c r="B339" s="142" t="s">
        <v>70</v>
      </c>
      <c r="C339" s="422">
        <v>775.9168</v>
      </c>
      <c r="D339" s="422">
        <v>0</v>
      </c>
      <c r="E339" s="422">
        <f t="shared" si="230"/>
        <v>775.9168</v>
      </c>
      <c r="F339" s="422">
        <v>-18.49</v>
      </c>
      <c r="G339" s="422"/>
      <c r="H339" s="422"/>
      <c r="I339" s="422">
        <v>1.82</v>
      </c>
      <c r="J339" s="422">
        <f t="shared" ref="J339:J348" si="240">L339-D339</f>
        <v>0</v>
      </c>
      <c r="K339" s="422">
        <f t="shared" ref="K339:K348" si="241">C339+F339+G339+H339+I339</f>
        <v>759.2468</v>
      </c>
      <c r="L339" s="422"/>
      <c r="M339" s="422">
        <f t="shared" si="233"/>
        <v>759.2468</v>
      </c>
      <c r="N339" s="422">
        <f t="shared" si="238"/>
        <v>-2.14842622301772</v>
      </c>
      <c r="O339" s="257"/>
    </row>
    <row r="340" s="54" customFormat="1" ht="25" customHeight="1" spans="1:15">
      <c r="A340" s="421">
        <v>2130304</v>
      </c>
      <c r="B340" s="142" t="s">
        <v>372</v>
      </c>
      <c r="C340" s="422">
        <v>9</v>
      </c>
      <c r="D340" s="422">
        <v>0</v>
      </c>
      <c r="E340" s="422">
        <f t="shared" si="230"/>
        <v>9</v>
      </c>
      <c r="F340" s="422"/>
      <c r="G340" s="422"/>
      <c r="H340" s="422"/>
      <c r="I340" s="422"/>
      <c r="J340" s="422">
        <f t="shared" si="240"/>
        <v>0</v>
      </c>
      <c r="K340" s="422">
        <f t="shared" si="241"/>
        <v>9</v>
      </c>
      <c r="L340" s="422"/>
      <c r="M340" s="422">
        <f t="shared" si="233"/>
        <v>9</v>
      </c>
      <c r="N340" s="422">
        <f t="shared" si="238"/>
        <v>0</v>
      </c>
      <c r="O340" s="257"/>
    </row>
    <row r="341" s="54" customFormat="1" ht="45" customHeight="1" spans="1:15">
      <c r="A341" s="421">
        <v>2130305</v>
      </c>
      <c r="B341" s="142" t="s">
        <v>373</v>
      </c>
      <c r="C341" s="422">
        <v>878.91</v>
      </c>
      <c r="D341" s="422">
        <v>0</v>
      </c>
      <c r="E341" s="422">
        <f t="shared" si="230"/>
        <v>878.91</v>
      </c>
      <c r="F341" s="422">
        <v>-439.456613</v>
      </c>
      <c r="G341" s="422"/>
      <c r="H341" s="422"/>
      <c r="I341" s="422">
        <v>100</v>
      </c>
      <c r="J341" s="422">
        <f t="shared" si="240"/>
        <v>0</v>
      </c>
      <c r="K341" s="422">
        <f t="shared" si="241"/>
        <v>539.453387</v>
      </c>
      <c r="L341" s="422"/>
      <c r="M341" s="422">
        <f t="shared" si="233"/>
        <v>539.453387</v>
      </c>
      <c r="N341" s="422">
        <f t="shared" si="238"/>
        <v>-38.6224542899728</v>
      </c>
      <c r="O341" s="257" t="s">
        <v>374</v>
      </c>
    </row>
    <row r="342" s="54" customFormat="1" ht="25" customHeight="1" spans="1:15">
      <c r="A342" s="421">
        <v>2130306</v>
      </c>
      <c r="B342" s="142" t="s">
        <v>375</v>
      </c>
      <c r="C342" s="422">
        <v>15.2</v>
      </c>
      <c r="D342" s="422">
        <v>0</v>
      </c>
      <c r="E342" s="422">
        <f t="shared" si="230"/>
        <v>15.2</v>
      </c>
      <c r="F342" s="422"/>
      <c r="G342" s="422"/>
      <c r="H342" s="422"/>
      <c r="I342" s="422"/>
      <c r="J342" s="422">
        <f t="shared" si="240"/>
        <v>0</v>
      </c>
      <c r="K342" s="422">
        <f t="shared" si="241"/>
        <v>15.2</v>
      </c>
      <c r="L342" s="422"/>
      <c r="M342" s="422">
        <f t="shared" si="233"/>
        <v>15.2</v>
      </c>
      <c r="N342" s="422">
        <f t="shared" si="238"/>
        <v>0</v>
      </c>
      <c r="O342" s="257"/>
    </row>
    <row r="343" s="54" customFormat="1" ht="25" customHeight="1" spans="1:15">
      <c r="A343" s="421">
        <v>2130308</v>
      </c>
      <c r="B343" s="142" t="s">
        <v>376</v>
      </c>
      <c r="C343" s="422">
        <v>55.5</v>
      </c>
      <c r="D343" s="422">
        <v>0</v>
      </c>
      <c r="E343" s="422">
        <f t="shared" si="230"/>
        <v>55.5</v>
      </c>
      <c r="F343" s="422">
        <v>-55.5</v>
      </c>
      <c r="G343" s="422"/>
      <c r="H343" s="422"/>
      <c r="I343" s="422"/>
      <c r="J343" s="422">
        <f t="shared" si="240"/>
        <v>0</v>
      </c>
      <c r="K343" s="422">
        <f t="shared" si="241"/>
        <v>0</v>
      </c>
      <c r="L343" s="422"/>
      <c r="M343" s="422">
        <f t="shared" si="233"/>
        <v>0</v>
      </c>
      <c r="N343" s="422">
        <f t="shared" si="238"/>
        <v>-100</v>
      </c>
      <c r="O343" s="257"/>
    </row>
    <row r="344" s="54" customFormat="1" ht="25" customHeight="1" spans="1:15">
      <c r="A344" s="421">
        <v>2130310</v>
      </c>
      <c r="B344" s="142" t="s">
        <v>377</v>
      </c>
      <c r="C344" s="422">
        <v>35.96</v>
      </c>
      <c r="D344" s="422">
        <v>0</v>
      </c>
      <c r="E344" s="422">
        <f t="shared" si="230"/>
        <v>35.96</v>
      </c>
      <c r="F344" s="422">
        <v>-2</v>
      </c>
      <c r="G344" s="422"/>
      <c r="H344" s="422"/>
      <c r="I344" s="422"/>
      <c r="J344" s="422">
        <f t="shared" si="240"/>
        <v>0</v>
      </c>
      <c r="K344" s="422">
        <f t="shared" si="241"/>
        <v>33.96</v>
      </c>
      <c r="L344" s="422"/>
      <c r="M344" s="422">
        <f t="shared" si="233"/>
        <v>33.96</v>
      </c>
      <c r="N344" s="422">
        <f t="shared" si="238"/>
        <v>-5.56173526140156</v>
      </c>
      <c r="O344" s="257"/>
    </row>
    <row r="345" s="54" customFormat="1" ht="25" customHeight="1" spans="1:15">
      <c r="A345" s="421">
        <v>2130311</v>
      </c>
      <c r="B345" s="142" t="s">
        <v>378</v>
      </c>
      <c r="C345" s="422">
        <v>75.68</v>
      </c>
      <c r="D345" s="422">
        <v>0</v>
      </c>
      <c r="E345" s="422">
        <f t="shared" si="230"/>
        <v>75.68</v>
      </c>
      <c r="F345" s="422">
        <v>-2.0326</v>
      </c>
      <c r="G345" s="422"/>
      <c r="H345" s="422"/>
      <c r="I345" s="422"/>
      <c r="J345" s="422">
        <f t="shared" si="240"/>
        <v>0</v>
      </c>
      <c r="K345" s="422">
        <f t="shared" si="241"/>
        <v>73.6474</v>
      </c>
      <c r="L345" s="422"/>
      <c r="M345" s="422">
        <f t="shared" si="233"/>
        <v>73.6474</v>
      </c>
      <c r="N345" s="422">
        <f t="shared" si="238"/>
        <v>-2.6857822410148</v>
      </c>
      <c r="O345" s="257"/>
    </row>
    <row r="346" s="54" customFormat="1" ht="25" customHeight="1" spans="1:15">
      <c r="A346" s="421">
        <v>2130316</v>
      </c>
      <c r="B346" s="142" t="s">
        <v>379</v>
      </c>
      <c r="C346" s="422">
        <v>0</v>
      </c>
      <c r="D346" s="422">
        <v>0</v>
      </c>
      <c r="E346" s="422">
        <f t="shared" si="230"/>
        <v>0</v>
      </c>
      <c r="F346" s="422"/>
      <c r="G346" s="422"/>
      <c r="H346" s="422"/>
      <c r="I346" s="422"/>
      <c r="J346" s="422">
        <f t="shared" si="240"/>
        <v>0</v>
      </c>
      <c r="K346" s="422">
        <f t="shared" si="241"/>
        <v>0</v>
      </c>
      <c r="L346" s="422"/>
      <c r="M346" s="422">
        <f t="shared" si="233"/>
        <v>0</v>
      </c>
      <c r="N346" s="422" t="e">
        <f t="shared" si="238"/>
        <v>#DIV/0!</v>
      </c>
      <c r="O346" s="257"/>
    </row>
    <row r="347" s="54" customFormat="1" ht="25" customHeight="1" spans="1:15">
      <c r="A347" s="421">
        <v>2130317</v>
      </c>
      <c r="B347" s="142" t="s">
        <v>380</v>
      </c>
      <c r="C347" s="422">
        <v>4</v>
      </c>
      <c r="D347" s="422">
        <v>0</v>
      </c>
      <c r="E347" s="422">
        <f t="shared" si="230"/>
        <v>4</v>
      </c>
      <c r="F347" s="422">
        <v>-4</v>
      </c>
      <c r="G347" s="422"/>
      <c r="H347" s="422"/>
      <c r="I347" s="422"/>
      <c r="J347" s="422">
        <f t="shared" si="240"/>
        <v>0</v>
      </c>
      <c r="K347" s="422">
        <f t="shared" si="241"/>
        <v>0</v>
      </c>
      <c r="L347" s="422"/>
      <c r="M347" s="422">
        <f t="shared" si="233"/>
        <v>0</v>
      </c>
      <c r="N347" s="422">
        <f t="shared" si="238"/>
        <v>-100</v>
      </c>
      <c r="O347" s="257"/>
    </row>
    <row r="348" s="54" customFormat="1" ht="25" customHeight="1" spans="1:15">
      <c r="A348" s="421">
        <v>2130399</v>
      </c>
      <c r="B348" s="142" t="s">
        <v>381</v>
      </c>
      <c r="C348" s="422">
        <v>54</v>
      </c>
      <c r="D348" s="422">
        <v>110</v>
      </c>
      <c r="E348" s="422">
        <f t="shared" si="230"/>
        <v>164</v>
      </c>
      <c r="F348" s="422"/>
      <c r="G348" s="422"/>
      <c r="H348" s="422"/>
      <c r="I348" s="422"/>
      <c r="J348" s="422">
        <f t="shared" si="240"/>
        <v>25</v>
      </c>
      <c r="K348" s="422">
        <f t="shared" si="241"/>
        <v>54</v>
      </c>
      <c r="L348" s="422">
        <v>135</v>
      </c>
      <c r="M348" s="422">
        <f t="shared" si="233"/>
        <v>189</v>
      </c>
      <c r="N348" s="422">
        <f t="shared" si="238"/>
        <v>15.2439024390244</v>
      </c>
      <c r="O348" s="257"/>
    </row>
    <row r="349" s="54" customFormat="1" ht="25" customHeight="1" spans="1:15">
      <c r="A349" s="421">
        <v>21305</v>
      </c>
      <c r="B349" s="142" t="s">
        <v>382</v>
      </c>
      <c r="C349" s="422">
        <f t="shared" ref="C349:L349" si="242">C350</f>
        <v>23</v>
      </c>
      <c r="D349" s="422">
        <f t="shared" si="242"/>
        <v>108</v>
      </c>
      <c r="E349" s="422">
        <f t="shared" si="230"/>
        <v>131</v>
      </c>
      <c r="F349" s="422">
        <f t="shared" si="242"/>
        <v>-10.221872</v>
      </c>
      <c r="G349" s="422">
        <f t="shared" si="242"/>
        <v>0</v>
      </c>
      <c r="H349" s="422">
        <f t="shared" si="242"/>
        <v>0</v>
      </c>
      <c r="I349" s="422">
        <f t="shared" si="242"/>
        <v>0</v>
      </c>
      <c r="J349" s="422">
        <f t="shared" si="242"/>
        <v>-0.400000000000006</v>
      </c>
      <c r="K349" s="422">
        <f t="shared" si="242"/>
        <v>12.778128</v>
      </c>
      <c r="L349" s="422">
        <f t="shared" si="242"/>
        <v>107.6</v>
      </c>
      <c r="M349" s="422">
        <f t="shared" si="233"/>
        <v>120.378128</v>
      </c>
      <c r="N349" s="422">
        <f t="shared" si="238"/>
        <v>-8.10829923664123</v>
      </c>
      <c r="O349" s="257"/>
    </row>
    <row r="350" s="54" customFormat="1" ht="25" customHeight="1" spans="1:15">
      <c r="A350" s="421">
        <v>2130599</v>
      </c>
      <c r="B350" s="142" t="s">
        <v>383</v>
      </c>
      <c r="C350" s="422">
        <v>23</v>
      </c>
      <c r="D350" s="422">
        <v>108</v>
      </c>
      <c r="E350" s="422">
        <f t="shared" si="230"/>
        <v>131</v>
      </c>
      <c r="F350" s="422">
        <v>-10.221872</v>
      </c>
      <c r="G350" s="422">
        <v>0</v>
      </c>
      <c r="H350" s="422">
        <v>0</v>
      </c>
      <c r="I350" s="422">
        <v>0</v>
      </c>
      <c r="J350" s="422">
        <f t="shared" ref="J350:J355" si="243">L350-D350</f>
        <v>-0.400000000000006</v>
      </c>
      <c r="K350" s="422">
        <f t="shared" ref="K350:K355" si="244">C350+F350+G350+H350+I350</f>
        <v>12.778128</v>
      </c>
      <c r="L350" s="422">
        <v>107.6</v>
      </c>
      <c r="M350" s="422">
        <f t="shared" si="233"/>
        <v>120.378128</v>
      </c>
      <c r="N350" s="422">
        <f t="shared" si="238"/>
        <v>-8.10829923664123</v>
      </c>
      <c r="O350" s="257"/>
    </row>
    <row r="351" s="54" customFormat="1" ht="25" customHeight="1" spans="1:15">
      <c r="A351" s="421">
        <v>21307</v>
      </c>
      <c r="B351" s="142" t="s">
        <v>384</v>
      </c>
      <c r="C351" s="422">
        <f t="shared" ref="C351:L351" si="245">C353+C354+C355+C352</f>
        <v>225</v>
      </c>
      <c r="D351" s="422">
        <f t="shared" si="245"/>
        <v>20</v>
      </c>
      <c r="E351" s="422">
        <f t="shared" si="230"/>
        <v>245</v>
      </c>
      <c r="F351" s="422">
        <f t="shared" si="245"/>
        <v>22.0465</v>
      </c>
      <c r="G351" s="422">
        <f t="shared" si="245"/>
        <v>0</v>
      </c>
      <c r="H351" s="422">
        <f t="shared" si="245"/>
        <v>0</v>
      </c>
      <c r="I351" s="422">
        <f t="shared" si="245"/>
        <v>0</v>
      </c>
      <c r="J351" s="422">
        <f t="shared" si="245"/>
        <v>2963.407</v>
      </c>
      <c r="K351" s="422">
        <f t="shared" si="245"/>
        <v>247.0465</v>
      </c>
      <c r="L351" s="422">
        <f t="shared" si="245"/>
        <v>2983.407</v>
      </c>
      <c r="M351" s="422">
        <f t="shared" si="233"/>
        <v>3230.4535</v>
      </c>
      <c r="N351" s="422">
        <f t="shared" si="238"/>
        <v>1218.55244897959</v>
      </c>
      <c r="O351" s="257"/>
    </row>
    <row r="352" s="54" customFormat="1" ht="25" customHeight="1" spans="1:15">
      <c r="A352" s="421">
        <v>2130705</v>
      </c>
      <c r="B352" s="142" t="s">
        <v>385</v>
      </c>
      <c r="C352" s="422"/>
      <c r="D352" s="422"/>
      <c r="E352" s="422"/>
      <c r="F352" s="422">
        <v>72.0465</v>
      </c>
      <c r="G352" s="422"/>
      <c r="H352" s="422"/>
      <c r="I352" s="422"/>
      <c r="J352" s="422">
        <f t="shared" si="243"/>
        <v>104.807</v>
      </c>
      <c r="K352" s="422">
        <f t="shared" si="244"/>
        <v>72.0465</v>
      </c>
      <c r="L352" s="422">
        <v>104.807</v>
      </c>
      <c r="M352" s="422">
        <f t="shared" si="233"/>
        <v>176.8535</v>
      </c>
      <c r="N352" s="422"/>
      <c r="O352" s="257" t="s">
        <v>386</v>
      </c>
    </row>
    <row r="353" s="54" customFormat="1" ht="25" customHeight="1" spans="1:15">
      <c r="A353" s="421">
        <v>2130706</v>
      </c>
      <c r="B353" s="142" t="s">
        <v>387</v>
      </c>
      <c r="C353" s="422">
        <v>200</v>
      </c>
      <c r="D353" s="422">
        <v>0</v>
      </c>
      <c r="E353" s="422">
        <f t="shared" ref="E353:E363" si="246">C353+D353</f>
        <v>200</v>
      </c>
      <c r="F353" s="422">
        <v>-50</v>
      </c>
      <c r="G353" s="422">
        <v>0</v>
      </c>
      <c r="H353" s="422">
        <v>0</v>
      </c>
      <c r="I353" s="422">
        <v>0</v>
      </c>
      <c r="J353" s="422">
        <f t="shared" si="243"/>
        <v>0</v>
      </c>
      <c r="K353" s="422">
        <f t="shared" si="244"/>
        <v>150</v>
      </c>
      <c r="L353" s="422"/>
      <c r="M353" s="422">
        <f t="shared" ref="M353:M364" si="247">K353+L353</f>
        <v>150</v>
      </c>
      <c r="N353" s="422">
        <f t="shared" ref="N353:N362" si="248">(M353-E353)/E353*100</f>
        <v>-25</v>
      </c>
      <c r="O353" s="257"/>
    </row>
    <row r="354" s="54" customFormat="1" ht="25" customHeight="1" spans="1:15">
      <c r="A354" s="421">
        <v>2130707</v>
      </c>
      <c r="B354" s="142" t="s">
        <v>388</v>
      </c>
      <c r="C354" s="422">
        <v>25</v>
      </c>
      <c r="D354" s="422">
        <v>0</v>
      </c>
      <c r="E354" s="422">
        <f t="shared" si="246"/>
        <v>25</v>
      </c>
      <c r="F354" s="422"/>
      <c r="G354" s="422">
        <v>0</v>
      </c>
      <c r="H354" s="422">
        <v>0</v>
      </c>
      <c r="I354" s="422"/>
      <c r="J354" s="422">
        <f t="shared" si="243"/>
        <v>0</v>
      </c>
      <c r="K354" s="422">
        <f t="shared" si="244"/>
        <v>25</v>
      </c>
      <c r="L354" s="422"/>
      <c r="M354" s="422">
        <f t="shared" si="247"/>
        <v>25</v>
      </c>
      <c r="N354" s="422">
        <f t="shared" si="248"/>
        <v>0</v>
      </c>
      <c r="O354" s="257"/>
    </row>
    <row r="355" s="54" customFormat="1" ht="25" customHeight="1" spans="1:15">
      <c r="A355" s="421">
        <v>2130799</v>
      </c>
      <c r="B355" s="142" t="s">
        <v>389</v>
      </c>
      <c r="C355" s="422">
        <v>0</v>
      </c>
      <c r="D355" s="422">
        <v>20</v>
      </c>
      <c r="E355" s="422">
        <f t="shared" si="246"/>
        <v>20</v>
      </c>
      <c r="F355" s="422"/>
      <c r="G355" s="422">
        <v>0</v>
      </c>
      <c r="H355" s="422">
        <v>0</v>
      </c>
      <c r="I355" s="423"/>
      <c r="J355" s="422">
        <f t="shared" si="243"/>
        <v>2858.6</v>
      </c>
      <c r="K355" s="422">
        <f t="shared" si="244"/>
        <v>0</v>
      </c>
      <c r="L355" s="422">
        <v>2878.6</v>
      </c>
      <c r="M355" s="422">
        <f t="shared" si="247"/>
        <v>2878.6</v>
      </c>
      <c r="N355" s="422">
        <f t="shared" si="248"/>
        <v>14293</v>
      </c>
      <c r="O355" s="257"/>
    </row>
    <row r="356" s="54" customFormat="1" ht="25" customHeight="1" spans="1:15">
      <c r="A356" s="421">
        <v>21308</v>
      </c>
      <c r="B356" s="142" t="s">
        <v>390</v>
      </c>
      <c r="C356" s="422">
        <f t="shared" ref="C356:L356" si="249">C357+C358</f>
        <v>21.8</v>
      </c>
      <c r="D356" s="422">
        <f t="shared" si="249"/>
        <v>0</v>
      </c>
      <c r="E356" s="422">
        <f t="shared" si="246"/>
        <v>21.8</v>
      </c>
      <c r="F356" s="422">
        <f t="shared" si="249"/>
        <v>-18.718544</v>
      </c>
      <c r="G356" s="422">
        <f t="shared" si="249"/>
        <v>0</v>
      </c>
      <c r="H356" s="422">
        <f t="shared" si="249"/>
        <v>0</v>
      </c>
      <c r="I356" s="422">
        <f t="shared" si="249"/>
        <v>0</v>
      </c>
      <c r="J356" s="422">
        <f t="shared" si="249"/>
        <v>0</v>
      </c>
      <c r="K356" s="422">
        <f t="shared" si="249"/>
        <v>3.081456</v>
      </c>
      <c r="L356" s="422">
        <f t="shared" si="249"/>
        <v>0</v>
      </c>
      <c r="M356" s="422">
        <f t="shared" si="247"/>
        <v>3.081456</v>
      </c>
      <c r="N356" s="422">
        <f t="shared" si="248"/>
        <v>-85.864880733945</v>
      </c>
      <c r="O356" s="257"/>
    </row>
    <row r="357" s="54" customFormat="1" ht="25" customHeight="1" spans="1:15">
      <c r="A357" s="421">
        <v>2130803</v>
      </c>
      <c r="B357" s="142" t="s">
        <v>391</v>
      </c>
      <c r="C357" s="422">
        <v>12.8</v>
      </c>
      <c r="D357" s="422">
        <v>0</v>
      </c>
      <c r="E357" s="422">
        <f t="shared" si="246"/>
        <v>12.8</v>
      </c>
      <c r="F357" s="422">
        <v>-10.39884</v>
      </c>
      <c r="G357" s="422">
        <v>0</v>
      </c>
      <c r="H357" s="422">
        <v>0</v>
      </c>
      <c r="I357" s="422">
        <v>0</v>
      </c>
      <c r="J357" s="422">
        <f t="shared" ref="J357:J360" si="250">L357-D357</f>
        <v>0</v>
      </c>
      <c r="K357" s="422">
        <f t="shared" ref="K357:K360" si="251">C357+F357+G357+H357+I357</f>
        <v>2.40116</v>
      </c>
      <c r="L357" s="422"/>
      <c r="M357" s="422">
        <f t="shared" si="247"/>
        <v>2.40116</v>
      </c>
      <c r="N357" s="422">
        <f t="shared" si="248"/>
        <v>-81.2409375</v>
      </c>
      <c r="O357" s="257"/>
    </row>
    <row r="358" s="54" customFormat="1" ht="25" customHeight="1" spans="1:15">
      <c r="A358" s="421">
        <v>2130804</v>
      </c>
      <c r="B358" s="142" t="s">
        <v>392</v>
      </c>
      <c r="C358" s="422">
        <v>9</v>
      </c>
      <c r="D358" s="422">
        <v>0</v>
      </c>
      <c r="E358" s="422">
        <f t="shared" si="246"/>
        <v>9</v>
      </c>
      <c r="F358" s="422">
        <v>-8.319704</v>
      </c>
      <c r="G358" s="422">
        <v>0</v>
      </c>
      <c r="H358" s="422">
        <v>0</v>
      </c>
      <c r="I358" s="422">
        <v>0</v>
      </c>
      <c r="J358" s="422">
        <f t="shared" si="250"/>
        <v>0</v>
      </c>
      <c r="K358" s="422">
        <f t="shared" si="251"/>
        <v>0.680296</v>
      </c>
      <c r="L358" s="422"/>
      <c r="M358" s="422">
        <f t="shared" si="247"/>
        <v>0.680296</v>
      </c>
      <c r="N358" s="422">
        <f t="shared" si="248"/>
        <v>-92.4411555555556</v>
      </c>
      <c r="O358" s="429"/>
    </row>
    <row r="359" s="54" customFormat="1" ht="25" customHeight="1" spans="1:15">
      <c r="A359" s="421">
        <v>21399</v>
      </c>
      <c r="B359" s="142" t="s">
        <v>393</v>
      </c>
      <c r="C359" s="422">
        <f t="shared" ref="C359:L359" si="252">C360</f>
        <v>7906.97</v>
      </c>
      <c r="D359" s="422">
        <f t="shared" si="252"/>
        <v>6094</v>
      </c>
      <c r="E359" s="422">
        <f t="shared" si="246"/>
        <v>14000.97</v>
      </c>
      <c r="F359" s="422">
        <f t="shared" si="252"/>
        <v>457.34207</v>
      </c>
      <c r="G359" s="422">
        <f t="shared" si="252"/>
        <v>0</v>
      </c>
      <c r="H359" s="422">
        <f t="shared" si="252"/>
        <v>0</v>
      </c>
      <c r="I359" s="422">
        <f t="shared" si="252"/>
        <v>-118.97</v>
      </c>
      <c r="J359" s="422">
        <f t="shared" si="252"/>
        <v>46.2327999999998</v>
      </c>
      <c r="K359" s="422">
        <f t="shared" si="252"/>
        <v>8245.34207</v>
      </c>
      <c r="L359" s="422">
        <f t="shared" si="252"/>
        <v>6140.2328</v>
      </c>
      <c r="M359" s="422">
        <f t="shared" si="247"/>
        <v>14385.57487</v>
      </c>
      <c r="N359" s="422">
        <f t="shared" si="248"/>
        <v>2.74698731587882</v>
      </c>
      <c r="O359" s="257"/>
    </row>
    <row r="360" s="54" customFormat="1" ht="55" customHeight="1" spans="1:15">
      <c r="A360" s="421">
        <v>2139999</v>
      </c>
      <c r="B360" s="142" t="s">
        <v>393</v>
      </c>
      <c r="C360" s="422">
        <v>7906.97</v>
      </c>
      <c r="D360" s="422">
        <v>6094</v>
      </c>
      <c r="E360" s="422">
        <f t="shared" si="246"/>
        <v>14000.97</v>
      </c>
      <c r="F360" s="422">
        <f>257.34207+200</f>
        <v>457.34207</v>
      </c>
      <c r="G360" s="422">
        <v>0</v>
      </c>
      <c r="H360" s="422">
        <v>0</v>
      </c>
      <c r="I360" s="422">
        <v>-118.97</v>
      </c>
      <c r="J360" s="422">
        <f t="shared" si="250"/>
        <v>46.2327999999998</v>
      </c>
      <c r="K360" s="422">
        <f t="shared" si="251"/>
        <v>8245.34207</v>
      </c>
      <c r="L360" s="422">
        <v>6140.2328</v>
      </c>
      <c r="M360" s="422">
        <f t="shared" si="247"/>
        <v>14385.57487</v>
      </c>
      <c r="N360" s="422">
        <f t="shared" si="248"/>
        <v>2.74698731587882</v>
      </c>
      <c r="O360" s="257" t="s">
        <v>394</v>
      </c>
    </row>
    <row r="361" s="54" customFormat="1" ht="25" customHeight="1" spans="1:15">
      <c r="A361" s="421">
        <v>214</v>
      </c>
      <c r="B361" s="142" t="s">
        <v>395</v>
      </c>
      <c r="C361" s="422">
        <f t="shared" ref="C361:L361" si="253">C362+C368+C366</f>
        <v>64.5</v>
      </c>
      <c r="D361" s="422">
        <f t="shared" si="253"/>
        <v>4326</v>
      </c>
      <c r="E361" s="422">
        <f t="shared" si="246"/>
        <v>4390.5</v>
      </c>
      <c r="F361" s="422">
        <f t="shared" si="253"/>
        <v>0</v>
      </c>
      <c r="G361" s="422">
        <f t="shared" si="253"/>
        <v>0</v>
      </c>
      <c r="H361" s="422">
        <f t="shared" si="253"/>
        <v>0</v>
      </c>
      <c r="I361" s="422">
        <f t="shared" si="253"/>
        <v>0</v>
      </c>
      <c r="J361" s="422">
        <f t="shared" si="253"/>
        <v>14.7346999999999</v>
      </c>
      <c r="K361" s="422">
        <f t="shared" si="253"/>
        <v>64.5</v>
      </c>
      <c r="L361" s="422">
        <f t="shared" si="253"/>
        <v>4340.7347</v>
      </c>
      <c r="M361" s="422">
        <f t="shared" si="247"/>
        <v>4405.2347</v>
      </c>
      <c r="N361" s="422">
        <f t="shared" si="248"/>
        <v>0.335604145313745</v>
      </c>
      <c r="O361" s="257"/>
    </row>
    <row r="362" s="54" customFormat="1" ht="25" customHeight="1" spans="1:15">
      <c r="A362" s="421">
        <v>21401</v>
      </c>
      <c r="B362" s="142" t="s">
        <v>396</v>
      </c>
      <c r="C362" s="422">
        <f t="shared" ref="C362:L362" si="254">C365+C363+C364</f>
        <v>64.5</v>
      </c>
      <c r="D362" s="422">
        <f t="shared" si="254"/>
        <v>216</v>
      </c>
      <c r="E362" s="422">
        <f t="shared" si="246"/>
        <v>280.5</v>
      </c>
      <c r="F362" s="422">
        <f t="shared" si="254"/>
        <v>0</v>
      </c>
      <c r="G362" s="422">
        <f t="shared" si="254"/>
        <v>0</v>
      </c>
      <c r="H362" s="422">
        <f t="shared" si="254"/>
        <v>0</v>
      </c>
      <c r="I362" s="422">
        <f t="shared" si="254"/>
        <v>0</v>
      </c>
      <c r="J362" s="422">
        <f t="shared" si="254"/>
        <v>14.8</v>
      </c>
      <c r="K362" s="422">
        <f t="shared" si="254"/>
        <v>64.5</v>
      </c>
      <c r="L362" s="422">
        <f t="shared" si="254"/>
        <v>230.8</v>
      </c>
      <c r="M362" s="422">
        <f t="shared" si="247"/>
        <v>295.3</v>
      </c>
      <c r="N362" s="422">
        <f t="shared" si="248"/>
        <v>5.27629233511587</v>
      </c>
      <c r="O362" s="257"/>
    </row>
    <row r="363" s="54" customFormat="1" ht="25" customHeight="1" spans="1:15">
      <c r="A363" s="421">
        <v>2140104</v>
      </c>
      <c r="B363" s="142" t="s">
        <v>397</v>
      </c>
      <c r="C363" s="422"/>
      <c r="D363" s="422">
        <v>216</v>
      </c>
      <c r="E363" s="422">
        <f t="shared" si="246"/>
        <v>216</v>
      </c>
      <c r="F363" s="422"/>
      <c r="G363" s="422"/>
      <c r="H363" s="422"/>
      <c r="I363" s="422"/>
      <c r="J363" s="422">
        <f t="shared" ref="J363:J365" si="255">L363-D363</f>
        <v>-0.199999999999989</v>
      </c>
      <c r="K363" s="422">
        <f t="shared" ref="K363:K365" si="256">C363+F363+G363+H363+I363</f>
        <v>0</v>
      </c>
      <c r="L363" s="423">
        <v>215.8</v>
      </c>
      <c r="M363" s="422">
        <f t="shared" si="247"/>
        <v>215.8</v>
      </c>
      <c r="N363" s="422">
        <v>100</v>
      </c>
      <c r="O363" s="257"/>
    </row>
    <row r="364" s="54" customFormat="1" ht="25" customHeight="1" spans="1:15">
      <c r="A364" s="421">
        <v>2140106</v>
      </c>
      <c r="B364" s="142" t="s">
        <v>398</v>
      </c>
      <c r="C364" s="422"/>
      <c r="D364" s="422"/>
      <c r="E364" s="422"/>
      <c r="F364" s="422"/>
      <c r="G364" s="422"/>
      <c r="H364" s="422"/>
      <c r="I364" s="422"/>
      <c r="J364" s="422">
        <f t="shared" si="255"/>
        <v>15</v>
      </c>
      <c r="K364" s="422">
        <f t="shared" si="256"/>
        <v>0</v>
      </c>
      <c r="L364" s="423">
        <v>15</v>
      </c>
      <c r="M364" s="422">
        <f t="shared" si="247"/>
        <v>15</v>
      </c>
      <c r="N364" s="422"/>
      <c r="O364" s="257"/>
    </row>
    <row r="365" s="54" customFormat="1" ht="25" customHeight="1" spans="1:15">
      <c r="A365" s="421">
        <v>2140199</v>
      </c>
      <c r="B365" s="142" t="s">
        <v>399</v>
      </c>
      <c r="C365" s="422">
        <v>64.5</v>
      </c>
      <c r="D365" s="422">
        <v>0</v>
      </c>
      <c r="E365" s="422">
        <f t="shared" ref="E365:E428" si="257">C365+D365</f>
        <v>64.5</v>
      </c>
      <c r="F365" s="422"/>
      <c r="G365" s="422"/>
      <c r="H365" s="422"/>
      <c r="I365" s="422"/>
      <c r="J365" s="422">
        <f t="shared" si="255"/>
        <v>0</v>
      </c>
      <c r="K365" s="422">
        <f t="shared" si="256"/>
        <v>64.5</v>
      </c>
      <c r="L365" s="422"/>
      <c r="M365" s="422">
        <f t="shared" ref="M365:M400" si="258">K365+L365</f>
        <v>64.5</v>
      </c>
      <c r="N365" s="422">
        <f t="shared" ref="N365:N384" si="259">(M365-E365)/E365*100</f>
        <v>0</v>
      </c>
      <c r="O365" s="257"/>
    </row>
    <row r="366" s="54" customFormat="1" ht="25" customHeight="1" spans="1:15">
      <c r="A366" s="421">
        <v>21404</v>
      </c>
      <c r="B366" s="142" t="s">
        <v>400</v>
      </c>
      <c r="C366" s="422">
        <f t="shared" ref="C366:L366" si="260">C367</f>
        <v>0</v>
      </c>
      <c r="D366" s="422">
        <f t="shared" si="260"/>
        <v>37</v>
      </c>
      <c r="E366" s="422">
        <f t="shared" si="257"/>
        <v>37</v>
      </c>
      <c r="F366" s="422">
        <f t="shared" si="260"/>
        <v>0</v>
      </c>
      <c r="G366" s="422">
        <f t="shared" si="260"/>
        <v>0</v>
      </c>
      <c r="H366" s="422">
        <f t="shared" si="260"/>
        <v>0</v>
      </c>
      <c r="I366" s="422">
        <f t="shared" si="260"/>
        <v>0</v>
      </c>
      <c r="J366" s="422">
        <f t="shared" si="260"/>
        <v>-0.165300000000002</v>
      </c>
      <c r="K366" s="422">
        <f t="shared" si="260"/>
        <v>0</v>
      </c>
      <c r="L366" s="422">
        <f t="shared" si="260"/>
        <v>36.8347</v>
      </c>
      <c r="M366" s="422">
        <f t="shared" si="258"/>
        <v>36.8347</v>
      </c>
      <c r="N366" s="422">
        <v>100</v>
      </c>
      <c r="O366" s="257"/>
    </row>
    <row r="367" s="54" customFormat="1" ht="25" customHeight="1" spans="1:15">
      <c r="A367" s="421">
        <v>2140403</v>
      </c>
      <c r="B367" s="142" t="s">
        <v>401</v>
      </c>
      <c r="C367" s="422"/>
      <c r="D367" s="422">
        <v>37</v>
      </c>
      <c r="E367" s="422">
        <f t="shared" si="257"/>
        <v>37</v>
      </c>
      <c r="F367" s="422"/>
      <c r="G367" s="422"/>
      <c r="H367" s="423"/>
      <c r="I367" s="422"/>
      <c r="J367" s="422">
        <f t="shared" ref="J367:J374" si="261">L367-D367</f>
        <v>-0.165300000000002</v>
      </c>
      <c r="K367" s="422">
        <f t="shared" ref="K367:K374" si="262">C367+F367+G367+H367+I367</f>
        <v>0</v>
      </c>
      <c r="L367" s="422">
        <v>36.8347</v>
      </c>
      <c r="M367" s="422">
        <f t="shared" si="258"/>
        <v>36.8347</v>
      </c>
      <c r="N367" s="422">
        <v>100</v>
      </c>
      <c r="O367" s="257"/>
    </row>
    <row r="368" s="54" customFormat="1" ht="25" customHeight="1" spans="1:15">
      <c r="A368" s="421">
        <v>21406</v>
      </c>
      <c r="B368" s="142" t="s">
        <v>402</v>
      </c>
      <c r="C368" s="422">
        <f t="shared" ref="C368:L368" si="263">+C369</f>
        <v>0</v>
      </c>
      <c r="D368" s="422">
        <f t="shared" si="263"/>
        <v>4073</v>
      </c>
      <c r="E368" s="422">
        <f t="shared" si="257"/>
        <v>4073</v>
      </c>
      <c r="F368" s="422">
        <f t="shared" si="263"/>
        <v>0</v>
      </c>
      <c r="G368" s="422">
        <f t="shared" si="263"/>
        <v>0</v>
      </c>
      <c r="H368" s="422">
        <f t="shared" si="263"/>
        <v>0</v>
      </c>
      <c r="I368" s="422">
        <f t="shared" si="263"/>
        <v>0</v>
      </c>
      <c r="J368" s="422">
        <f t="shared" si="263"/>
        <v>0.0999999999999091</v>
      </c>
      <c r="K368" s="422">
        <f t="shared" si="263"/>
        <v>0</v>
      </c>
      <c r="L368" s="422">
        <f t="shared" si="263"/>
        <v>4073.1</v>
      </c>
      <c r="M368" s="422">
        <f t="shared" si="258"/>
        <v>4073.1</v>
      </c>
      <c r="N368" s="422">
        <f t="shared" si="259"/>
        <v>0.00245519273262728</v>
      </c>
      <c r="O368" s="257"/>
    </row>
    <row r="369" s="54" customFormat="1" ht="25" customHeight="1" spans="1:15">
      <c r="A369" s="421">
        <v>2140601</v>
      </c>
      <c r="B369" s="142" t="s">
        <v>403</v>
      </c>
      <c r="C369" s="422"/>
      <c r="D369" s="422">
        <v>4073</v>
      </c>
      <c r="E369" s="422">
        <f t="shared" si="257"/>
        <v>4073</v>
      </c>
      <c r="F369" s="422"/>
      <c r="G369" s="422"/>
      <c r="H369" s="422"/>
      <c r="I369" s="422"/>
      <c r="J369" s="422">
        <f t="shared" si="261"/>
        <v>0.0999999999999091</v>
      </c>
      <c r="K369" s="422">
        <f t="shared" si="262"/>
        <v>0</v>
      </c>
      <c r="L369" s="422">
        <v>4073.1</v>
      </c>
      <c r="M369" s="422">
        <f t="shared" si="258"/>
        <v>4073.1</v>
      </c>
      <c r="N369" s="422">
        <f t="shared" si="259"/>
        <v>0.00245519273262728</v>
      </c>
      <c r="O369" s="257"/>
    </row>
    <row r="370" s="54" customFormat="1" ht="25" customHeight="1" spans="1:15">
      <c r="A370" s="421">
        <v>215</v>
      </c>
      <c r="B370" s="142" t="s">
        <v>404</v>
      </c>
      <c r="C370" s="422">
        <f t="shared" ref="C370:L370" si="264">C371</f>
        <v>266.28</v>
      </c>
      <c r="D370" s="422">
        <f t="shared" si="264"/>
        <v>949</v>
      </c>
      <c r="E370" s="422">
        <f t="shared" si="257"/>
        <v>1215.28</v>
      </c>
      <c r="F370" s="422">
        <f t="shared" si="264"/>
        <v>484.83</v>
      </c>
      <c r="G370" s="422">
        <f t="shared" si="264"/>
        <v>0</v>
      </c>
      <c r="H370" s="422">
        <f t="shared" si="264"/>
        <v>0</v>
      </c>
      <c r="I370" s="422">
        <f t="shared" si="264"/>
        <v>0</v>
      </c>
      <c r="J370" s="422">
        <f t="shared" si="264"/>
        <v>69.8539</v>
      </c>
      <c r="K370" s="422">
        <f t="shared" si="264"/>
        <v>751.11</v>
      </c>
      <c r="L370" s="422">
        <f t="shared" si="264"/>
        <v>1018.8539</v>
      </c>
      <c r="M370" s="422">
        <f t="shared" si="258"/>
        <v>1769.9639</v>
      </c>
      <c r="N370" s="422">
        <f t="shared" si="259"/>
        <v>45.6424774537555</v>
      </c>
      <c r="O370" s="257"/>
    </row>
    <row r="371" s="54" customFormat="1" ht="25" customHeight="1" spans="1:15">
      <c r="A371" s="421">
        <v>21505</v>
      </c>
      <c r="B371" s="142" t="s">
        <v>405</v>
      </c>
      <c r="C371" s="422">
        <f t="shared" ref="C371:L371" si="265">C372+C374+C373</f>
        <v>266.28</v>
      </c>
      <c r="D371" s="422">
        <f t="shared" si="265"/>
        <v>949</v>
      </c>
      <c r="E371" s="422">
        <f t="shared" si="257"/>
        <v>1215.28</v>
      </c>
      <c r="F371" s="422">
        <f t="shared" si="265"/>
        <v>484.83</v>
      </c>
      <c r="G371" s="422">
        <f t="shared" si="265"/>
        <v>0</v>
      </c>
      <c r="H371" s="422">
        <f t="shared" si="265"/>
        <v>0</v>
      </c>
      <c r="I371" s="422">
        <f t="shared" si="265"/>
        <v>0</v>
      </c>
      <c r="J371" s="422">
        <f t="shared" si="265"/>
        <v>69.8539</v>
      </c>
      <c r="K371" s="422">
        <f t="shared" si="265"/>
        <v>751.11</v>
      </c>
      <c r="L371" s="422">
        <f t="shared" si="265"/>
        <v>1018.8539</v>
      </c>
      <c r="M371" s="422">
        <f t="shared" si="258"/>
        <v>1769.9639</v>
      </c>
      <c r="N371" s="422">
        <f t="shared" si="259"/>
        <v>45.6424774537555</v>
      </c>
      <c r="O371" s="429"/>
    </row>
    <row r="372" s="54" customFormat="1" ht="25" customHeight="1" spans="1:15">
      <c r="A372" s="421">
        <v>2150501</v>
      </c>
      <c r="B372" s="142" t="s">
        <v>70</v>
      </c>
      <c r="C372" s="422">
        <v>244.28</v>
      </c>
      <c r="D372" s="422">
        <v>0</v>
      </c>
      <c r="E372" s="422">
        <f t="shared" si="257"/>
        <v>244.28</v>
      </c>
      <c r="F372" s="422">
        <v>-0.4</v>
      </c>
      <c r="G372" s="422"/>
      <c r="H372" s="422"/>
      <c r="I372" s="422"/>
      <c r="J372" s="422">
        <f t="shared" si="261"/>
        <v>0</v>
      </c>
      <c r="K372" s="422">
        <f t="shared" si="262"/>
        <v>243.88</v>
      </c>
      <c r="L372" s="422"/>
      <c r="M372" s="422">
        <f t="shared" si="258"/>
        <v>243.88</v>
      </c>
      <c r="N372" s="422">
        <f t="shared" si="259"/>
        <v>-0.163746520386444</v>
      </c>
      <c r="O372" s="257"/>
    </row>
    <row r="373" s="54" customFormat="1" ht="25" customHeight="1" spans="1:15">
      <c r="A373" s="421">
        <v>2150510</v>
      </c>
      <c r="B373" s="142" t="s">
        <v>406</v>
      </c>
      <c r="C373" s="422"/>
      <c r="D373" s="422">
        <v>703</v>
      </c>
      <c r="E373" s="422">
        <f t="shared" si="257"/>
        <v>703</v>
      </c>
      <c r="F373" s="422"/>
      <c r="G373" s="422"/>
      <c r="H373" s="422"/>
      <c r="I373" s="422"/>
      <c r="J373" s="422">
        <f t="shared" si="261"/>
        <v>70.2356</v>
      </c>
      <c r="K373" s="422">
        <f t="shared" si="262"/>
        <v>0</v>
      </c>
      <c r="L373" s="423">
        <v>773.2356</v>
      </c>
      <c r="M373" s="422">
        <f t="shared" si="258"/>
        <v>773.2356</v>
      </c>
      <c r="N373" s="422">
        <f t="shared" si="259"/>
        <v>9.99083926031294</v>
      </c>
      <c r="O373" s="257"/>
    </row>
    <row r="374" s="54" customFormat="1" ht="35" customHeight="1" spans="1:15">
      <c r="A374" s="421">
        <v>2150599</v>
      </c>
      <c r="B374" s="142" t="s">
        <v>407</v>
      </c>
      <c r="C374" s="422">
        <v>22</v>
      </c>
      <c r="D374" s="422">
        <v>246</v>
      </c>
      <c r="E374" s="422">
        <f t="shared" si="257"/>
        <v>268</v>
      </c>
      <c r="F374" s="422">
        <v>485.23</v>
      </c>
      <c r="G374" s="422"/>
      <c r="H374" s="422"/>
      <c r="I374" s="422"/>
      <c r="J374" s="422">
        <f t="shared" si="261"/>
        <v>-0.381699999999995</v>
      </c>
      <c r="K374" s="422">
        <f t="shared" si="262"/>
        <v>507.23</v>
      </c>
      <c r="L374" s="422">
        <v>245.6183</v>
      </c>
      <c r="M374" s="422">
        <f t="shared" si="258"/>
        <v>752.8483</v>
      </c>
      <c r="N374" s="422">
        <f t="shared" si="259"/>
        <v>180.913544776119</v>
      </c>
      <c r="O374" s="257" t="s">
        <v>408</v>
      </c>
    </row>
    <row r="375" s="54" customFormat="1" ht="25" customHeight="1" spans="1:15">
      <c r="A375" s="421">
        <v>216</v>
      </c>
      <c r="B375" s="142" t="s">
        <v>409</v>
      </c>
      <c r="C375" s="422">
        <f t="shared" ref="C375:L375" si="266">C376+C378+C380</f>
        <v>709.43</v>
      </c>
      <c r="D375" s="422">
        <f t="shared" si="266"/>
        <v>947</v>
      </c>
      <c r="E375" s="422">
        <f t="shared" si="257"/>
        <v>1656.43</v>
      </c>
      <c r="F375" s="422">
        <f t="shared" si="266"/>
        <v>-4</v>
      </c>
      <c r="G375" s="422">
        <f t="shared" si="266"/>
        <v>0</v>
      </c>
      <c r="H375" s="422">
        <f t="shared" si="266"/>
        <v>0</v>
      </c>
      <c r="I375" s="422">
        <f t="shared" si="266"/>
        <v>-3.36999999999999</v>
      </c>
      <c r="J375" s="422">
        <f t="shared" si="266"/>
        <v>462.7615</v>
      </c>
      <c r="K375" s="422">
        <f t="shared" si="266"/>
        <v>702.06</v>
      </c>
      <c r="L375" s="422">
        <f t="shared" si="266"/>
        <v>1409.7615</v>
      </c>
      <c r="M375" s="422">
        <f t="shared" si="258"/>
        <v>2111.8215</v>
      </c>
      <c r="N375" s="422">
        <f t="shared" si="259"/>
        <v>27.4923480014247</v>
      </c>
      <c r="O375" s="257"/>
    </row>
    <row r="376" s="54" customFormat="1" ht="25" customHeight="1" spans="1:15">
      <c r="A376" s="421">
        <v>21602</v>
      </c>
      <c r="B376" s="142" t="s">
        <v>410</v>
      </c>
      <c r="C376" s="422">
        <f t="shared" ref="C376:L376" si="267">C377</f>
        <v>124.66</v>
      </c>
      <c r="D376" s="422">
        <f t="shared" si="267"/>
        <v>840</v>
      </c>
      <c r="E376" s="422">
        <f t="shared" si="257"/>
        <v>964.66</v>
      </c>
      <c r="F376" s="422">
        <f t="shared" si="267"/>
        <v>-4</v>
      </c>
      <c r="G376" s="422">
        <f t="shared" si="267"/>
        <v>0</v>
      </c>
      <c r="H376" s="422">
        <f t="shared" si="267"/>
        <v>0</v>
      </c>
      <c r="I376" s="422">
        <f t="shared" si="267"/>
        <v>0</v>
      </c>
      <c r="J376" s="422">
        <f t="shared" si="267"/>
        <v>0</v>
      </c>
      <c r="K376" s="422">
        <f t="shared" si="267"/>
        <v>120.66</v>
      </c>
      <c r="L376" s="422">
        <f t="shared" si="267"/>
        <v>840</v>
      </c>
      <c r="M376" s="422">
        <f t="shared" si="258"/>
        <v>960.66</v>
      </c>
      <c r="N376" s="422">
        <f t="shared" si="259"/>
        <v>-0.414653867683951</v>
      </c>
      <c r="O376" s="257"/>
    </row>
    <row r="377" s="54" customFormat="1" ht="25" customHeight="1" spans="1:15">
      <c r="A377" s="421">
        <v>2160299</v>
      </c>
      <c r="B377" s="142" t="s">
        <v>411</v>
      </c>
      <c r="C377" s="422">
        <v>124.66</v>
      </c>
      <c r="D377" s="422">
        <v>840</v>
      </c>
      <c r="E377" s="422">
        <f t="shared" si="257"/>
        <v>964.66</v>
      </c>
      <c r="F377" s="422">
        <v>-4</v>
      </c>
      <c r="G377" s="422"/>
      <c r="H377" s="422"/>
      <c r="I377" s="422"/>
      <c r="J377" s="422">
        <f t="shared" ref="J377:J381" si="268">L377-D377</f>
        <v>0</v>
      </c>
      <c r="K377" s="422">
        <f t="shared" ref="K377:K381" si="269">C377+F377+G377+H377+I377</f>
        <v>120.66</v>
      </c>
      <c r="L377" s="422">
        <v>840</v>
      </c>
      <c r="M377" s="422">
        <f t="shared" si="258"/>
        <v>960.66</v>
      </c>
      <c r="N377" s="422">
        <f t="shared" si="259"/>
        <v>-0.414653867683951</v>
      </c>
      <c r="O377" s="257"/>
    </row>
    <row r="378" s="54" customFormat="1" ht="25" customHeight="1" spans="1:15">
      <c r="A378" s="421">
        <v>21606</v>
      </c>
      <c r="B378" s="142" t="s">
        <v>412</v>
      </c>
      <c r="C378" s="422">
        <f t="shared" ref="C378:L378" si="270">C379</f>
        <v>174.32</v>
      </c>
      <c r="D378" s="422">
        <f t="shared" si="270"/>
        <v>107</v>
      </c>
      <c r="E378" s="422">
        <f t="shared" si="257"/>
        <v>281.32</v>
      </c>
      <c r="F378" s="422">
        <f t="shared" si="270"/>
        <v>0</v>
      </c>
      <c r="G378" s="422">
        <f t="shared" si="270"/>
        <v>0</v>
      </c>
      <c r="H378" s="422">
        <f t="shared" si="270"/>
        <v>0</v>
      </c>
      <c r="I378" s="422">
        <f t="shared" si="270"/>
        <v>82.2</v>
      </c>
      <c r="J378" s="422">
        <f t="shared" si="270"/>
        <v>462.7615</v>
      </c>
      <c r="K378" s="422">
        <f t="shared" si="270"/>
        <v>256.52</v>
      </c>
      <c r="L378" s="422">
        <f t="shared" si="270"/>
        <v>569.7615</v>
      </c>
      <c r="M378" s="422">
        <f t="shared" si="258"/>
        <v>826.2815</v>
      </c>
      <c r="N378" s="422">
        <f t="shared" si="259"/>
        <v>193.71587515996</v>
      </c>
      <c r="O378" s="257"/>
    </row>
    <row r="379" s="54" customFormat="1" ht="25" customHeight="1" spans="1:15">
      <c r="A379" s="421">
        <v>2160699</v>
      </c>
      <c r="B379" s="142" t="s">
        <v>413</v>
      </c>
      <c r="C379" s="422">
        <v>174.32</v>
      </c>
      <c r="D379" s="422">
        <v>107</v>
      </c>
      <c r="E379" s="422">
        <f t="shared" si="257"/>
        <v>281.32</v>
      </c>
      <c r="F379" s="422"/>
      <c r="G379" s="422">
        <v>0</v>
      </c>
      <c r="H379" s="422">
        <v>0</v>
      </c>
      <c r="I379" s="422">
        <v>82.2</v>
      </c>
      <c r="J379" s="422">
        <f t="shared" si="268"/>
        <v>462.7615</v>
      </c>
      <c r="K379" s="422">
        <f t="shared" si="269"/>
        <v>256.52</v>
      </c>
      <c r="L379" s="422">
        <v>569.7615</v>
      </c>
      <c r="M379" s="422">
        <f t="shared" si="258"/>
        <v>826.2815</v>
      </c>
      <c r="N379" s="422">
        <f t="shared" si="259"/>
        <v>193.71587515996</v>
      </c>
      <c r="O379" s="429"/>
    </row>
    <row r="380" s="54" customFormat="1" ht="25" customHeight="1" spans="1:15">
      <c r="A380" s="421">
        <v>21699</v>
      </c>
      <c r="B380" s="142" t="s">
        <v>414</v>
      </c>
      <c r="C380" s="422">
        <f t="shared" ref="C380:L380" si="271">C381</f>
        <v>410.45</v>
      </c>
      <c r="D380" s="422">
        <f t="shared" si="271"/>
        <v>0</v>
      </c>
      <c r="E380" s="422">
        <f t="shared" si="257"/>
        <v>410.45</v>
      </c>
      <c r="F380" s="422">
        <f t="shared" si="271"/>
        <v>0</v>
      </c>
      <c r="G380" s="422">
        <f t="shared" si="271"/>
        <v>0</v>
      </c>
      <c r="H380" s="422">
        <f t="shared" si="271"/>
        <v>0</v>
      </c>
      <c r="I380" s="422">
        <f t="shared" si="271"/>
        <v>-85.57</v>
      </c>
      <c r="J380" s="422">
        <f t="shared" si="271"/>
        <v>0</v>
      </c>
      <c r="K380" s="422">
        <f t="shared" si="271"/>
        <v>324.88</v>
      </c>
      <c r="L380" s="422">
        <f t="shared" si="271"/>
        <v>0</v>
      </c>
      <c r="M380" s="422">
        <f t="shared" si="258"/>
        <v>324.88</v>
      </c>
      <c r="N380" s="422">
        <f t="shared" si="259"/>
        <v>-20.8478499208186</v>
      </c>
      <c r="O380" s="257"/>
    </row>
    <row r="381" s="54" customFormat="1" ht="25" customHeight="1" spans="1:15">
      <c r="A381" s="421">
        <v>2169999</v>
      </c>
      <c r="B381" s="142" t="s">
        <v>414</v>
      </c>
      <c r="C381" s="422">
        <v>410.45</v>
      </c>
      <c r="D381" s="422">
        <v>0</v>
      </c>
      <c r="E381" s="422">
        <f t="shared" si="257"/>
        <v>410.45</v>
      </c>
      <c r="F381" s="422"/>
      <c r="G381" s="422"/>
      <c r="H381" s="422"/>
      <c r="I381" s="422">
        <v>-85.57</v>
      </c>
      <c r="J381" s="422">
        <f t="shared" si="268"/>
        <v>0</v>
      </c>
      <c r="K381" s="422">
        <f t="shared" si="269"/>
        <v>324.88</v>
      </c>
      <c r="L381" s="422"/>
      <c r="M381" s="422">
        <f t="shared" si="258"/>
        <v>324.88</v>
      </c>
      <c r="N381" s="422">
        <f t="shared" si="259"/>
        <v>-20.8478499208186</v>
      </c>
      <c r="O381" s="257"/>
    </row>
    <row r="382" s="54" customFormat="1" ht="25" customHeight="1" spans="1:15">
      <c r="A382" s="421">
        <v>217</v>
      </c>
      <c r="B382" s="142" t="s">
        <v>415</v>
      </c>
      <c r="C382" s="422">
        <f t="shared" ref="C382:L382" si="272">C383</f>
        <v>5</v>
      </c>
      <c r="D382" s="422">
        <f t="shared" si="272"/>
        <v>14</v>
      </c>
      <c r="E382" s="422">
        <f t="shared" si="257"/>
        <v>19</v>
      </c>
      <c r="F382" s="422">
        <f t="shared" si="272"/>
        <v>0.95</v>
      </c>
      <c r="G382" s="422">
        <f t="shared" si="272"/>
        <v>0</v>
      </c>
      <c r="H382" s="422">
        <f t="shared" si="272"/>
        <v>0</v>
      </c>
      <c r="I382" s="422">
        <f t="shared" si="272"/>
        <v>0</v>
      </c>
      <c r="J382" s="422">
        <f t="shared" si="272"/>
        <v>0.449999999999999</v>
      </c>
      <c r="K382" s="422">
        <f t="shared" si="272"/>
        <v>5.95</v>
      </c>
      <c r="L382" s="422">
        <f t="shared" si="272"/>
        <v>14.45</v>
      </c>
      <c r="M382" s="422">
        <f t="shared" si="258"/>
        <v>20.4</v>
      </c>
      <c r="N382" s="422">
        <f t="shared" si="259"/>
        <v>7.36842105263157</v>
      </c>
      <c r="O382" s="257"/>
    </row>
    <row r="383" s="54" customFormat="1" ht="25" customHeight="1" spans="1:15">
      <c r="A383" s="421">
        <v>21799</v>
      </c>
      <c r="B383" s="142" t="s">
        <v>416</v>
      </c>
      <c r="C383" s="422">
        <f t="shared" ref="C383:L383" si="273">C384+C385</f>
        <v>5</v>
      </c>
      <c r="D383" s="422">
        <f t="shared" si="273"/>
        <v>14</v>
      </c>
      <c r="E383" s="422">
        <f t="shared" si="257"/>
        <v>19</v>
      </c>
      <c r="F383" s="422">
        <f t="shared" si="273"/>
        <v>0.95</v>
      </c>
      <c r="G383" s="422">
        <f t="shared" si="273"/>
        <v>0</v>
      </c>
      <c r="H383" s="422">
        <f t="shared" si="273"/>
        <v>0</v>
      </c>
      <c r="I383" s="422">
        <f t="shared" si="273"/>
        <v>0</v>
      </c>
      <c r="J383" s="422">
        <f t="shared" si="273"/>
        <v>0.449999999999999</v>
      </c>
      <c r="K383" s="422">
        <f t="shared" si="273"/>
        <v>5.95</v>
      </c>
      <c r="L383" s="422">
        <f t="shared" si="273"/>
        <v>14.45</v>
      </c>
      <c r="M383" s="422">
        <f t="shared" si="258"/>
        <v>20.4</v>
      </c>
      <c r="N383" s="422">
        <f t="shared" si="259"/>
        <v>7.36842105263157</v>
      </c>
      <c r="O383" s="257"/>
    </row>
    <row r="384" s="54" customFormat="1" ht="25" customHeight="1" spans="1:15">
      <c r="A384" s="421">
        <v>2179901</v>
      </c>
      <c r="B384" s="142" t="s">
        <v>416</v>
      </c>
      <c r="C384" s="422">
        <v>5</v>
      </c>
      <c r="D384" s="422">
        <v>5</v>
      </c>
      <c r="E384" s="422">
        <f t="shared" si="257"/>
        <v>10</v>
      </c>
      <c r="F384" s="422"/>
      <c r="G384" s="422">
        <v>0</v>
      </c>
      <c r="H384" s="422">
        <v>0</v>
      </c>
      <c r="I384" s="422">
        <v>0</v>
      </c>
      <c r="J384" s="422">
        <f t="shared" ref="J384:J392" si="274">L384-D384</f>
        <v>0</v>
      </c>
      <c r="K384" s="422">
        <f t="shared" ref="K384:K392" si="275">C384+F384+G384+H384+I384</f>
        <v>5</v>
      </c>
      <c r="L384" s="422">
        <v>5</v>
      </c>
      <c r="M384" s="422">
        <f t="shared" si="258"/>
        <v>10</v>
      </c>
      <c r="N384" s="422">
        <f t="shared" si="259"/>
        <v>0</v>
      </c>
      <c r="O384" s="257"/>
    </row>
    <row r="385" s="54" customFormat="1" ht="25" customHeight="1" spans="1:15">
      <c r="A385" s="421">
        <v>2179902</v>
      </c>
      <c r="B385" s="142" t="s">
        <v>417</v>
      </c>
      <c r="C385" s="422"/>
      <c r="D385" s="422">
        <v>9</v>
      </c>
      <c r="E385" s="422">
        <f t="shared" si="257"/>
        <v>9</v>
      </c>
      <c r="F385" s="422">
        <v>0.95</v>
      </c>
      <c r="G385" s="422"/>
      <c r="H385" s="422"/>
      <c r="I385" s="422"/>
      <c r="J385" s="422">
        <f t="shared" si="274"/>
        <v>0.449999999999999</v>
      </c>
      <c r="K385" s="422">
        <f t="shared" si="275"/>
        <v>0.95</v>
      </c>
      <c r="L385" s="423">
        <v>9.45</v>
      </c>
      <c r="M385" s="422">
        <f t="shared" si="258"/>
        <v>10.4</v>
      </c>
      <c r="N385" s="422">
        <v>100</v>
      </c>
      <c r="O385" s="257"/>
    </row>
    <row r="386" s="54" customFormat="1" ht="25" customHeight="1" spans="1:15">
      <c r="A386" s="421">
        <v>220</v>
      </c>
      <c r="B386" s="142" t="s">
        <v>418</v>
      </c>
      <c r="C386" s="422">
        <f t="shared" ref="C386:L386" si="276">C387+C393</f>
        <v>2262.88</v>
      </c>
      <c r="D386" s="422">
        <f t="shared" si="276"/>
        <v>0</v>
      </c>
      <c r="E386" s="422">
        <f t="shared" si="257"/>
        <v>2262.88</v>
      </c>
      <c r="F386" s="422">
        <f t="shared" si="276"/>
        <v>-289.63</v>
      </c>
      <c r="G386" s="422">
        <f t="shared" si="276"/>
        <v>-4</v>
      </c>
      <c r="H386" s="422">
        <f t="shared" si="276"/>
        <v>0</v>
      </c>
      <c r="I386" s="422">
        <f t="shared" si="276"/>
        <v>-20.77</v>
      </c>
      <c r="J386" s="422">
        <f t="shared" si="276"/>
        <v>0</v>
      </c>
      <c r="K386" s="422">
        <f t="shared" si="276"/>
        <v>1948.48</v>
      </c>
      <c r="L386" s="422">
        <f t="shared" si="276"/>
        <v>0</v>
      </c>
      <c r="M386" s="422">
        <f t="shared" si="258"/>
        <v>1948.48</v>
      </c>
      <c r="N386" s="422">
        <f t="shared" ref="N386:N404" si="277">(M386-E386)/E386*100</f>
        <v>-13.8937990525348</v>
      </c>
      <c r="O386" s="257"/>
    </row>
    <row r="387" s="54" customFormat="1" ht="25" customHeight="1" spans="1:15">
      <c r="A387" s="421">
        <v>22001</v>
      </c>
      <c r="B387" s="142" t="s">
        <v>419</v>
      </c>
      <c r="C387" s="422">
        <f t="shared" ref="C387:L387" si="278">C388+C389+C390+C391+C392</f>
        <v>2232.81</v>
      </c>
      <c r="D387" s="422">
        <f t="shared" si="278"/>
        <v>0</v>
      </c>
      <c r="E387" s="422">
        <f t="shared" si="257"/>
        <v>2232.81</v>
      </c>
      <c r="F387" s="422">
        <f t="shared" si="278"/>
        <v>-267.91</v>
      </c>
      <c r="G387" s="422">
        <f t="shared" si="278"/>
        <v>-4</v>
      </c>
      <c r="H387" s="422">
        <f t="shared" si="278"/>
        <v>0</v>
      </c>
      <c r="I387" s="422">
        <f t="shared" si="278"/>
        <v>-20.77</v>
      </c>
      <c r="J387" s="422">
        <f t="shared" si="278"/>
        <v>0</v>
      </c>
      <c r="K387" s="422">
        <f t="shared" si="278"/>
        <v>1940.13</v>
      </c>
      <c r="L387" s="422">
        <f t="shared" si="278"/>
        <v>0</v>
      </c>
      <c r="M387" s="422">
        <f t="shared" si="258"/>
        <v>1940.13</v>
      </c>
      <c r="N387" s="422">
        <f t="shared" si="277"/>
        <v>-13.1081462372526</v>
      </c>
      <c r="O387" s="429"/>
    </row>
    <row r="388" s="54" customFormat="1" ht="25" customHeight="1" spans="1:15">
      <c r="A388" s="421">
        <v>2200101</v>
      </c>
      <c r="B388" s="142" t="s">
        <v>70</v>
      </c>
      <c r="C388" s="422">
        <v>724.22</v>
      </c>
      <c r="D388" s="422">
        <v>0</v>
      </c>
      <c r="E388" s="422">
        <f t="shared" si="257"/>
        <v>724.22</v>
      </c>
      <c r="F388" s="422">
        <v>-10</v>
      </c>
      <c r="G388" s="422"/>
      <c r="H388" s="422"/>
      <c r="I388" s="422">
        <v>-20.77</v>
      </c>
      <c r="J388" s="422">
        <f t="shared" si="274"/>
        <v>0</v>
      </c>
      <c r="K388" s="422">
        <f t="shared" si="275"/>
        <v>693.45</v>
      </c>
      <c r="L388" s="422">
        <v>0</v>
      </c>
      <c r="M388" s="422">
        <f t="shared" si="258"/>
        <v>693.45</v>
      </c>
      <c r="N388" s="422">
        <f t="shared" si="277"/>
        <v>-4.24870895584214</v>
      </c>
      <c r="O388" s="257"/>
    </row>
    <row r="389" s="54" customFormat="1" ht="35" customHeight="1" spans="1:15">
      <c r="A389" s="421">
        <v>2200114</v>
      </c>
      <c r="B389" s="142" t="s">
        <v>420</v>
      </c>
      <c r="C389" s="422">
        <v>670</v>
      </c>
      <c r="D389" s="422">
        <v>0</v>
      </c>
      <c r="E389" s="422">
        <f t="shared" si="257"/>
        <v>670</v>
      </c>
      <c r="F389" s="422">
        <v>-196.63</v>
      </c>
      <c r="G389" s="422"/>
      <c r="H389" s="422"/>
      <c r="I389" s="422"/>
      <c r="J389" s="422">
        <f t="shared" si="274"/>
        <v>0</v>
      </c>
      <c r="K389" s="422">
        <f t="shared" si="275"/>
        <v>473.37</v>
      </c>
      <c r="L389" s="422">
        <v>0</v>
      </c>
      <c r="M389" s="422">
        <f t="shared" si="258"/>
        <v>473.37</v>
      </c>
      <c r="N389" s="422">
        <f t="shared" si="277"/>
        <v>-29.3477611940298</v>
      </c>
      <c r="O389" s="257" t="s">
        <v>421</v>
      </c>
    </row>
    <row r="390" s="54" customFormat="1" ht="25" customHeight="1" spans="1:15">
      <c r="A390" s="421">
        <v>2200120</v>
      </c>
      <c r="B390" s="142" t="s">
        <v>422</v>
      </c>
      <c r="C390" s="422">
        <v>59.78</v>
      </c>
      <c r="D390" s="422">
        <v>0</v>
      </c>
      <c r="E390" s="422">
        <f t="shared" si="257"/>
        <v>59.78</v>
      </c>
      <c r="F390" s="422">
        <f>-51.78+4</f>
        <v>-47.78</v>
      </c>
      <c r="G390" s="422">
        <v>-4</v>
      </c>
      <c r="H390" s="422"/>
      <c r="I390" s="422"/>
      <c r="J390" s="422">
        <f t="shared" si="274"/>
        <v>0</v>
      </c>
      <c r="K390" s="422">
        <f t="shared" si="275"/>
        <v>8</v>
      </c>
      <c r="L390" s="422">
        <v>0</v>
      </c>
      <c r="M390" s="422">
        <f t="shared" si="258"/>
        <v>8</v>
      </c>
      <c r="N390" s="422">
        <f t="shared" si="277"/>
        <v>-86.6175978588157</v>
      </c>
      <c r="O390" s="257" t="s">
        <v>423</v>
      </c>
    </row>
    <row r="391" s="54" customFormat="1" ht="25" customHeight="1" spans="1:15">
      <c r="A391" s="421">
        <v>2200150</v>
      </c>
      <c r="B391" s="142" t="s">
        <v>102</v>
      </c>
      <c r="C391" s="422">
        <v>28.46</v>
      </c>
      <c r="D391" s="422">
        <v>0</v>
      </c>
      <c r="E391" s="422">
        <f t="shared" si="257"/>
        <v>28.46</v>
      </c>
      <c r="F391" s="422"/>
      <c r="G391" s="422"/>
      <c r="H391" s="422"/>
      <c r="I391" s="422"/>
      <c r="J391" s="422">
        <f t="shared" si="274"/>
        <v>0</v>
      </c>
      <c r="K391" s="422">
        <f t="shared" si="275"/>
        <v>28.46</v>
      </c>
      <c r="L391" s="422">
        <v>0</v>
      </c>
      <c r="M391" s="422">
        <f t="shared" si="258"/>
        <v>28.46</v>
      </c>
      <c r="N391" s="422">
        <f t="shared" si="277"/>
        <v>0</v>
      </c>
      <c r="O391" s="257"/>
    </row>
    <row r="392" s="54" customFormat="1" ht="25" customHeight="1" spans="1:15">
      <c r="A392" s="421">
        <v>2200199</v>
      </c>
      <c r="B392" s="142" t="s">
        <v>424</v>
      </c>
      <c r="C392" s="422">
        <v>750.35</v>
      </c>
      <c r="D392" s="422">
        <v>0</v>
      </c>
      <c r="E392" s="422">
        <f t="shared" si="257"/>
        <v>750.35</v>
      </c>
      <c r="F392" s="422">
        <v>-13.5</v>
      </c>
      <c r="G392" s="422"/>
      <c r="H392" s="422"/>
      <c r="I392" s="422"/>
      <c r="J392" s="422">
        <f t="shared" si="274"/>
        <v>0</v>
      </c>
      <c r="K392" s="422">
        <f t="shared" si="275"/>
        <v>736.85</v>
      </c>
      <c r="L392" s="422">
        <v>0</v>
      </c>
      <c r="M392" s="422">
        <f t="shared" si="258"/>
        <v>736.85</v>
      </c>
      <c r="N392" s="422">
        <f t="shared" si="277"/>
        <v>-1.79916039181715</v>
      </c>
      <c r="O392" s="257"/>
    </row>
    <row r="393" s="54" customFormat="1" ht="25" customHeight="1" spans="1:15">
      <c r="A393" s="421">
        <v>22099</v>
      </c>
      <c r="B393" s="142" t="s">
        <v>425</v>
      </c>
      <c r="C393" s="422">
        <f t="shared" ref="C393:K393" si="279">C394</f>
        <v>30.07</v>
      </c>
      <c r="D393" s="422">
        <f t="shared" si="279"/>
        <v>0</v>
      </c>
      <c r="E393" s="422">
        <f t="shared" si="257"/>
        <v>30.07</v>
      </c>
      <c r="F393" s="422">
        <f t="shared" si="279"/>
        <v>-21.72</v>
      </c>
      <c r="G393" s="422">
        <f t="shared" si="279"/>
        <v>0</v>
      </c>
      <c r="H393" s="422">
        <f t="shared" si="279"/>
        <v>0</v>
      </c>
      <c r="I393" s="422">
        <f t="shared" si="279"/>
        <v>0</v>
      </c>
      <c r="J393" s="422">
        <f t="shared" si="279"/>
        <v>0</v>
      </c>
      <c r="K393" s="422">
        <f t="shared" si="279"/>
        <v>8.35</v>
      </c>
      <c r="L393" s="422">
        <f>D393+J393</f>
        <v>0</v>
      </c>
      <c r="M393" s="422">
        <f t="shared" si="258"/>
        <v>8.35</v>
      </c>
      <c r="N393" s="422">
        <f t="shared" si="277"/>
        <v>-72.2314599268374</v>
      </c>
      <c r="O393" s="257"/>
    </row>
    <row r="394" s="54" customFormat="1" ht="25" customHeight="1" spans="1:15">
      <c r="A394" s="421">
        <v>2209901</v>
      </c>
      <c r="B394" s="142" t="s">
        <v>425</v>
      </c>
      <c r="C394" s="422">
        <v>30.07</v>
      </c>
      <c r="D394" s="422"/>
      <c r="E394" s="422">
        <f t="shared" si="257"/>
        <v>30.07</v>
      </c>
      <c r="F394" s="422">
        <v>-21.72</v>
      </c>
      <c r="G394" s="422"/>
      <c r="H394" s="422">
        <v>0</v>
      </c>
      <c r="I394" s="422">
        <v>0</v>
      </c>
      <c r="J394" s="422">
        <f t="shared" ref="J394:J398" si="280">L394-D394</f>
        <v>0</v>
      </c>
      <c r="K394" s="422">
        <f t="shared" ref="K394:K398" si="281">C394+F394+G394+H394+I394</f>
        <v>8.35</v>
      </c>
      <c r="L394" s="422">
        <v>0</v>
      </c>
      <c r="M394" s="422">
        <f t="shared" si="258"/>
        <v>8.35</v>
      </c>
      <c r="N394" s="422">
        <f t="shared" si="277"/>
        <v>-72.2314599268374</v>
      </c>
      <c r="O394" s="257"/>
    </row>
    <row r="395" s="54" customFormat="1" ht="25" customHeight="1" spans="1:15">
      <c r="A395" s="421">
        <v>221</v>
      </c>
      <c r="B395" s="142" t="s">
        <v>426</v>
      </c>
      <c r="C395" s="422">
        <f t="shared" ref="C395:L395" si="282">C396+C399</f>
        <v>1829.05</v>
      </c>
      <c r="D395" s="422">
        <f t="shared" si="282"/>
        <v>11</v>
      </c>
      <c r="E395" s="422">
        <f t="shared" si="257"/>
        <v>1840.05</v>
      </c>
      <c r="F395" s="422">
        <f t="shared" si="282"/>
        <v>-235.546</v>
      </c>
      <c r="G395" s="422">
        <f t="shared" si="282"/>
        <v>0</v>
      </c>
      <c r="H395" s="422">
        <f t="shared" si="282"/>
        <v>0</v>
      </c>
      <c r="I395" s="422">
        <f t="shared" si="282"/>
        <v>7.6</v>
      </c>
      <c r="J395" s="422">
        <f t="shared" si="282"/>
        <v>25</v>
      </c>
      <c r="K395" s="422">
        <f t="shared" si="282"/>
        <v>1601.104</v>
      </c>
      <c r="L395" s="422">
        <f t="shared" si="282"/>
        <v>36</v>
      </c>
      <c r="M395" s="422">
        <f t="shared" si="258"/>
        <v>1637.104</v>
      </c>
      <c r="N395" s="422">
        <f t="shared" si="277"/>
        <v>-11.029374201788</v>
      </c>
      <c r="O395" s="257"/>
    </row>
    <row r="396" s="54" customFormat="1" ht="25" customHeight="1" spans="1:15">
      <c r="A396" s="421">
        <v>22101</v>
      </c>
      <c r="B396" s="142" t="s">
        <v>427</v>
      </c>
      <c r="C396" s="422">
        <f t="shared" ref="C396:L396" si="283">C397+C398</f>
        <v>275.49</v>
      </c>
      <c r="D396" s="422">
        <f t="shared" si="283"/>
        <v>11</v>
      </c>
      <c r="E396" s="422">
        <f t="shared" si="257"/>
        <v>286.49</v>
      </c>
      <c r="F396" s="422">
        <f t="shared" si="283"/>
        <v>-210.94</v>
      </c>
      <c r="G396" s="422">
        <f t="shared" si="283"/>
        <v>0</v>
      </c>
      <c r="H396" s="422">
        <f t="shared" si="283"/>
        <v>0</v>
      </c>
      <c r="I396" s="422">
        <f t="shared" si="283"/>
        <v>0</v>
      </c>
      <c r="J396" s="422">
        <f t="shared" si="283"/>
        <v>25</v>
      </c>
      <c r="K396" s="422">
        <f t="shared" si="283"/>
        <v>64.55</v>
      </c>
      <c r="L396" s="422">
        <f t="shared" si="283"/>
        <v>36</v>
      </c>
      <c r="M396" s="422">
        <f t="shared" si="258"/>
        <v>100.55</v>
      </c>
      <c r="N396" s="422">
        <f t="shared" si="277"/>
        <v>-64.9027889280603</v>
      </c>
      <c r="O396" s="257"/>
    </row>
    <row r="397" s="54" customFormat="1" ht="25" customHeight="1" spans="1:15">
      <c r="A397" s="421">
        <v>2210106</v>
      </c>
      <c r="B397" s="142" t="s">
        <v>428</v>
      </c>
      <c r="C397" s="422">
        <v>25.49</v>
      </c>
      <c r="D397" s="422">
        <v>0</v>
      </c>
      <c r="E397" s="422">
        <f t="shared" si="257"/>
        <v>25.49</v>
      </c>
      <c r="F397" s="422">
        <v>-2.34</v>
      </c>
      <c r="G397" s="422">
        <v>0</v>
      </c>
      <c r="H397" s="422">
        <v>0</v>
      </c>
      <c r="I397" s="422">
        <v>0</v>
      </c>
      <c r="J397" s="422">
        <f t="shared" si="280"/>
        <v>0</v>
      </c>
      <c r="K397" s="422">
        <f t="shared" si="281"/>
        <v>23.15</v>
      </c>
      <c r="L397" s="422"/>
      <c r="M397" s="422">
        <f t="shared" si="258"/>
        <v>23.15</v>
      </c>
      <c r="N397" s="422">
        <f t="shared" si="277"/>
        <v>-9.18007061592781</v>
      </c>
      <c r="O397" s="257"/>
    </row>
    <row r="398" s="54" customFormat="1" ht="25" customHeight="1" spans="1:15">
      <c r="A398" s="421" t="s">
        <v>429</v>
      </c>
      <c r="B398" s="142" t="s">
        <v>430</v>
      </c>
      <c r="C398" s="422">
        <v>250</v>
      </c>
      <c r="D398" s="422">
        <v>11</v>
      </c>
      <c r="E398" s="422">
        <f t="shared" si="257"/>
        <v>261</v>
      </c>
      <c r="F398" s="422">
        <v>-208.6</v>
      </c>
      <c r="G398" s="422">
        <v>0</v>
      </c>
      <c r="H398" s="422">
        <v>0</v>
      </c>
      <c r="I398" s="422"/>
      <c r="J398" s="422">
        <f t="shared" si="280"/>
        <v>25</v>
      </c>
      <c r="K398" s="422">
        <f t="shared" si="281"/>
        <v>41.4</v>
      </c>
      <c r="L398" s="422">
        <v>36</v>
      </c>
      <c r="M398" s="422">
        <f t="shared" si="258"/>
        <v>77.4</v>
      </c>
      <c r="N398" s="422">
        <f t="shared" si="277"/>
        <v>-70.3448275862069</v>
      </c>
      <c r="O398" s="257" t="s">
        <v>431</v>
      </c>
    </row>
    <row r="399" s="54" customFormat="1" ht="25" customHeight="1" spans="1:15">
      <c r="A399" s="421">
        <v>22102</v>
      </c>
      <c r="B399" s="142" t="s">
        <v>432</v>
      </c>
      <c r="C399" s="422">
        <f t="shared" ref="C399:L399" si="284">C400</f>
        <v>1553.56</v>
      </c>
      <c r="D399" s="422">
        <f t="shared" si="284"/>
        <v>0</v>
      </c>
      <c r="E399" s="422">
        <f t="shared" si="257"/>
        <v>1553.56</v>
      </c>
      <c r="F399" s="422">
        <f t="shared" si="284"/>
        <v>-24.606</v>
      </c>
      <c r="G399" s="422">
        <f t="shared" si="284"/>
        <v>0</v>
      </c>
      <c r="H399" s="422">
        <f t="shared" si="284"/>
        <v>0</v>
      </c>
      <c r="I399" s="422">
        <f t="shared" si="284"/>
        <v>7.6</v>
      </c>
      <c r="J399" s="422">
        <f t="shared" si="284"/>
        <v>0</v>
      </c>
      <c r="K399" s="422">
        <f t="shared" si="284"/>
        <v>1536.554</v>
      </c>
      <c r="L399" s="422">
        <f t="shared" si="284"/>
        <v>0</v>
      </c>
      <c r="M399" s="422">
        <f t="shared" si="258"/>
        <v>1536.554</v>
      </c>
      <c r="N399" s="422">
        <f t="shared" si="277"/>
        <v>-1.09464713303639</v>
      </c>
      <c r="O399" s="257"/>
    </row>
    <row r="400" s="54" customFormat="1" ht="25" customHeight="1" spans="1:15">
      <c r="A400" s="421">
        <v>2210201</v>
      </c>
      <c r="B400" s="142" t="s">
        <v>433</v>
      </c>
      <c r="C400" s="422">
        <v>1553.56</v>
      </c>
      <c r="D400" s="422"/>
      <c r="E400" s="422">
        <f t="shared" si="257"/>
        <v>1553.56</v>
      </c>
      <c r="F400" s="422">
        <v>-24.606</v>
      </c>
      <c r="G400" s="422"/>
      <c r="H400" s="422"/>
      <c r="I400" s="422">
        <v>7.6</v>
      </c>
      <c r="J400" s="422">
        <f t="shared" ref="J400:J404" si="285">L400-D400</f>
        <v>0</v>
      </c>
      <c r="K400" s="422">
        <f t="shared" ref="K400:K404" si="286">C400+F400+G400+H400+I400</f>
        <v>1536.554</v>
      </c>
      <c r="L400" s="422">
        <v>0</v>
      </c>
      <c r="M400" s="422">
        <f t="shared" si="258"/>
        <v>1536.554</v>
      </c>
      <c r="N400" s="422">
        <f t="shared" si="277"/>
        <v>-1.09464713303639</v>
      </c>
      <c r="O400" s="257"/>
    </row>
    <row r="401" s="54" customFormat="1" ht="25" customHeight="1" spans="1:15">
      <c r="A401" s="421">
        <v>222</v>
      </c>
      <c r="B401" s="142" t="s">
        <v>434</v>
      </c>
      <c r="C401" s="422">
        <f t="shared" ref="C401:M401" si="287">C402+C405+C407</f>
        <v>639.22</v>
      </c>
      <c r="D401" s="422">
        <f t="shared" si="287"/>
        <v>0</v>
      </c>
      <c r="E401" s="422">
        <f t="shared" si="257"/>
        <v>639.22</v>
      </c>
      <c r="F401" s="422">
        <f t="shared" si="287"/>
        <v>-2</v>
      </c>
      <c r="G401" s="422">
        <f t="shared" si="287"/>
        <v>0</v>
      </c>
      <c r="H401" s="422">
        <f t="shared" si="287"/>
        <v>0</v>
      </c>
      <c r="I401" s="422">
        <f t="shared" si="287"/>
        <v>-7.61</v>
      </c>
      <c r="J401" s="422">
        <f t="shared" si="287"/>
        <v>0</v>
      </c>
      <c r="K401" s="422">
        <f t="shared" si="287"/>
        <v>629.61</v>
      </c>
      <c r="L401" s="422">
        <f t="shared" si="287"/>
        <v>0</v>
      </c>
      <c r="M401" s="422">
        <f t="shared" si="287"/>
        <v>629.61</v>
      </c>
      <c r="N401" s="422">
        <f t="shared" si="277"/>
        <v>-1.50339476236664</v>
      </c>
      <c r="O401" s="429"/>
    </row>
    <row r="402" s="54" customFormat="1" ht="25" customHeight="1" spans="1:15">
      <c r="A402" s="421">
        <v>22201</v>
      </c>
      <c r="B402" s="142" t="s">
        <v>435</v>
      </c>
      <c r="C402" s="422">
        <f t="shared" ref="C402:M402" si="288">C403+C404</f>
        <v>521.61</v>
      </c>
      <c r="D402" s="422">
        <f t="shared" si="288"/>
        <v>0</v>
      </c>
      <c r="E402" s="422">
        <f t="shared" si="257"/>
        <v>521.61</v>
      </c>
      <c r="F402" s="422">
        <f t="shared" si="288"/>
        <v>-2</v>
      </c>
      <c r="G402" s="422">
        <f t="shared" si="288"/>
        <v>0</v>
      </c>
      <c r="H402" s="422">
        <f t="shared" si="288"/>
        <v>0</v>
      </c>
      <c r="I402" s="422">
        <f t="shared" si="288"/>
        <v>0</v>
      </c>
      <c r="J402" s="422">
        <f t="shared" si="288"/>
        <v>0</v>
      </c>
      <c r="K402" s="422">
        <f t="shared" si="288"/>
        <v>519.61</v>
      </c>
      <c r="L402" s="422">
        <f t="shared" si="288"/>
        <v>0</v>
      </c>
      <c r="M402" s="422">
        <f t="shared" si="288"/>
        <v>519.61</v>
      </c>
      <c r="N402" s="422">
        <f t="shared" si="277"/>
        <v>-0.383428231820709</v>
      </c>
      <c r="O402" s="429"/>
    </row>
    <row r="403" s="54" customFormat="1" ht="25" customHeight="1" spans="1:15">
      <c r="A403" s="421">
        <v>2220115</v>
      </c>
      <c r="B403" s="142" t="s">
        <v>436</v>
      </c>
      <c r="C403" s="422">
        <v>434</v>
      </c>
      <c r="D403" s="422"/>
      <c r="E403" s="422">
        <f t="shared" si="257"/>
        <v>434</v>
      </c>
      <c r="F403" s="422"/>
      <c r="G403" s="422">
        <v>0</v>
      </c>
      <c r="H403" s="422">
        <v>0</v>
      </c>
      <c r="I403" s="422">
        <v>0</v>
      </c>
      <c r="J403" s="422">
        <f t="shared" si="285"/>
        <v>0</v>
      </c>
      <c r="K403" s="422">
        <f t="shared" si="286"/>
        <v>434</v>
      </c>
      <c r="L403" s="422"/>
      <c r="M403" s="422">
        <f t="shared" ref="M403:M438" si="289">K403+L403</f>
        <v>434</v>
      </c>
      <c r="N403" s="422">
        <f t="shared" si="277"/>
        <v>0</v>
      </c>
      <c r="O403" s="429"/>
    </row>
    <row r="404" s="54" customFormat="1" ht="25" customHeight="1" spans="1:15">
      <c r="A404" s="421">
        <v>2220199</v>
      </c>
      <c r="B404" s="142" t="s">
        <v>437</v>
      </c>
      <c r="C404" s="422">
        <v>87.61</v>
      </c>
      <c r="D404" s="422"/>
      <c r="E404" s="422">
        <f t="shared" si="257"/>
        <v>87.61</v>
      </c>
      <c r="F404" s="422">
        <v>-2</v>
      </c>
      <c r="G404" s="422">
        <v>0</v>
      </c>
      <c r="H404" s="422">
        <v>0</v>
      </c>
      <c r="I404" s="422">
        <v>0</v>
      </c>
      <c r="J404" s="422">
        <f t="shared" si="285"/>
        <v>0</v>
      </c>
      <c r="K404" s="422">
        <f t="shared" si="286"/>
        <v>85.61</v>
      </c>
      <c r="L404" s="422"/>
      <c r="M404" s="422">
        <f t="shared" si="289"/>
        <v>85.61</v>
      </c>
      <c r="N404" s="422">
        <f t="shared" si="277"/>
        <v>-2.28284442415249</v>
      </c>
      <c r="O404" s="429"/>
    </row>
    <row r="405" s="54" customFormat="1" ht="25" customHeight="1" spans="1:15">
      <c r="A405" s="421">
        <v>22204</v>
      </c>
      <c r="B405" s="142" t="s">
        <v>438</v>
      </c>
      <c r="C405" s="422">
        <f t="shared" ref="C405:L405" si="290">C406</f>
        <v>85.61</v>
      </c>
      <c r="D405" s="422">
        <f t="shared" si="290"/>
        <v>0</v>
      </c>
      <c r="E405" s="422">
        <f t="shared" si="257"/>
        <v>85.61</v>
      </c>
      <c r="F405" s="422">
        <f t="shared" si="290"/>
        <v>0</v>
      </c>
      <c r="G405" s="422">
        <f t="shared" si="290"/>
        <v>0</v>
      </c>
      <c r="H405" s="422">
        <f t="shared" si="290"/>
        <v>0</v>
      </c>
      <c r="I405" s="422">
        <f t="shared" si="290"/>
        <v>-7.61</v>
      </c>
      <c r="J405" s="422">
        <f t="shared" si="290"/>
        <v>0</v>
      </c>
      <c r="K405" s="422">
        <f t="shared" si="290"/>
        <v>78</v>
      </c>
      <c r="L405" s="422">
        <f t="shared" si="290"/>
        <v>0</v>
      </c>
      <c r="M405" s="422">
        <f t="shared" si="289"/>
        <v>78</v>
      </c>
      <c r="N405" s="422">
        <v>100</v>
      </c>
      <c r="O405" s="257"/>
    </row>
    <row r="406" s="54" customFormat="1" ht="25" customHeight="1" spans="1:15">
      <c r="A406" s="421">
        <v>2220401</v>
      </c>
      <c r="B406" s="142" t="s">
        <v>439</v>
      </c>
      <c r="C406" s="422">
        <v>85.61</v>
      </c>
      <c r="D406" s="422"/>
      <c r="E406" s="422">
        <f t="shared" si="257"/>
        <v>85.61</v>
      </c>
      <c r="F406" s="422"/>
      <c r="G406" s="422"/>
      <c r="H406" s="422"/>
      <c r="I406" s="422">
        <v>-7.61</v>
      </c>
      <c r="J406" s="422">
        <f t="shared" ref="J406:J409" si="291">L406-D406</f>
        <v>0</v>
      </c>
      <c r="K406" s="422">
        <f t="shared" ref="K406:K409" si="292">C406+F406+G406+H406+I406</f>
        <v>78</v>
      </c>
      <c r="L406" s="422">
        <v>0</v>
      </c>
      <c r="M406" s="422">
        <f t="shared" si="289"/>
        <v>78</v>
      </c>
      <c r="N406" s="422">
        <v>100</v>
      </c>
      <c r="O406" s="257"/>
    </row>
    <row r="407" s="54" customFormat="1" ht="25" customHeight="1" spans="1:15">
      <c r="A407" s="421">
        <v>22205</v>
      </c>
      <c r="B407" s="142" t="s">
        <v>440</v>
      </c>
      <c r="C407" s="422">
        <f t="shared" ref="C407:L407" si="293">C408+C409</f>
        <v>32</v>
      </c>
      <c r="D407" s="422">
        <f t="shared" si="293"/>
        <v>0</v>
      </c>
      <c r="E407" s="422">
        <f t="shared" si="257"/>
        <v>32</v>
      </c>
      <c r="F407" s="422">
        <f t="shared" si="293"/>
        <v>0</v>
      </c>
      <c r="G407" s="422">
        <f t="shared" si="293"/>
        <v>0</v>
      </c>
      <c r="H407" s="422">
        <f t="shared" si="293"/>
        <v>0</v>
      </c>
      <c r="I407" s="422">
        <f t="shared" si="293"/>
        <v>0</v>
      </c>
      <c r="J407" s="422">
        <f t="shared" si="293"/>
        <v>0</v>
      </c>
      <c r="K407" s="422">
        <f t="shared" si="293"/>
        <v>32</v>
      </c>
      <c r="L407" s="422">
        <f t="shared" si="293"/>
        <v>0</v>
      </c>
      <c r="M407" s="422">
        <f t="shared" si="289"/>
        <v>32</v>
      </c>
      <c r="N407" s="422">
        <f t="shared" ref="N407:N413" si="294">(M407-E407)/E407*100</f>
        <v>0</v>
      </c>
      <c r="O407" s="429"/>
    </row>
    <row r="408" s="54" customFormat="1" ht="25" customHeight="1" spans="1:15">
      <c r="A408" s="421">
        <v>2220503</v>
      </c>
      <c r="B408" s="142" t="s">
        <v>441</v>
      </c>
      <c r="C408" s="422">
        <v>30</v>
      </c>
      <c r="D408" s="422"/>
      <c r="E408" s="422">
        <f t="shared" si="257"/>
        <v>30</v>
      </c>
      <c r="F408" s="422"/>
      <c r="G408" s="422">
        <v>0</v>
      </c>
      <c r="H408" s="422">
        <v>0</v>
      </c>
      <c r="I408" s="422"/>
      <c r="J408" s="422">
        <f t="shared" si="291"/>
        <v>0</v>
      </c>
      <c r="K408" s="422">
        <f t="shared" si="292"/>
        <v>30</v>
      </c>
      <c r="L408" s="422">
        <v>0</v>
      </c>
      <c r="M408" s="422">
        <f t="shared" si="289"/>
        <v>30</v>
      </c>
      <c r="N408" s="422">
        <v>100</v>
      </c>
      <c r="O408" s="257"/>
    </row>
    <row r="409" s="54" customFormat="1" ht="25" customHeight="1" spans="1:15">
      <c r="A409" s="421">
        <v>2220509</v>
      </c>
      <c r="B409" s="142" t="s">
        <v>442</v>
      </c>
      <c r="C409" s="422">
        <v>2</v>
      </c>
      <c r="D409" s="422"/>
      <c r="E409" s="422">
        <f t="shared" si="257"/>
        <v>2</v>
      </c>
      <c r="F409" s="422"/>
      <c r="G409" s="422">
        <v>0</v>
      </c>
      <c r="H409" s="422">
        <v>0</v>
      </c>
      <c r="I409" s="422">
        <v>0</v>
      </c>
      <c r="J409" s="422">
        <f t="shared" si="291"/>
        <v>0</v>
      </c>
      <c r="K409" s="422">
        <f t="shared" si="292"/>
        <v>2</v>
      </c>
      <c r="L409" s="422">
        <v>0</v>
      </c>
      <c r="M409" s="422">
        <f t="shared" si="289"/>
        <v>2</v>
      </c>
      <c r="N409" s="422">
        <f t="shared" si="294"/>
        <v>0</v>
      </c>
      <c r="O409" s="429"/>
    </row>
    <row r="410" s="54" customFormat="1" ht="25" customHeight="1" spans="1:15">
      <c r="A410" s="421">
        <v>224</v>
      </c>
      <c r="B410" s="142" t="s">
        <v>443</v>
      </c>
      <c r="C410" s="422">
        <f t="shared" ref="C410:L410" si="295">C411+C416+C418+C420+C422</f>
        <v>1583.74</v>
      </c>
      <c r="D410" s="422">
        <f t="shared" si="295"/>
        <v>1659.5</v>
      </c>
      <c r="E410" s="422">
        <f t="shared" si="257"/>
        <v>3243.24</v>
      </c>
      <c r="F410" s="422">
        <f t="shared" si="295"/>
        <v>-147.86</v>
      </c>
      <c r="G410" s="422">
        <f t="shared" si="295"/>
        <v>0</v>
      </c>
      <c r="H410" s="422">
        <f t="shared" si="295"/>
        <v>0</v>
      </c>
      <c r="I410" s="422">
        <f t="shared" si="295"/>
        <v>11.31</v>
      </c>
      <c r="J410" s="422">
        <f t="shared" si="295"/>
        <v>0.5</v>
      </c>
      <c r="K410" s="422">
        <f t="shared" si="295"/>
        <v>1447.19</v>
      </c>
      <c r="L410" s="422">
        <f t="shared" si="295"/>
        <v>1660</v>
      </c>
      <c r="M410" s="422">
        <f t="shared" si="289"/>
        <v>3107.19</v>
      </c>
      <c r="N410" s="422">
        <f t="shared" si="294"/>
        <v>-4.19487919487919</v>
      </c>
      <c r="O410" s="429"/>
    </row>
    <row r="411" s="54" customFormat="1" ht="25" customHeight="1" spans="1:15">
      <c r="A411" s="421">
        <v>22401</v>
      </c>
      <c r="B411" s="142" t="s">
        <v>444</v>
      </c>
      <c r="C411" s="422">
        <f t="shared" ref="C411:L411" si="296">C412+C413+C414+C415</f>
        <v>1127.01</v>
      </c>
      <c r="D411" s="422">
        <f t="shared" si="296"/>
        <v>1630</v>
      </c>
      <c r="E411" s="422">
        <f t="shared" si="257"/>
        <v>2757.01</v>
      </c>
      <c r="F411" s="422">
        <f t="shared" si="296"/>
        <v>-83.74</v>
      </c>
      <c r="G411" s="422">
        <f t="shared" si="296"/>
        <v>0</v>
      </c>
      <c r="H411" s="422">
        <f t="shared" si="296"/>
        <v>0</v>
      </c>
      <c r="I411" s="422">
        <f t="shared" si="296"/>
        <v>11.31</v>
      </c>
      <c r="J411" s="422">
        <f t="shared" si="296"/>
        <v>0</v>
      </c>
      <c r="K411" s="422">
        <f t="shared" si="296"/>
        <v>1054.58</v>
      </c>
      <c r="L411" s="422">
        <f t="shared" si="296"/>
        <v>1630</v>
      </c>
      <c r="M411" s="422">
        <f t="shared" si="289"/>
        <v>2684.58</v>
      </c>
      <c r="N411" s="422">
        <f t="shared" si="294"/>
        <v>-2.62712141051357</v>
      </c>
      <c r="O411" s="429"/>
    </row>
    <row r="412" s="54" customFormat="1" ht="25" customHeight="1" spans="1:15">
      <c r="A412" s="421">
        <v>2240101</v>
      </c>
      <c r="B412" s="142" t="s">
        <v>70</v>
      </c>
      <c r="C412" s="422">
        <v>290.95</v>
      </c>
      <c r="D412" s="422">
        <v>0</v>
      </c>
      <c r="E412" s="422">
        <f t="shared" si="257"/>
        <v>290.95</v>
      </c>
      <c r="F412" s="422"/>
      <c r="G412" s="422"/>
      <c r="H412" s="422"/>
      <c r="I412" s="422">
        <v>7.89</v>
      </c>
      <c r="J412" s="422">
        <f t="shared" ref="J412:J415" si="297">L412-D412</f>
        <v>0</v>
      </c>
      <c r="K412" s="422">
        <f t="shared" ref="K412:K415" si="298">C412+F412+G412+H412+I412</f>
        <v>298.84</v>
      </c>
      <c r="L412" s="422"/>
      <c r="M412" s="422">
        <f t="shared" si="289"/>
        <v>298.84</v>
      </c>
      <c r="N412" s="422">
        <f t="shared" si="294"/>
        <v>2.71180615225983</v>
      </c>
      <c r="O412" s="257"/>
    </row>
    <row r="413" s="54" customFormat="1" ht="25" customHeight="1" spans="1:15">
      <c r="A413" s="421">
        <v>2240106</v>
      </c>
      <c r="B413" s="142" t="s">
        <v>445</v>
      </c>
      <c r="C413" s="422">
        <v>156.9</v>
      </c>
      <c r="D413" s="422">
        <v>0</v>
      </c>
      <c r="E413" s="422">
        <f t="shared" si="257"/>
        <v>156.9</v>
      </c>
      <c r="F413" s="422"/>
      <c r="G413" s="422"/>
      <c r="H413" s="422"/>
      <c r="I413" s="422"/>
      <c r="J413" s="422">
        <f t="shared" si="297"/>
        <v>0</v>
      </c>
      <c r="K413" s="422">
        <f t="shared" si="298"/>
        <v>156.9</v>
      </c>
      <c r="L413" s="422"/>
      <c r="M413" s="422">
        <f t="shared" si="289"/>
        <v>156.9</v>
      </c>
      <c r="N413" s="422">
        <f t="shared" si="294"/>
        <v>0</v>
      </c>
      <c r="O413" s="429"/>
    </row>
    <row r="414" s="54" customFormat="1" ht="25" customHeight="1" spans="1:15">
      <c r="A414" s="421">
        <v>2240150</v>
      </c>
      <c r="B414" s="142" t="s">
        <v>102</v>
      </c>
      <c r="C414" s="422">
        <v>5.82</v>
      </c>
      <c r="D414" s="422">
        <v>0</v>
      </c>
      <c r="E414" s="422">
        <f t="shared" si="257"/>
        <v>5.82</v>
      </c>
      <c r="F414" s="422"/>
      <c r="G414" s="422"/>
      <c r="H414" s="422"/>
      <c r="I414" s="422">
        <v>1.42</v>
      </c>
      <c r="J414" s="422">
        <f t="shared" si="297"/>
        <v>0</v>
      </c>
      <c r="K414" s="422">
        <f t="shared" si="298"/>
        <v>7.24</v>
      </c>
      <c r="L414" s="422"/>
      <c r="M414" s="422">
        <f t="shared" si="289"/>
        <v>7.24</v>
      </c>
      <c r="N414" s="422">
        <v>100</v>
      </c>
      <c r="O414" s="257"/>
    </row>
    <row r="415" s="54" customFormat="1" ht="45" customHeight="1" spans="1:15">
      <c r="A415" s="421">
        <v>2240199</v>
      </c>
      <c r="B415" s="142" t="s">
        <v>446</v>
      </c>
      <c r="C415" s="422">
        <v>673.34</v>
      </c>
      <c r="D415" s="422">
        <v>1630</v>
      </c>
      <c r="E415" s="422">
        <f t="shared" si="257"/>
        <v>2303.34</v>
      </c>
      <c r="F415" s="422">
        <v>-83.74</v>
      </c>
      <c r="G415" s="422"/>
      <c r="H415" s="422"/>
      <c r="I415" s="422">
        <v>2</v>
      </c>
      <c r="J415" s="422">
        <f t="shared" si="297"/>
        <v>0</v>
      </c>
      <c r="K415" s="422">
        <f t="shared" si="298"/>
        <v>591.6</v>
      </c>
      <c r="L415" s="422">
        <v>1630</v>
      </c>
      <c r="M415" s="422">
        <f t="shared" si="289"/>
        <v>2221.6</v>
      </c>
      <c r="N415" s="422">
        <f t="shared" ref="N415:N421" si="299">(M415-E415)/E415*100</f>
        <v>-3.54875962732381</v>
      </c>
      <c r="O415" s="257" t="s">
        <v>447</v>
      </c>
    </row>
    <row r="416" s="54" customFormat="1" ht="25" customHeight="1" spans="1:15">
      <c r="A416" s="421">
        <v>22402</v>
      </c>
      <c r="B416" s="142" t="s">
        <v>448</v>
      </c>
      <c r="C416" s="422">
        <f t="shared" ref="C416:L416" si="300">C417</f>
        <v>365.73</v>
      </c>
      <c r="D416" s="422">
        <f t="shared" si="300"/>
        <v>29.5</v>
      </c>
      <c r="E416" s="422">
        <f t="shared" si="257"/>
        <v>395.23</v>
      </c>
      <c r="F416" s="422">
        <f t="shared" si="300"/>
        <v>-54.12</v>
      </c>
      <c r="G416" s="422">
        <f t="shared" si="300"/>
        <v>0</v>
      </c>
      <c r="H416" s="422">
        <f t="shared" si="300"/>
        <v>0</v>
      </c>
      <c r="I416" s="422">
        <f t="shared" si="300"/>
        <v>0</v>
      </c>
      <c r="J416" s="422">
        <f t="shared" si="300"/>
        <v>0.5</v>
      </c>
      <c r="K416" s="422">
        <f t="shared" si="300"/>
        <v>311.61</v>
      </c>
      <c r="L416" s="422">
        <f t="shared" si="300"/>
        <v>30</v>
      </c>
      <c r="M416" s="422">
        <f t="shared" si="289"/>
        <v>341.61</v>
      </c>
      <c r="N416" s="422">
        <f t="shared" si="299"/>
        <v>-13.5667838979835</v>
      </c>
      <c r="O416" s="429"/>
    </row>
    <row r="417" s="54" customFormat="1" ht="25" customHeight="1" spans="1:15">
      <c r="A417" s="421">
        <v>2240299</v>
      </c>
      <c r="B417" s="142" t="s">
        <v>449</v>
      </c>
      <c r="C417" s="422">
        <v>365.73</v>
      </c>
      <c r="D417" s="422">
        <v>29.5</v>
      </c>
      <c r="E417" s="422">
        <f t="shared" si="257"/>
        <v>395.23</v>
      </c>
      <c r="F417" s="422">
        <v>-54.12</v>
      </c>
      <c r="G417" s="422">
        <v>0</v>
      </c>
      <c r="H417" s="422">
        <v>0</v>
      </c>
      <c r="I417" s="422">
        <v>0</v>
      </c>
      <c r="J417" s="422">
        <f t="shared" ref="J417:J421" si="301">L417-D417</f>
        <v>0.5</v>
      </c>
      <c r="K417" s="422">
        <f>C417+F417+G417+H417+I417</f>
        <v>311.61</v>
      </c>
      <c r="L417" s="422">
        <v>30</v>
      </c>
      <c r="M417" s="422">
        <f t="shared" si="289"/>
        <v>341.61</v>
      </c>
      <c r="N417" s="422">
        <f t="shared" si="299"/>
        <v>-13.5667838979835</v>
      </c>
      <c r="O417" s="429"/>
    </row>
    <row r="418" s="54" customFormat="1" ht="25" customHeight="1" spans="1:15">
      <c r="A418" s="421">
        <v>22405</v>
      </c>
      <c r="B418" s="142" t="s">
        <v>450</v>
      </c>
      <c r="C418" s="422">
        <f t="shared" ref="C418:L418" si="302">C419</f>
        <v>2</v>
      </c>
      <c r="D418" s="422">
        <f t="shared" si="302"/>
        <v>0</v>
      </c>
      <c r="E418" s="422">
        <f t="shared" si="257"/>
        <v>2</v>
      </c>
      <c r="F418" s="422">
        <f t="shared" si="302"/>
        <v>0</v>
      </c>
      <c r="G418" s="422">
        <f t="shared" si="302"/>
        <v>0</v>
      </c>
      <c r="H418" s="422">
        <f t="shared" si="302"/>
        <v>0</v>
      </c>
      <c r="I418" s="422">
        <f t="shared" si="302"/>
        <v>0</v>
      </c>
      <c r="J418" s="422">
        <f t="shared" si="302"/>
        <v>0</v>
      </c>
      <c r="K418" s="422">
        <f t="shared" si="302"/>
        <v>2</v>
      </c>
      <c r="L418" s="422">
        <f t="shared" si="302"/>
        <v>0</v>
      </c>
      <c r="M418" s="422">
        <f t="shared" si="289"/>
        <v>2</v>
      </c>
      <c r="N418" s="422">
        <f t="shared" si="299"/>
        <v>0</v>
      </c>
      <c r="O418" s="429"/>
    </row>
    <row r="419" s="54" customFormat="1" ht="25" customHeight="1" spans="1:15">
      <c r="A419" s="421">
        <v>2240599</v>
      </c>
      <c r="B419" s="142" t="s">
        <v>451</v>
      </c>
      <c r="C419" s="422">
        <v>2</v>
      </c>
      <c r="D419" s="422"/>
      <c r="E419" s="422">
        <f t="shared" si="257"/>
        <v>2</v>
      </c>
      <c r="F419" s="422"/>
      <c r="G419" s="422">
        <v>0</v>
      </c>
      <c r="H419" s="422">
        <v>0</v>
      </c>
      <c r="I419" s="422">
        <v>0</v>
      </c>
      <c r="J419" s="422">
        <f t="shared" si="301"/>
        <v>0</v>
      </c>
      <c r="K419" s="422">
        <f t="shared" ref="K417:K421" si="303">C419+F419+G419+H419+I419</f>
        <v>2</v>
      </c>
      <c r="L419" s="422">
        <v>0</v>
      </c>
      <c r="M419" s="422">
        <f t="shared" si="289"/>
        <v>2</v>
      </c>
      <c r="N419" s="422">
        <f t="shared" si="299"/>
        <v>0</v>
      </c>
      <c r="O419" s="429"/>
    </row>
    <row r="420" s="54" customFormat="1" ht="25" customHeight="1" spans="1:15">
      <c r="A420" s="421">
        <v>22406</v>
      </c>
      <c r="B420" s="142" t="s">
        <v>452</v>
      </c>
      <c r="C420" s="422">
        <f t="shared" ref="C420:L420" si="304">C421</f>
        <v>79</v>
      </c>
      <c r="D420" s="422">
        <f t="shared" si="304"/>
        <v>0</v>
      </c>
      <c r="E420" s="422">
        <f t="shared" si="257"/>
        <v>79</v>
      </c>
      <c r="F420" s="422">
        <f t="shared" si="304"/>
        <v>-10</v>
      </c>
      <c r="G420" s="422">
        <f t="shared" si="304"/>
        <v>0</v>
      </c>
      <c r="H420" s="422">
        <f t="shared" si="304"/>
        <v>0</v>
      </c>
      <c r="I420" s="422">
        <f t="shared" si="304"/>
        <v>0</v>
      </c>
      <c r="J420" s="422">
        <f t="shared" si="304"/>
        <v>0</v>
      </c>
      <c r="K420" s="422">
        <f t="shared" si="304"/>
        <v>69</v>
      </c>
      <c r="L420" s="422">
        <f t="shared" si="304"/>
        <v>0</v>
      </c>
      <c r="M420" s="422">
        <f t="shared" si="289"/>
        <v>69</v>
      </c>
      <c r="N420" s="422">
        <f t="shared" si="299"/>
        <v>-12.6582278481013</v>
      </c>
      <c r="O420" s="429"/>
    </row>
    <row r="421" s="54" customFormat="1" ht="25" customHeight="1" spans="1:15">
      <c r="A421" s="421">
        <v>2240601</v>
      </c>
      <c r="B421" s="142" t="s">
        <v>453</v>
      </c>
      <c r="C421" s="422">
        <v>79</v>
      </c>
      <c r="D421" s="422"/>
      <c r="E421" s="422">
        <f t="shared" si="257"/>
        <v>79</v>
      </c>
      <c r="F421" s="422">
        <v>-10</v>
      </c>
      <c r="G421" s="422"/>
      <c r="H421" s="422">
        <v>0</v>
      </c>
      <c r="I421" s="422">
        <v>0</v>
      </c>
      <c r="J421" s="422">
        <f t="shared" si="301"/>
        <v>0</v>
      </c>
      <c r="K421" s="422">
        <f t="shared" si="303"/>
        <v>69</v>
      </c>
      <c r="L421" s="422">
        <v>0</v>
      </c>
      <c r="M421" s="422">
        <f t="shared" si="289"/>
        <v>69</v>
      </c>
      <c r="N421" s="422">
        <f t="shared" si="299"/>
        <v>-12.6582278481013</v>
      </c>
      <c r="O421" s="429"/>
    </row>
    <row r="422" s="54" customFormat="1" ht="25" customHeight="1" spans="1:15">
      <c r="A422" s="421">
        <v>22499</v>
      </c>
      <c r="B422" s="142" t="s">
        <v>454</v>
      </c>
      <c r="C422" s="422">
        <v>10</v>
      </c>
      <c r="D422" s="422"/>
      <c r="E422" s="422">
        <f t="shared" si="257"/>
        <v>10</v>
      </c>
      <c r="F422" s="422"/>
      <c r="G422" s="422"/>
      <c r="H422" s="422"/>
      <c r="I422" s="422"/>
      <c r="J422" s="422"/>
      <c r="K422" s="422">
        <v>10</v>
      </c>
      <c r="L422" s="422"/>
      <c r="M422" s="422">
        <f t="shared" si="289"/>
        <v>10</v>
      </c>
      <c r="N422" s="422">
        <v>100</v>
      </c>
      <c r="O422" s="429"/>
    </row>
    <row r="423" s="54" customFormat="1" ht="25" customHeight="1" spans="1:15">
      <c r="A423" s="421">
        <v>227</v>
      </c>
      <c r="B423" s="142" t="s">
        <v>455</v>
      </c>
      <c r="C423" s="422">
        <v>2000</v>
      </c>
      <c r="D423" s="422">
        <v>0</v>
      </c>
      <c r="E423" s="422">
        <f t="shared" si="257"/>
        <v>2000</v>
      </c>
      <c r="F423" s="422">
        <v>-2000</v>
      </c>
      <c r="G423" s="422"/>
      <c r="H423" s="422"/>
      <c r="I423" s="422"/>
      <c r="J423" s="422"/>
      <c r="K423" s="422">
        <v>0</v>
      </c>
      <c r="L423" s="422">
        <v>0</v>
      </c>
      <c r="M423" s="422">
        <f t="shared" si="289"/>
        <v>0</v>
      </c>
      <c r="N423" s="422">
        <f t="shared" ref="N423:N438" si="305">(M423-E423)/E423*100</f>
        <v>-100</v>
      </c>
      <c r="O423" s="429" t="s">
        <v>456</v>
      </c>
    </row>
    <row r="424" s="54" customFormat="1" ht="25" customHeight="1" spans="1:15">
      <c r="A424" s="421">
        <v>229</v>
      </c>
      <c r="B424" s="142" t="s">
        <v>457</v>
      </c>
      <c r="C424" s="422">
        <f>C425</f>
        <v>4683.28</v>
      </c>
      <c r="D424" s="422">
        <f t="shared" ref="D424:M424" si="306">D425</f>
        <v>65.5</v>
      </c>
      <c r="E424" s="422">
        <f t="shared" si="306"/>
        <v>4748.78</v>
      </c>
      <c r="F424" s="422">
        <f t="shared" si="306"/>
        <v>-1982.006811</v>
      </c>
      <c r="G424" s="422">
        <f t="shared" si="306"/>
        <v>0</v>
      </c>
      <c r="H424" s="422">
        <f t="shared" si="306"/>
        <v>0</v>
      </c>
      <c r="I424" s="422">
        <f t="shared" si="306"/>
        <v>-430</v>
      </c>
      <c r="J424" s="422">
        <f t="shared" si="306"/>
        <v>0.826400000000007</v>
      </c>
      <c r="K424" s="422">
        <f t="shared" si="306"/>
        <v>2271.273189</v>
      </c>
      <c r="L424" s="422">
        <f t="shared" si="306"/>
        <v>66.3264</v>
      </c>
      <c r="M424" s="422">
        <f t="shared" si="306"/>
        <v>2337.599589</v>
      </c>
      <c r="N424" s="422">
        <f t="shared" si="305"/>
        <v>-50.7747339527205</v>
      </c>
      <c r="O424" s="429"/>
    </row>
    <row r="425" s="54" customFormat="1" ht="25" customHeight="1" spans="1:15">
      <c r="A425" s="421">
        <v>22999</v>
      </c>
      <c r="B425" s="142" t="s">
        <v>457</v>
      </c>
      <c r="C425" s="422">
        <f t="shared" ref="C425:L425" si="307">C426</f>
        <v>4683.28</v>
      </c>
      <c r="D425" s="422">
        <f t="shared" si="307"/>
        <v>65.5</v>
      </c>
      <c r="E425" s="422">
        <f t="shared" si="257"/>
        <v>4748.78</v>
      </c>
      <c r="F425" s="422">
        <v>-1982.006811</v>
      </c>
      <c r="G425" s="422">
        <f t="shared" si="307"/>
        <v>0</v>
      </c>
      <c r="H425" s="422">
        <f t="shared" si="307"/>
        <v>0</v>
      </c>
      <c r="I425" s="422">
        <f t="shared" si="307"/>
        <v>-430</v>
      </c>
      <c r="J425" s="422">
        <f t="shared" si="307"/>
        <v>0.826400000000007</v>
      </c>
      <c r="K425" s="422">
        <f t="shared" si="307"/>
        <v>2271.273189</v>
      </c>
      <c r="L425" s="422">
        <f t="shared" si="307"/>
        <v>66.3264</v>
      </c>
      <c r="M425" s="422">
        <f t="shared" si="289"/>
        <v>2337.599589</v>
      </c>
      <c r="N425" s="422">
        <f t="shared" si="305"/>
        <v>-50.7747339527205</v>
      </c>
      <c r="O425" s="429"/>
    </row>
    <row r="426" s="54" customFormat="1" ht="60" customHeight="1" spans="1:15">
      <c r="A426" s="421">
        <v>2299901</v>
      </c>
      <c r="B426" s="142" t="s">
        <v>457</v>
      </c>
      <c r="C426" s="422">
        <v>4683.28</v>
      </c>
      <c r="D426" s="422">
        <v>65.5</v>
      </c>
      <c r="E426" s="422">
        <f t="shared" si="257"/>
        <v>4748.78</v>
      </c>
      <c r="F426" s="422">
        <v>-1982.006811</v>
      </c>
      <c r="G426" s="422"/>
      <c r="H426" s="422"/>
      <c r="I426" s="422">
        <v>-430</v>
      </c>
      <c r="J426" s="422">
        <f>L426-D426</f>
        <v>0.826400000000007</v>
      </c>
      <c r="K426" s="422">
        <f>C426+F426+G426+H426+I426</f>
        <v>2271.273189</v>
      </c>
      <c r="L426" s="422">
        <v>66.3264</v>
      </c>
      <c r="M426" s="422">
        <f t="shared" si="289"/>
        <v>2337.599589</v>
      </c>
      <c r="N426" s="422">
        <f t="shared" si="305"/>
        <v>-50.7747339527205</v>
      </c>
      <c r="O426" s="429" t="s">
        <v>458</v>
      </c>
    </row>
    <row r="427" s="54" customFormat="1" ht="25" customHeight="1" spans="1:15">
      <c r="A427" s="421">
        <v>230</v>
      </c>
      <c r="B427" s="142" t="s">
        <v>459</v>
      </c>
      <c r="C427" s="422">
        <f t="shared" ref="C427:L427" si="308">C428</f>
        <v>4367.21</v>
      </c>
      <c r="D427" s="422">
        <f t="shared" si="308"/>
        <v>0</v>
      </c>
      <c r="E427" s="422">
        <f t="shared" si="257"/>
        <v>4367.21</v>
      </c>
      <c r="F427" s="422">
        <v>3435.25</v>
      </c>
      <c r="G427" s="422">
        <f t="shared" si="308"/>
        <v>0</v>
      </c>
      <c r="H427" s="422">
        <f t="shared" si="308"/>
        <v>0</v>
      </c>
      <c r="I427" s="422">
        <f t="shared" si="308"/>
        <v>0</v>
      </c>
      <c r="J427" s="422">
        <f t="shared" si="308"/>
        <v>0</v>
      </c>
      <c r="K427" s="422">
        <f t="shared" si="308"/>
        <v>7802.46</v>
      </c>
      <c r="L427" s="422">
        <f t="shared" si="308"/>
        <v>0</v>
      </c>
      <c r="M427" s="422">
        <f t="shared" si="289"/>
        <v>7802.46</v>
      </c>
      <c r="N427" s="422">
        <f t="shared" si="305"/>
        <v>78.6600598551478</v>
      </c>
      <c r="O427" s="429"/>
    </row>
    <row r="428" s="54" customFormat="1" ht="25" customHeight="1" spans="1:15">
      <c r="A428" s="421">
        <v>23006</v>
      </c>
      <c r="B428" s="142" t="s">
        <v>460</v>
      </c>
      <c r="C428" s="422">
        <f t="shared" ref="C428:L428" si="309">C429</f>
        <v>4367.21</v>
      </c>
      <c r="D428" s="422">
        <f t="shared" si="309"/>
        <v>0</v>
      </c>
      <c r="E428" s="422">
        <f t="shared" si="257"/>
        <v>4367.21</v>
      </c>
      <c r="F428" s="422">
        <v>3435.25</v>
      </c>
      <c r="G428" s="422">
        <f t="shared" si="309"/>
        <v>0</v>
      </c>
      <c r="H428" s="422">
        <f t="shared" si="309"/>
        <v>0</v>
      </c>
      <c r="I428" s="422">
        <f t="shared" si="309"/>
        <v>0</v>
      </c>
      <c r="J428" s="422">
        <f t="shared" si="309"/>
        <v>0</v>
      </c>
      <c r="K428" s="422">
        <f t="shared" si="309"/>
        <v>7802.46</v>
      </c>
      <c r="L428" s="422">
        <f t="shared" si="309"/>
        <v>0</v>
      </c>
      <c r="M428" s="422">
        <f t="shared" si="289"/>
        <v>7802.46</v>
      </c>
      <c r="N428" s="422">
        <f t="shared" si="305"/>
        <v>78.6600598551478</v>
      </c>
      <c r="O428" s="429"/>
    </row>
    <row r="429" s="54" customFormat="1" ht="25" customHeight="1" spans="1:15">
      <c r="A429" s="421">
        <v>2300602</v>
      </c>
      <c r="B429" s="142" t="s">
        <v>461</v>
      </c>
      <c r="C429" s="422">
        <v>4367.21</v>
      </c>
      <c r="D429" s="422"/>
      <c r="E429" s="422">
        <f t="shared" ref="E429:E438" si="310">C429+D429</f>
        <v>4367.21</v>
      </c>
      <c r="F429" s="422">
        <f>211.25+3224</f>
        <v>3435.25</v>
      </c>
      <c r="G429" s="422">
        <v>0</v>
      </c>
      <c r="H429" s="422">
        <v>0</v>
      </c>
      <c r="I429" s="422">
        <v>0</v>
      </c>
      <c r="J429" s="422">
        <f>L429-D429</f>
        <v>0</v>
      </c>
      <c r="K429" s="422">
        <f>C429+F429+G429+H429+I429</f>
        <v>7802.46</v>
      </c>
      <c r="L429" s="422">
        <v>0</v>
      </c>
      <c r="M429" s="422">
        <f t="shared" si="289"/>
        <v>7802.46</v>
      </c>
      <c r="N429" s="422">
        <f t="shared" si="305"/>
        <v>78.6600598551478</v>
      </c>
      <c r="O429" s="429"/>
    </row>
    <row r="430" s="54" customFormat="1" ht="25" customHeight="1" spans="1:15">
      <c r="A430" s="421">
        <v>231</v>
      </c>
      <c r="B430" s="142" t="s">
        <v>462</v>
      </c>
      <c r="C430" s="422">
        <f t="shared" ref="C430:L430" si="311">C431</f>
        <v>7663.41</v>
      </c>
      <c r="D430" s="422">
        <f t="shared" si="311"/>
        <v>0</v>
      </c>
      <c r="E430" s="422">
        <f t="shared" si="310"/>
        <v>7663.41</v>
      </c>
      <c r="F430" s="422">
        <v>0</v>
      </c>
      <c r="G430" s="422">
        <f t="shared" si="311"/>
        <v>0</v>
      </c>
      <c r="H430" s="422">
        <f t="shared" si="311"/>
        <v>0</v>
      </c>
      <c r="I430" s="422">
        <f t="shared" si="311"/>
        <v>0</v>
      </c>
      <c r="J430" s="422">
        <f t="shared" si="311"/>
        <v>0</v>
      </c>
      <c r="K430" s="422">
        <f t="shared" si="311"/>
        <v>7663.41</v>
      </c>
      <c r="L430" s="422">
        <f t="shared" si="311"/>
        <v>0</v>
      </c>
      <c r="M430" s="422">
        <f t="shared" si="289"/>
        <v>7663.41</v>
      </c>
      <c r="N430" s="422">
        <f t="shared" si="305"/>
        <v>0</v>
      </c>
      <c r="O430" s="429"/>
    </row>
    <row r="431" s="54" customFormat="1" ht="25" customHeight="1" spans="1:15">
      <c r="A431" s="421">
        <v>23103</v>
      </c>
      <c r="B431" s="142" t="s">
        <v>463</v>
      </c>
      <c r="C431" s="422">
        <f t="shared" ref="C431:L431" si="312">C432</f>
        <v>7663.41</v>
      </c>
      <c r="D431" s="422">
        <f t="shared" si="312"/>
        <v>0</v>
      </c>
      <c r="E431" s="422">
        <f t="shared" si="310"/>
        <v>7663.41</v>
      </c>
      <c r="F431" s="422">
        <v>0</v>
      </c>
      <c r="G431" s="422">
        <f t="shared" si="312"/>
        <v>0</v>
      </c>
      <c r="H431" s="422">
        <f t="shared" si="312"/>
        <v>0</v>
      </c>
      <c r="I431" s="422">
        <f t="shared" si="312"/>
        <v>0</v>
      </c>
      <c r="J431" s="422">
        <f t="shared" si="312"/>
        <v>0</v>
      </c>
      <c r="K431" s="422">
        <f t="shared" si="312"/>
        <v>7663.41</v>
      </c>
      <c r="L431" s="422">
        <f t="shared" si="312"/>
        <v>0</v>
      </c>
      <c r="M431" s="422">
        <f t="shared" si="289"/>
        <v>7663.41</v>
      </c>
      <c r="N431" s="422">
        <f t="shared" si="305"/>
        <v>0</v>
      </c>
      <c r="O431" s="429"/>
    </row>
    <row r="432" s="54" customFormat="1" ht="25" customHeight="1" spans="1:15">
      <c r="A432" s="421">
        <v>2310301</v>
      </c>
      <c r="B432" s="142" t="s">
        <v>464</v>
      </c>
      <c r="C432" s="422">
        <v>7663.41</v>
      </c>
      <c r="D432" s="422"/>
      <c r="E432" s="422">
        <f t="shared" si="310"/>
        <v>7663.41</v>
      </c>
      <c r="F432" s="422"/>
      <c r="G432" s="422">
        <v>0</v>
      </c>
      <c r="H432" s="422">
        <v>0</v>
      </c>
      <c r="I432" s="422">
        <v>0</v>
      </c>
      <c r="J432" s="422">
        <f>L432-D432</f>
        <v>0</v>
      </c>
      <c r="K432" s="422">
        <f>C432+F432+G432+H432+I432</f>
        <v>7663.41</v>
      </c>
      <c r="L432" s="422">
        <v>0</v>
      </c>
      <c r="M432" s="422">
        <f t="shared" si="289"/>
        <v>7663.41</v>
      </c>
      <c r="N432" s="422">
        <f t="shared" si="305"/>
        <v>0</v>
      </c>
      <c r="O432" s="429"/>
    </row>
    <row r="433" s="54" customFormat="1" ht="25" customHeight="1" spans="1:15">
      <c r="A433" s="421">
        <v>232</v>
      </c>
      <c r="B433" s="142" t="s">
        <v>465</v>
      </c>
      <c r="C433" s="422">
        <f t="shared" ref="C433:L433" si="313">C434</f>
        <v>2274.95</v>
      </c>
      <c r="D433" s="422">
        <f t="shared" si="313"/>
        <v>0</v>
      </c>
      <c r="E433" s="422">
        <f t="shared" si="310"/>
        <v>2274.95</v>
      </c>
      <c r="F433" s="422">
        <v>0</v>
      </c>
      <c r="G433" s="422">
        <f t="shared" si="313"/>
        <v>0</v>
      </c>
      <c r="H433" s="422">
        <f t="shared" si="313"/>
        <v>0</v>
      </c>
      <c r="I433" s="422">
        <f t="shared" si="313"/>
        <v>0</v>
      </c>
      <c r="J433" s="422">
        <f t="shared" si="313"/>
        <v>0</v>
      </c>
      <c r="K433" s="422">
        <f t="shared" si="313"/>
        <v>2274.95</v>
      </c>
      <c r="L433" s="422">
        <f t="shared" si="313"/>
        <v>0</v>
      </c>
      <c r="M433" s="422">
        <f t="shared" si="289"/>
        <v>2274.95</v>
      </c>
      <c r="N433" s="422">
        <f t="shared" si="305"/>
        <v>0</v>
      </c>
      <c r="O433" s="429"/>
    </row>
    <row r="434" s="54" customFormat="1" ht="25" customHeight="1" spans="1:15">
      <c r="A434" s="421">
        <v>23203</v>
      </c>
      <c r="B434" s="142" t="s">
        <v>466</v>
      </c>
      <c r="C434" s="422">
        <f t="shared" ref="C434:L434" si="314">C435</f>
        <v>2274.95</v>
      </c>
      <c r="D434" s="422">
        <f t="shared" si="314"/>
        <v>0</v>
      </c>
      <c r="E434" s="422">
        <f t="shared" si="310"/>
        <v>2274.95</v>
      </c>
      <c r="F434" s="422">
        <v>0</v>
      </c>
      <c r="G434" s="422">
        <f t="shared" si="314"/>
        <v>0</v>
      </c>
      <c r="H434" s="422">
        <f t="shared" si="314"/>
        <v>0</v>
      </c>
      <c r="I434" s="422">
        <f t="shared" si="314"/>
        <v>0</v>
      </c>
      <c r="J434" s="422">
        <f t="shared" si="314"/>
        <v>0</v>
      </c>
      <c r="K434" s="422">
        <f t="shared" si="314"/>
        <v>2274.95</v>
      </c>
      <c r="L434" s="422">
        <f t="shared" si="314"/>
        <v>0</v>
      </c>
      <c r="M434" s="422">
        <f t="shared" si="289"/>
        <v>2274.95</v>
      </c>
      <c r="N434" s="422">
        <f t="shared" si="305"/>
        <v>0</v>
      </c>
      <c r="O434" s="429"/>
    </row>
    <row r="435" s="54" customFormat="1" ht="25" customHeight="1" spans="1:15">
      <c r="A435" s="421">
        <v>2320301</v>
      </c>
      <c r="B435" s="142" t="s">
        <v>467</v>
      </c>
      <c r="C435" s="422">
        <v>2274.95</v>
      </c>
      <c r="D435" s="422"/>
      <c r="E435" s="422">
        <f t="shared" si="310"/>
        <v>2274.95</v>
      </c>
      <c r="F435" s="422"/>
      <c r="G435" s="422">
        <v>0</v>
      </c>
      <c r="H435" s="422">
        <v>0</v>
      </c>
      <c r="I435" s="422"/>
      <c r="J435" s="422">
        <f>L435-D435</f>
        <v>0</v>
      </c>
      <c r="K435" s="422">
        <f>C435+F435+G435+H435+I435</f>
        <v>2274.95</v>
      </c>
      <c r="L435" s="422">
        <v>0</v>
      </c>
      <c r="M435" s="422">
        <f t="shared" si="289"/>
        <v>2274.95</v>
      </c>
      <c r="N435" s="422">
        <f t="shared" si="305"/>
        <v>0</v>
      </c>
      <c r="O435" s="429"/>
    </row>
    <row r="436" s="54" customFormat="1" ht="25" customHeight="1" spans="1:15">
      <c r="A436" s="421">
        <v>233</v>
      </c>
      <c r="B436" s="142" t="s">
        <v>468</v>
      </c>
      <c r="C436" s="422">
        <f>C437</f>
        <v>50</v>
      </c>
      <c r="D436" s="422">
        <f>D437</f>
        <v>0</v>
      </c>
      <c r="E436" s="422">
        <f t="shared" si="310"/>
        <v>50</v>
      </c>
      <c r="F436" s="422">
        <v>-35.83</v>
      </c>
      <c r="G436" s="422"/>
      <c r="H436" s="422"/>
      <c r="I436" s="422"/>
      <c r="J436" s="422"/>
      <c r="K436" s="422">
        <f>K437</f>
        <v>14.17</v>
      </c>
      <c r="L436" s="422">
        <f>L437</f>
        <v>0</v>
      </c>
      <c r="M436" s="422">
        <f t="shared" si="289"/>
        <v>14.17</v>
      </c>
      <c r="N436" s="422">
        <f t="shared" si="305"/>
        <v>-71.66</v>
      </c>
      <c r="O436" s="429"/>
    </row>
    <row r="437" s="54" customFormat="1" ht="25" customHeight="1" spans="1:15">
      <c r="A437" s="430">
        <v>23303</v>
      </c>
      <c r="B437" s="431" t="s">
        <v>469</v>
      </c>
      <c r="C437" s="432">
        <v>50</v>
      </c>
      <c r="D437" s="432">
        <v>0</v>
      </c>
      <c r="E437" s="432">
        <f t="shared" si="310"/>
        <v>50</v>
      </c>
      <c r="F437" s="432">
        <v>-35.83</v>
      </c>
      <c r="G437" s="432"/>
      <c r="H437" s="432"/>
      <c r="I437" s="432"/>
      <c r="J437" s="432"/>
      <c r="K437" s="432">
        <f>C437+F437</f>
        <v>14.17</v>
      </c>
      <c r="L437" s="432">
        <v>0</v>
      </c>
      <c r="M437" s="432">
        <f t="shared" si="289"/>
        <v>14.17</v>
      </c>
      <c r="N437" s="422">
        <f t="shared" si="305"/>
        <v>-71.66</v>
      </c>
      <c r="O437" s="436"/>
    </row>
    <row r="438" s="409" customFormat="1" ht="25" customHeight="1" spans="1:15">
      <c r="A438" s="433" t="s">
        <v>470</v>
      </c>
      <c r="B438" s="434"/>
      <c r="C438" s="435">
        <f>C436+C433+C430+C427+C424+C423+C410+C401+C395+C386+C382+C375+C370+C361+C322+C308+C294+C254+C182+C167+C157+C132+C110+C102+C6</f>
        <v>185295.6892</v>
      </c>
      <c r="D438" s="435">
        <f t="shared" ref="D438:M438" si="315">D436+D433+D430+D427+D424+D423+D410+D401+D395+D386+D382+D375+D370+D361+D322+D308+D294+D254+D182+D167+D157+D132+D110+D102+D6</f>
        <v>70252.5</v>
      </c>
      <c r="E438" s="435">
        <f t="shared" si="315"/>
        <v>255548.1892</v>
      </c>
      <c r="F438" s="435">
        <f t="shared" si="315"/>
        <v>-12513.199119</v>
      </c>
      <c r="G438" s="435">
        <f t="shared" si="315"/>
        <v>-4.49</v>
      </c>
      <c r="H438" s="435">
        <f t="shared" si="315"/>
        <v>0</v>
      </c>
      <c r="I438" s="435">
        <f t="shared" si="315"/>
        <v>-0.229999999999777</v>
      </c>
      <c r="J438" s="435">
        <f t="shared" si="315"/>
        <v>7960.457192</v>
      </c>
      <c r="K438" s="435">
        <f>K436+K433+K430+K427+K424+K423+K410+K401+K395+K386+K382+K375+K370+K361+K322+K308+K294+K254+K182+K167+K157+K132+K110+K102+K6+1</f>
        <v>172778.770081</v>
      </c>
      <c r="L438" s="435">
        <f t="shared" si="315"/>
        <v>78212.957192</v>
      </c>
      <c r="M438" s="435">
        <f>M436+M433+M430+M427+M424+M423+M410+M401+M395+M386+M382+M375+M370+M361+M322+M308+M294+M254+M182+M167+M157+M132+M110+M102+M6+1</f>
        <v>250991.727273</v>
      </c>
      <c r="N438" s="435">
        <f t="shared" si="305"/>
        <v>-1.78301475790699</v>
      </c>
      <c r="O438" s="437"/>
    </row>
    <row r="439" s="54" customFormat="1" customHeight="1" spans="1:15">
      <c r="A439" s="410"/>
      <c r="B439" s="411"/>
      <c r="C439" s="412"/>
      <c r="D439" s="412"/>
      <c r="E439" s="412"/>
      <c r="F439" s="412"/>
      <c r="G439" s="412"/>
      <c r="H439" s="412"/>
      <c r="I439" s="412"/>
      <c r="J439" s="412"/>
      <c r="K439" s="412"/>
      <c r="L439" s="412"/>
      <c r="M439" s="412"/>
      <c r="N439" s="412"/>
      <c r="O439" s="413"/>
    </row>
    <row r="440" s="54" customFormat="1" customHeight="1" spans="1:15">
      <c r="A440" s="410"/>
      <c r="B440" s="411"/>
      <c r="C440" s="412"/>
      <c r="D440" s="412"/>
      <c r="E440" s="412"/>
      <c r="F440" s="412"/>
      <c r="G440" s="412"/>
      <c r="H440" s="412"/>
      <c r="I440" s="412"/>
      <c r="J440" s="412"/>
      <c r="K440" s="412"/>
      <c r="L440" s="412"/>
      <c r="M440" s="412"/>
      <c r="N440" s="412"/>
      <c r="O440" s="413"/>
    </row>
    <row r="441" s="54" customFormat="1" customHeight="1" spans="1:15">
      <c r="A441" s="410"/>
      <c r="B441" s="411"/>
      <c r="C441" s="412"/>
      <c r="D441" s="412"/>
      <c r="E441" s="412"/>
      <c r="F441" s="412"/>
      <c r="G441" s="412"/>
      <c r="H441" s="412"/>
      <c r="I441" s="412"/>
      <c r="J441" s="412"/>
      <c r="K441" s="412"/>
      <c r="L441" s="412"/>
      <c r="M441" s="412"/>
      <c r="N441" s="412"/>
      <c r="O441" s="413"/>
    </row>
    <row r="442" s="54" customFormat="1" customHeight="1" spans="1:15">
      <c r="A442" s="410"/>
      <c r="B442" s="411"/>
      <c r="C442" s="412"/>
      <c r="D442" s="412"/>
      <c r="E442" s="412"/>
      <c r="F442" s="412"/>
      <c r="G442" s="412"/>
      <c r="H442" s="412"/>
      <c r="I442" s="412"/>
      <c r="J442" s="412"/>
      <c r="K442" s="412"/>
      <c r="L442" s="412"/>
      <c r="M442" s="412"/>
      <c r="N442" s="412"/>
      <c r="O442" s="413"/>
    </row>
  </sheetData>
  <autoFilter xmlns:etc="http://www.wps.cn/officeDocument/2017/etCustomData" ref="A5:XFD442" etc:filterBottomFollowUsedRange="0">
    <extLst/>
  </autoFilter>
  <mergeCells count="9">
    <mergeCell ref="A2:O2"/>
    <mergeCell ref="C4:E4"/>
    <mergeCell ref="F4:J4"/>
    <mergeCell ref="K4:M4"/>
    <mergeCell ref="A438:B438"/>
    <mergeCell ref="A4:A5"/>
    <mergeCell ref="B4:B5"/>
    <mergeCell ref="N4:N5"/>
    <mergeCell ref="O4:O5"/>
  </mergeCells>
  <printOptions horizontalCentered="1"/>
  <pageMargins left="0.393055555555556" right="0.393055555555556" top="0.432638888888889" bottom="0.432638888888889" header="0.196527777777778" footer="0.196527777777778"/>
  <pageSetup paperSize="9" scale="68" fitToHeight="0" orientation="landscape" horizontalDpi="600"/>
  <headerFooter alignWithMargins="0" scaleWithDoc="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75"/>
  <sheetViews>
    <sheetView view="pageBreakPreview" zoomScaleNormal="90" topLeftCell="B45" workbookViewId="0">
      <selection activeCell="B29" sqref="B29:F33"/>
    </sheetView>
  </sheetViews>
  <sheetFormatPr defaultColWidth="9" defaultRowHeight="30" customHeight="1"/>
  <cols>
    <col min="1" max="1" width="6.375" style="260" hidden="1" customWidth="1"/>
    <col min="2" max="2" width="14" style="261" customWidth="1"/>
    <col min="3" max="3" width="31.625" style="261" customWidth="1"/>
    <col min="4" max="4" width="13.75" style="260" hidden="1" customWidth="1"/>
    <col min="5" max="5" width="12.875" style="262" customWidth="1"/>
    <col min="6" max="6" width="16.625" style="261" customWidth="1"/>
    <col min="7" max="7" width="7.125" style="260" hidden="1" customWidth="1"/>
    <col min="8" max="8" width="14" style="261" customWidth="1"/>
    <col min="9" max="9" width="31.625" style="261" customWidth="1"/>
    <col min="10" max="10" width="9.875" style="260" hidden="1" customWidth="1"/>
    <col min="11" max="11" width="12.875" style="262" customWidth="1"/>
    <col min="12" max="12" width="16.625" style="261" customWidth="1"/>
    <col min="13" max="13" width="12.625" style="260" hidden="1" customWidth="1"/>
    <col min="14" max="14" width="9" style="260" hidden="1" customWidth="1"/>
    <col min="15" max="15" width="17.125" style="263" hidden="1" customWidth="1"/>
    <col min="16" max="16384" width="9" style="260" customWidth="1"/>
  </cols>
  <sheetData>
    <row r="1" s="1" customFormat="1" ht="20" customHeight="1" spans="2:2">
      <c r="B1" s="1" t="s">
        <v>471</v>
      </c>
    </row>
    <row r="2" s="1" customFormat="1" ht="25" customHeight="1" spans="1:12">
      <c r="A2" s="11" t="s">
        <v>472</v>
      </c>
      <c r="B2" s="11"/>
      <c r="C2" s="11"/>
      <c r="D2" s="11"/>
      <c r="E2" s="11"/>
      <c r="F2" s="11"/>
      <c r="G2" s="11"/>
      <c r="H2" s="11"/>
      <c r="I2" s="11"/>
      <c r="J2" s="11"/>
      <c r="K2" s="11"/>
      <c r="L2" s="11"/>
    </row>
    <row r="3" s="3" customFormat="1" ht="20.1" customHeight="1" spans="10:12">
      <c r="J3" s="201"/>
      <c r="L3" s="200" t="s">
        <v>5</v>
      </c>
    </row>
    <row r="4" s="259" customFormat="1" ht="27.95" customHeight="1" spans="1:15">
      <c r="A4" s="264" t="s">
        <v>473</v>
      </c>
      <c r="B4" s="265" t="s">
        <v>473</v>
      </c>
      <c r="C4" s="266"/>
      <c r="D4" s="266"/>
      <c r="E4" s="267"/>
      <c r="F4" s="268"/>
      <c r="G4" s="269" t="s">
        <v>474</v>
      </c>
      <c r="H4" s="270" t="s">
        <v>474</v>
      </c>
      <c r="I4" s="362"/>
      <c r="J4" s="266"/>
      <c r="K4" s="267"/>
      <c r="L4" s="363"/>
      <c r="N4" s="364"/>
      <c r="O4" s="365">
        <f>O5+O6+O7++O11+O8+O9+O10</f>
        <v>-15528.075007</v>
      </c>
    </row>
    <row r="5" s="259" customFormat="1" ht="27.95" customHeight="1" spans="1:15">
      <c r="A5" s="271" t="s">
        <v>475</v>
      </c>
      <c r="B5" s="272" t="s">
        <v>476</v>
      </c>
      <c r="C5" s="273" t="s">
        <v>6</v>
      </c>
      <c r="D5" s="274" t="s">
        <v>477</v>
      </c>
      <c r="E5" s="275" t="s">
        <v>478</v>
      </c>
      <c r="F5" s="276" t="s">
        <v>11</v>
      </c>
      <c r="G5" s="277" t="s">
        <v>475</v>
      </c>
      <c r="H5" s="278" t="s">
        <v>476</v>
      </c>
      <c r="I5" s="366" t="s">
        <v>6</v>
      </c>
      <c r="J5" s="274" t="s">
        <v>477</v>
      </c>
      <c r="K5" s="275" t="s">
        <v>478</v>
      </c>
      <c r="L5" s="367" t="s">
        <v>11</v>
      </c>
      <c r="N5" s="364" t="s">
        <v>479</v>
      </c>
      <c r="O5" s="365">
        <v>-1112.86</v>
      </c>
    </row>
    <row r="6" s="259" customFormat="1" ht="27.95" customHeight="1" spans="1:15">
      <c r="A6" s="271"/>
      <c r="B6" s="272" t="s">
        <v>480</v>
      </c>
      <c r="C6" s="273"/>
      <c r="D6" s="273"/>
      <c r="E6" s="275">
        <f>E7+E10+E27+E33+E42</f>
        <v>7250.0848</v>
      </c>
      <c r="F6" s="279"/>
      <c r="G6" s="280"/>
      <c r="H6" s="278" t="s">
        <v>481</v>
      </c>
      <c r="I6" s="366"/>
      <c r="J6" s="273"/>
      <c r="K6" s="275">
        <f>K7+K13+K82+K184+K193+K253+K273</f>
        <v>19767.470075</v>
      </c>
      <c r="L6" s="279"/>
      <c r="M6" s="259">
        <f>E6-K6</f>
        <v>-12517.385275</v>
      </c>
      <c r="N6" s="364" t="s">
        <v>482</v>
      </c>
      <c r="O6" s="365">
        <v>-2106.128549</v>
      </c>
    </row>
    <row r="7" s="259" customFormat="1" customHeight="1" spans="1:15">
      <c r="A7" s="271"/>
      <c r="B7" s="272" t="s">
        <v>483</v>
      </c>
      <c r="C7" s="273"/>
      <c r="D7" s="273"/>
      <c r="E7" s="275">
        <f>SUM(E8:E9)</f>
        <v>5.51</v>
      </c>
      <c r="F7" s="279"/>
      <c r="G7" s="280"/>
      <c r="H7" s="272" t="s">
        <v>483</v>
      </c>
      <c r="I7" s="273"/>
      <c r="J7" s="273"/>
      <c r="K7" s="275">
        <f>SUM(K8:K12)</f>
        <v>2179.82</v>
      </c>
      <c r="L7" s="368"/>
      <c r="M7" s="259">
        <f>M6-O4</f>
        <v>3010.68973200001</v>
      </c>
      <c r="N7" s="364" t="s">
        <v>484</v>
      </c>
      <c r="O7" s="365">
        <v>-3048.621871</v>
      </c>
    </row>
    <row r="8" customHeight="1" spans="1:15">
      <c r="A8" s="281"/>
      <c r="B8" s="282" t="s">
        <v>485</v>
      </c>
      <c r="C8" s="142" t="s">
        <v>486</v>
      </c>
      <c r="D8" s="283">
        <v>2011399</v>
      </c>
      <c r="E8" s="284">
        <v>4.03</v>
      </c>
      <c r="F8" s="285" t="s">
        <v>487</v>
      </c>
      <c r="G8" s="286"/>
      <c r="H8" s="287" t="s">
        <v>488</v>
      </c>
      <c r="I8" s="369" t="s">
        <v>489</v>
      </c>
      <c r="J8" s="370">
        <v>2080506</v>
      </c>
      <c r="K8" s="371">
        <v>762.32</v>
      </c>
      <c r="L8" s="372" t="s">
        <v>490</v>
      </c>
      <c r="N8" s="373" t="s">
        <v>491</v>
      </c>
      <c r="O8" s="374">
        <v>-2513.55</v>
      </c>
    </row>
    <row r="9" customHeight="1" spans="1:15">
      <c r="A9" s="281"/>
      <c r="B9" s="282" t="s">
        <v>492</v>
      </c>
      <c r="C9" s="142" t="s">
        <v>493</v>
      </c>
      <c r="D9" s="283">
        <v>2050302</v>
      </c>
      <c r="E9" s="284">
        <v>1.48</v>
      </c>
      <c r="F9" s="285" t="s">
        <v>487</v>
      </c>
      <c r="G9" s="286"/>
      <c r="H9" s="287" t="s">
        <v>488</v>
      </c>
      <c r="I9" s="369" t="s">
        <v>494</v>
      </c>
      <c r="J9" s="375" t="s">
        <v>495</v>
      </c>
      <c r="K9" s="371">
        <v>732.2</v>
      </c>
      <c r="L9" s="372" t="s">
        <v>490</v>
      </c>
      <c r="N9" s="373" t="s">
        <v>496</v>
      </c>
      <c r="O9" s="374">
        <v>-5324.3277</v>
      </c>
    </row>
    <row r="10" customHeight="1" spans="1:15">
      <c r="A10" s="281"/>
      <c r="B10" s="272" t="s">
        <v>497</v>
      </c>
      <c r="C10" s="273"/>
      <c r="D10" s="273"/>
      <c r="E10" s="275">
        <f>SUM(E11:E26)</f>
        <v>4591.2048</v>
      </c>
      <c r="F10" s="279"/>
      <c r="G10" s="286"/>
      <c r="H10" s="288" t="s">
        <v>498</v>
      </c>
      <c r="I10" s="369" t="s">
        <v>499</v>
      </c>
      <c r="J10" s="370"/>
      <c r="K10" s="371">
        <v>679.3</v>
      </c>
      <c r="L10" s="372" t="s">
        <v>490</v>
      </c>
      <c r="N10" s="373" t="s">
        <v>500</v>
      </c>
      <c r="O10" s="374">
        <v>-454.336887</v>
      </c>
    </row>
    <row r="11" customHeight="1" spans="1:15">
      <c r="A11" s="281"/>
      <c r="B11" s="289" t="s">
        <v>501</v>
      </c>
      <c r="C11" s="290" t="s">
        <v>502</v>
      </c>
      <c r="D11" s="291">
        <v>2081199</v>
      </c>
      <c r="E11" s="292">
        <v>5.45</v>
      </c>
      <c r="F11" s="285" t="s">
        <v>503</v>
      </c>
      <c r="G11" s="286"/>
      <c r="H11" s="293" t="s">
        <v>504</v>
      </c>
      <c r="I11" s="376" t="s">
        <v>486</v>
      </c>
      <c r="J11" s="128">
        <v>2040606</v>
      </c>
      <c r="K11" s="371">
        <v>3</v>
      </c>
      <c r="L11" s="372" t="s">
        <v>505</v>
      </c>
      <c r="N11" s="373" t="s">
        <v>506</v>
      </c>
      <c r="O11" s="374">
        <v>-968.25</v>
      </c>
    </row>
    <row r="12" customHeight="1" spans="1:12">
      <c r="A12" s="281"/>
      <c r="B12" s="289" t="s">
        <v>501</v>
      </c>
      <c r="C12" s="290" t="s">
        <v>507</v>
      </c>
      <c r="D12" s="291">
        <v>2081104</v>
      </c>
      <c r="E12" s="292">
        <v>4.76</v>
      </c>
      <c r="F12" s="285" t="s">
        <v>503</v>
      </c>
      <c r="G12" s="286"/>
      <c r="H12" s="293" t="s">
        <v>508</v>
      </c>
      <c r="I12" s="376" t="s">
        <v>486</v>
      </c>
      <c r="J12" s="370">
        <v>2120501</v>
      </c>
      <c r="K12" s="371">
        <v>3</v>
      </c>
      <c r="L12" s="372" t="s">
        <v>505</v>
      </c>
    </row>
    <row r="13" customHeight="1" spans="1:12">
      <c r="A13" s="281"/>
      <c r="B13" s="289" t="s">
        <v>509</v>
      </c>
      <c r="C13" s="290" t="s">
        <v>510</v>
      </c>
      <c r="D13" s="291">
        <v>2082804</v>
      </c>
      <c r="E13" s="292">
        <v>50</v>
      </c>
      <c r="F13" s="285" t="s">
        <v>503</v>
      </c>
      <c r="G13" s="286"/>
      <c r="H13" s="272" t="s">
        <v>497</v>
      </c>
      <c r="I13" s="273"/>
      <c r="J13" s="273"/>
      <c r="K13" s="275">
        <f>SUM(K14:K81)</f>
        <v>4182.425832</v>
      </c>
      <c r="L13" s="279"/>
    </row>
    <row r="14" customHeight="1" spans="1:13">
      <c r="A14" s="281"/>
      <c r="B14" s="289" t="s">
        <v>511</v>
      </c>
      <c r="C14" s="290" t="s">
        <v>512</v>
      </c>
      <c r="D14" s="291">
        <v>2080799</v>
      </c>
      <c r="E14" s="292">
        <v>11.6083</v>
      </c>
      <c r="F14" s="285" t="s">
        <v>503</v>
      </c>
      <c r="G14" s="286"/>
      <c r="H14" s="287" t="s">
        <v>501</v>
      </c>
      <c r="I14" s="369" t="s">
        <v>513</v>
      </c>
      <c r="J14" s="377">
        <v>2081199</v>
      </c>
      <c r="K14" s="371">
        <v>1.725</v>
      </c>
      <c r="L14" s="372" t="s">
        <v>490</v>
      </c>
      <c r="M14" s="378"/>
    </row>
    <row r="15" customHeight="1" spans="1:12">
      <c r="A15" s="281"/>
      <c r="B15" s="289" t="s">
        <v>511</v>
      </c>
      <c r="C15" s="290" t="s">
        <v>514</v>
      </c>
      <c r="D15" s="291">
        <v>2082602</v>
      </c>
      <c r="E15" s="292">
        <v>204</v>
      </c>
      <c r="F15" s="285" t="s">
        <v>503</v>
      </c>
      <c r="G15" s="286"/>
      <c r="H15" s="287" t="s">
        <v>515</v>
      </c>
      <c r="I15" s="369" t="s">
        <v>516</v>
      </c>
      <c r="J15" s="377">
        <v>2080207</v>
      </c>
      <c r="K15" s="371">
        <v>38.85</v>
      </c>
      <c r="L15" s="372" t="s">
        <v>490</v>
      </c>
    </row>
    <row r="16" customHeight="1" spans="1:12">
      <c r="A16" s="281"/>
      <c r="B16" s="289" t="s">
        <v>517</v>
      </c>
      <c r="C16" s="290" t="s">
        <v>518</v>
      </c>
      <c r="D16" s="291">
        <v>2100499</v>
      </c>
      <c r="E16" s="292">
        <v>79</v>
      </c>
      <c r="F16" s="285" t="s">
        <v>503</v>
      </c>
      <c r="G16" s="286"/>
      <c r="H16" s="287" t="s">
        <v>515</v>
      </c>
      <c r="I16" s="369" t="s">
        <v>519</v>
      </c>
      <c r="J16" s="377">
        <v>2080207</v>
      </c>
      <c r="K16" s="371">
        <v>19.87</v>
      </c>
      <c r="L16" s="372" t="s">
        <v>490</v>
      </c>
    </row>
    <row r="17" customHeight="1" spans="1:12">
      <c r="A17" s="281"/>
      <c r="B17" s="294" t="s">
        <v>488</v>
      </c>
      <c r="C17" s="142" t="s">
        <v>460</v>
      </c>
      <c r="D17" s="295">
        <v>2300602</v>
      </c>
      <c r="E17" s="296">
        <f>211.25+3224</f>
        <v>3435.25</v>
      </c>
      <c r="F17" s="285" t="s">
        <v>503</v>
      </c>
      <c r="G17" s="286"/>
      <c r="H17" s="287" t="s">
        <v>515</v>
      </c>
      <c r="I17" s="369" t="s">
        <v>520</v>
      </c>
      <c r="J17" s="377">
        <v>2081004</v>
      </c>
      <c r="K17" s="371">
        <v>15</v>
      </c>
      <c r="L17" s="372" t="s">
        <v>490</v>
      </c>
    </row>
    <row r="18" customHeight="1" spans="1:12">
      <c r="A18" s="281"/>
      <c r="B18" s="294" t="s">
        <v>521</v>
      </c>
      <c r="C18" s="142" t="s">
        <v>522</v>
      </c>
      <c r="D18" s="295">
        <v>2130705</v>
      </c>
      <c r="E18" s="296">
        <v>72.0465</v>
      </c>
      <c r="F18" s="285" t="s">
        <v>503</v>
      </c>
      <c r="G18" s="286"/>
      <c r="H18" s="287" t="s">
        <v>515</v>
      </c>
      <c r="I18" s="369" t="s">
        <v>523</v>
      </c>
      <c r="J18" s="377">
        <v>2082001</v>
      </c>
      <c r="K18" s="371">
        <v>162</v>
      </c>
      <c r="L18" s="372" t="s">
        <v>490</v>
      </c>
    </row>
    <row r="19" customHeight="1" spans="1:12">
      <c r="A19" s="281"/>
      <c r="B19" s="294" t="s">
        <v>488</v>
      </c>
      <c r="C19" s="142" t="s">
        <v>524</v>
      </c>
      <c r="D19" s="155" t="s">
        <v>525</v>
      </c>
      <c r="E19" s="296">
        <v>0.95</v>
      </c>
      <c r="F19" s="285" t="s">
        <v>526</v>
      </c>
      <c r="G19" s="286"/>
      <c r="H19" s="287" t="s">
        <v>515</v>
      </c>
      <c r="I19" s="369" t="s">
        <v>527</v>
      </c>
      <c r="J19" s="377">
        <v>2082501</v>
      </c>
      <c r="K19" s="371">
        <v>0.032</v>
      </c>
      <c r="L19" s="372" t="s">
        <v>490</v>
      </c>
    </row>
    <row r="20" customHeight="1" spans="1:12">
      <c r="A20" s="281"/>
      <c r="B20" s="294" t="s">
        <v>488</v>
      </c>
      <c r="C20" s="157" t="s">
        <v>528</v>
      </c>
      <c r="D20" s="297">
        <v>2069999</v>
      </c>
      <c r="E20" s="296">
        <v>204.91</v>
      </c>
      <c r="F20" s="285" t="s">
        <v>526</v>
      </c>
      <c r="G20" s="286"/>
      <c r="H20" s="287" t="s">
        <v>515</v>
      </c>
      <c r="I20" s="369" t="s">
        <v>529</v>
      </c>
      <c r="J20" s="377">
        <v>2089901</v>
      </c>
      <c r="K20" s="371">
        <v>0.1432</v>
      </c>
      <c r="L20" s="372" t="s">
        <v>490</v>
      </c>
    </row>
    <row r="21" customHeight="1" spans="1:12">
      <c r="A21" s="271"/>
      <c r="B21" s="294" t="s">
        <v>488</v>
      </c>
      <c r="C21" s="142" t="s">
        <v>530</v>
      </c>
      <c r="D21" s="155" t="s">
        <v>531</v>
      </c>
      <c r="E21" s="298">
        <v>485.23</v>
      </c>
      <c r="F21" s="285" t="s">
        <v>526</v>
      </c>
      <c r="G21" s="299"/>
      <c r="H21" s="287" t="s">
        <v>509</v>
      </c>
      <c r="I21" s="369" t="s">
        <v>532</v>
      </c>
      <c r="J21" s="377">
        <v>2080999</v>
      </c>
      <c r="K21" s="379">
        <v>250</v>
      </c>
      <c r="L21" s="372" t="s">
        <v>490</v>
      </c>
    </row>
    <row r="22" customHeight="1" spans="1:12">
      <c r="A22" s="300"/>
      <c r="B22" s="294" t="s">
        <v>533</v>
      </c>
      <c r="C22" s="142" t="s">
        <v>534</v>
      </c>
      <c r="D22" s="155"/>
      <c r="E22" s="298">
        <v>3</v>
      </c>
      <c r="F22" s="285" t="s">
        <v>503</v>
      </c>
      <c r="G22" s="286"/>
      <c r="H22" s="287" t="s">
        <v>509</v>
      </c>
      <c r="I22" s="369" t="s">
        <v>523</v>
      </c>
      <c r="J22" s="377">
        <v>2082001</v>
      </c>
      <c r="K22" s="371">
        <v>47.52</v>
      </c>
      <c r="L22" s="372" t="s">
        <v>490</v>
      </c>
    </row>
    <row r="23" customHeight="1" spans="1:12">
      <c r="A23" s="300"/>
      <c r="B23" s="294" t="s">
        <v>535</v>
      </c>
      <c r="C23" s="142" t="s">
        <v>534</v>
      </c>
      <c r="D23" s="155"/>
      <c r="E23" s="298">
        <v>2</v>
      </c>
      <c r="F23" s="285" t="s">
        <v>503</v>
      </c>
      <c r="G23" s="286"/>
      <c r="H23" s="287" t="s">
        <v>509</v>
      </c>
      <c r="I23" s="369" t="s">
        <v>536</v>
      </c>
      <c r="J23" s="377">
        <v>2101401</v>
      </c>
      <c r="K23" s="371">
        <v>2</v>
      </c>
      <c r="L23" s="372" t="s">
        <v>490</v>
      </c>
    </row>
    <row r="24" customHeight="1" spans="1:12">
      <c r="A24" s="300"/>
      <c r="B24" s="294" t="s">
        <v>537</v>
      </c>
      <c r="C24" s="142" t="s">
        <v>534</v>
      </c>
      <c r="D24" s="155"/>
      <c r="E24" s="298">
        <v>12</v>
      </c>
      <c r="F24" s="285" t="s">
        <v>503</v>
      </c>
      <c r="G24" s="286"/>
      <c r="H24" s="287" t="s">
        <v>538</v>
      </c>
      <c r="I24" s="369" t="s">
        <v>539</v>
      </c>
      <c r="J24" s="377">
        <v>2089901</v>
      </c>
      <c r="K24" s="371">
        <v>36.965</v>
      </c>
      <c r="L24" s="372" t="s">
        <v>490</v>
      </c>
    </row>
    <row r="25" customHeight="1" spans="1:12">
      <c r="A25" s="300"/>
      <c r="B25" s="294" t="s">
        <v>540</v>
      </c>
      <c r="C25" s="142" t="s">
        <v>534</v>
      </c>
      <c r="D25" s="155"/>
      <c r="E25" s="298">
        <v>1</v>
      </c>
      <c r="F25" s="285" t="s">
        <v>503</v>
      </c>
      <c r="G25" s="286"/>
      <c r="H25" s="287" t="s">
        <v>541</v>
      </c>
      <c r="I25" s="369" t="s">
        <v>542</v>
      </c>
      <c r="J25" s="377">
        <v>2100410</v>
      </c>
      <c r="K25" s="371">
        <v>4.58</v>
      </c>
      <c r="L25" s="372" t="s">
        <v>490</v>
      </c>
    </row>
    <row r="26" customHeight="1" spans="1:12">
      <c r="A26" s="300"/>
      <c r="B26" s="301" t="s">
        <v>543</v>
      </c>
      <c r="C26" s="302" t="s">
        <v>544</v>
      </c>
      <c r="D26" s="303"/>
      <c r="E26" s="304">
        <v>20</v>
      </c>
      <c r="F26" s="305" t="s">
        <v>503</v>
      </c>
      <c r="G26" s="306"/>
      <c r="H26" s="307" t="s">
        <v>511</v>
      </c>
      <c r="I26" s="380" t="s">
        <v>545</v>
      </c>
      <c r="J26" s="377">
        <v>2080199</v>
      </c>
      <c r="K26" s="371">
        <v>0.26744</v>
      </c>
      <c r="L26" s="372" t="s">
        <v>490</v>
      </c>
    </row>
    <row r="27" customHeight="1" spans="1:12">
      <c r="A27" s="308"/>
      <c r="B27" s="309" t="s">
        <v>546</v>
      </c>
      <c r="C27" s="310"/>
      <c r="D27" s="310"/>
      <c r="E27" s="311">
        <f>SUM(E28:E32)</f>
        <v>216.6</v>
      </c>
      <c r="F27" s="312"/>
      <c r="G27" s="306"/>
      <c r="H27" s="307" t="s">
        <v>511</v>
      </c>
      <c r="I27" s="380" t="s">
        <v>547</v>
      </c>
      <c r="J27" s="377">
        <v>2080799</v>
      </c>
      <c r="K27" s="371">
        <v>4.2</v>
      </c>
      <c r="L27" s="372" t="s">
        <v>490</v>
      </c>
    </row>
    <row r="28" customHeight="1" spans="1:12">
      <c r="A28" s="271"/>
      <c r="B28" s="313" t="s">
        <v>517</v>
      </c>
      <c r="C28" s="314" t="s">
        <v>548</v>
      </c>
      <c r="D28" s="315">
        <v>2100408</v>
      </c>
      <c r="E28" s="316">
        <v>2</v>
      </c>
      <c r="F28" s="317" t="s">
        <v>549</v>
      </c>
      <c r="G28" s="306"/>
      <c r="H28" s="307" t="s">
        <v>511</v>
      </c>
      <c r="I28" s="380" t="s">
        <v>523</v>
      </c>
      <c r="J28" s="377">
        <v>2082001</v>
      </c>
      <c r="K28" s="371">
        <v>0.08</v>
      </c>
      <c r="L28" s="372" t="s">
        <v>490</v>
      </c>
    </row>
    <row r="29" customHeight="1" spans="1:12">
      <c r="A29" s="300"/>
      <c r="B29" s="318" t="s">
        <v>550</v>
      </c>
      <c r="C29" s="319" t="s">
        <v>551</v>
      </c>
      <c r="D29" s="320">
        <v>2010699</v>
      </c>
      <c r="E29" s="321">
        <v>5</v>
      </c>
      <c r="F29" s="317" t="s">
        <v>549</v>
      </c>
      <c r="G29" s="306"/>
      <c r="H29" s="307" t="s">
        <v>511</v>
      </c>
      <c r="I29" s="380" t="s">
        <v>552</v>
      </c>
      <c r="J29" s="377">
        <v>2089901</v>
      </c>
      <c r="K29" s="371">
        <v>0.296305</v>
      </c>
      <c r="L29" s="372" t="s">
        <v>490</v>
      </c>
    </row>
    <row r="30" customHeight="1" spans="1:12">
      <c r="A30" s="322"/>
      <c r="B30" s="318" t="s">
        <v>553</v>
      </c>
      <c r="C30" s="319" t="s">
        <v>554</v>
      </c>
      <c r="D30" s="323">
        <v>2019999</v>
      </c>
      <c r="E30" s="321">
        <v>11.6</v>
      </c>
      <c r="F30" s="317" t="s">
        <v>549</v>
      </c>
      <c r="G30" s="306"/>
      <c r="H30" s="307" t="s">
        <v>511</v>
      </c>
      <c r="I30" s="380" t="s">
        <v>555</v>
      </c>
      <c r="J30" s="377">
        <v>2130599</v>
      </c>
      <c r="K30" s="371">
        <v>2.4</v>
      </c>
      <c r="L30" s="372" t="s">
        <v>490</v>
      </c>
    </row>
    <row r="31" customHeight="1" spans="1:12">
      <c r="A31" s="322"/>
      <c r="B31" s="318" t="s">
        <v>515</v>
      </c>
      <c r="C31" s="319" t="s">
        <v>556</v>
      </c>
      <c r="D31" s="323">
        <v>2089901</v>
      </c>
      <c r="E31" s="321">
        <v>98</v>
      </c>
      <c r="F31" s="317" t="s">
        <v>557</v>
      </c>
      <c r="G31" s="306"/>
      <c r="H31" s="307" t="s">
        <v>511</v>
      </c>
      <c r="I31" s="380" t="s">
        <v>392</v>
      </c>
      <c r="J31" s="377">
        <v>2130804</v>
      </c>
      <c r="K31" s="371">
        <v>8.319704</v>
      </c>
      <c r="L31" s="372" t="s">
        <v>490</v>
      </c>
    </row>
    <row r="32" customHeight="1" spans="1:12">
      <c r="A32" s="322"/>
      <c r="B32" s="318" t="s">
        <v>558</v>
      </c>
      <c r="C32" s="319" t="s">
        <v>559</v>
      </c>
      <c r="D32" s="320">
        <v>2010399</v>
      </c>
      <c r="E32" s="321">
        <v>100</v>
      </c>
      <c r="F32" s="317" t="s">
        <v>557</v>
      </c>
      <c r="G32" s="306"/>
      <c r="H32" s="307" t="s">
        <v>517</v>
      </c>
      <c r="I32" s="380" t="s">
        <v>560</v>
      </c>
      <c r="J32" s="377">
        <v>2100799</v>
      </c>
      <c r="K32" s="371">
        <v>1.962</v>
      </c>
      <c r="L32" s="372" t="s">
        <v>490</v>
      </c>
    </row>
    <row r="33" customHeight="1" spans="1:12">
      <c r="A33" s="322"/>
      <c r="B33" s="309" t="s">
        <v>561</v>
      </c>
      <c r="C33" s="310"/>
      <c r="D33" s="310"/>
      <c r="E33" s="311">
        <f>SUM(E34:E41)</f>
        <v>2286.77</v>
      </c>
      <c r="F33" s="312"/>
      <c r="G33" s="306"/>
      <c r="H33" s="307" t="s">
        <v>517</v>
      </c>
      <c r="I33" s="381" t="s">
        <v>562</v>
      </c>
      <c r="J33" s="377">
        <v>2100799</v>
      </c>
      <c r="K33" s="371">
        <v>2.8</v>
      </c>
      <c r="L33" s="372" t="s">
        <v>490</v>
      </c>
    </row>
    <row r="34" customHeight="1" spans="1:12">
      <c r="A34" s="322"/>
      <c r="B34" s="318" t="s">
        <v>563</v>
      </c>
      <c r="C34" s="319" t="s">
        <v>564</v>
      </c>
      <c r="D34" s="320">
        <v>2040299</v>
      </c>
      <c r="E34" s="324">
        <v>184.19</v>
      </c>
      <c r="F34" s="325" t="s">
        <v>565</v>
      </c>
      <c r="G34" s="306"/>
      <c r="H34" s="307" t="s">
        <v>517</v>
      </c>
      <c r="I34" s="381" t="s">
        <v>566</v>
      </c>
      <c r="J34" s="377">
        <v>2100799</v>
      </c>
      <c r="K34" s="371">
        <v>0.208</v>
      </c>
      <c r="L34" s="372" t="s">
        <v>490</v>
      </c>
    </row>
    <row r="35" customHeight="1" spans="1:12">
      <c r="A35" s="322"/>
      <c r="B35" s="326" t="s">
        <v>567</v>
      </c>
      <c r="C35" s="327" t="s">
        <v>568</v>
      </c>
      <c r="D35" s="323">
        <v>2050204</v>
      </c>
      <c r="E35" s="328">
        <v>1000</v>
      </c>
      <c r="F35" s="325" t="s">
        <v>565</v>
      </c>
      <c r="G35" s="306"/>
      <c r="H35" s="307" t="s">
        <v>517</v>
      </c>
      <c r="I35" s="381" t="s">
        <v>569</v>
      </c>
      <c r="J35" s="377">
        <v>2100799</v>
      </c>
      <c r="K35" s="371">
        <v>0.4</v>
      </c>
      <c r="L35" s="372" t="s">
        <v>490</v>
      </c>
    </row>
    <row r="36" customHeight="1" spans="1:12">
      <c r="A36" s="271"/>
      <c r="B36" s="329" t="s">
        <v>570</v>
      </c>
      <c r="C36" s="330" t="s">
        <v>571</v>
      </c>
      <c r="D36" s="331" t="s">
        <v>572</v>
      </c>
      <c r="E36" s="332">
        <v>120</v>
      </c>
      <c r="F36" s="325" t="s">
        <v>565</v>
      </c>
      <c r="G36" s="306"/>
      <c r="H36" s="307" t="s">
        <v>517</v>
      </c>
      <c r="I36" s="381" t="s">
        <v>573</v>
      </c>
      <c r="J36" s="377">
        <v>2100799</v>
      </c>
      <c r="K36" s="371">
        <v>0.14</v>
      </c>
      <c r="L36" s="372" t="s">
        <v>490</v>
      </c>
    </row>
    <row r="37" customHeight="1" spans="1:12">
      <c r="A37" s="333"/>
      <c r="B37" s="329" t="s">
        <v>574</v>
      </c>
      <c r="C37" s="330" t="s">
        <v>575</v>
      </c>
      <c r="D37" s="334">
        <v>2139999</v>
      </c>
      <c r="E37" s="332">
        <v>132.58</v>
      </c>
      <c r="F37" s="325" t="s">
        <v>565</v>
      </c>
      <c r="G37" s="306"/>
      <c r="H37" s="307" t="s">
        <v>517</v>
      </c>
      <c r="I37" s="380" t="s">
        <v>576</v>
      </c>
      <c r="J37" s="377">
        <v>2100799</v>
      </c>
      <c r="K37" s="371">
        <v>1.0052</v>
      </c>
      <c r="L37" s="372" t="s">
        <v>490</v>
      </c>
    </row>
    <row r="38" customHeight="1" spans="1:12">
      <c r="A38" s="322"/>
      <c r="B38" s="329" t="s">
        <v>577</v>
      </c>
      <c r="C38" s="330" t="s">
        <v>578</v>
      </c>
      <c r="D38" s="334"/>
      <c r="E38" s="332">
        <v>200</v>
      </c>
      <c r="F38" s="325" t="s">
        <v>565</v>
      </c>
      <c r="G38" s="306"/>
      <c r="H38" s="307" t="s">
        <v>517</v>
      </c>
      <c r="I38" s="380" t="s">
        <v>579</v>
      </c>
      <c r="J38" s="377">
        <v>2101504</v>
      </c>
      <c r="K38" s="371">
        <v>40</v>
      </c>
      <c r="L38" s="372" t="s">
        <v>490</v>
      </c>
    </row>
    <row r="39" customHeight="1" spans="1:12">
      <c r="A39" s="300"/>
      <c r="B39" s="329" t="s">
        <v>535</v>
      </c>
      <c r="C39" s="330" t="s">
        <v>580</v>
      </c>
      <c r="D39" s="331" t="s">
        <v>572</v>
      </c>
      <c r="E39" s="332">
        <v>200</v>
      </c>
      <c r="F39" s="325" t="s">
        <v>565</v>
      </c>
      <c r="G39" s="306"/>
      <c r="H39" s="307" t="s">
        <v>517</v>
      </c>
      <c r="I39" s="380" t="s">
        <v>581</v>
      </c>
      <c r="J39" s="377">
        <v>2101601</v>
      </c>
      <c r="K39" s="371">
        <v>9.803</v>
      </c>
      <c r="L39" s="372" t="s">
        <v>490</v>
      </c>
    </row>
    <row r="40" customHeight="1" spans="1:12">
      <c r="A40" s="322"/>
      <c r="B40" s="335" t="s">
        <v>540</v>
      </c>
      <c r="C40" s="336" t="s">
        <v>582</v>
      </c>
      <c r="D40" s="331" t="s">
        <v>572</v>
      </c>
      <c r="E40" s="332">
        <v>350</v>
      </c>
      <c r="F40" s="325" t="s">
        <v>565</v>
      </c>
      <c r="G40" s="306"/>
      <c r="H40" s="329" t="s">
        <v>517</v>
      </c>
      <c r="I40" s="327" t="s">
        <v>583</v>
      </c>
      <c r="J40" s="382">
        <v>2100799</v>
      </c>
      <c r="K40" s="355">
        <v>5</v>
      </c>
      <c r="L40" s="372" t="s">
        <v>490</v>
      </c>
    </row>
    <row r="41" customHeight="1" spans="1:12">
      <c r="A41" s="322"/>
      <c r="B41" s="318" t="s">
        <v>584</v>
      </c>
      <c r="C41" s="319" t="s">
        <v>585</v>
      </c>
      <c r="D41" s="334">
        <v>2050202</v>
      </c>
      <c r="E41" s="324">
        <v>100</v>
      </c>
      <c r="F41" s="325" t="s">
        <v>565</v>
      </c>
      <c r="G41" s="306"/>
      <c r="H41" s="337" t="s">
        <v>567</v>
      </c>
      <c r="I41" s="344" t="s">
        <v>586</v>
      </c>
      <c r="J41" s="383">
        <v>2050202</v>
      </c>
      <c r="K41" s="384">
        <v>0.009</v>
      </c>
      <c r="L41" s="372" t="s">
        <v>490</v>
      </c>
    </row>
    <row r="42" customHeight="1" spans="1:12">
      <c r="A42" s="322"/>
      <c r="B42" s="309" t="s">
        <v>587</v>
      </c>
      <c r="C42" s="310"/>
      <c r="D42" s="310"/>
      <c r="E42" s="311">
        <f>SUM(E43:E43)</f>
        <v>150</v>
      </c>
      <c r="F42" s="312"/>
      <c r="G42" s="306"/>
      <c r="H42" s="337" t="s">
        <v>567</v>
      </c>
      <c r="I42" s="344" t="s">
        <v>588</v>
      </c>
      <c r="J42" s="383">
        <v>2050202</v>
      </c>
      <c r="K42" s="384">
        <v>0.0095</v>
      </c>
      <c r="L42" s="372" t="s">
        <v>490</v>
      </c>
    </row>
    <row r="43" customHeight="1" spans="1:12">
      <c r="A43" s="308"/>
      <c r="B43" s="338" t="s">
        <v>488</v>
      </c>
      <c r="C43" s="339" t="s">
        <v>589</v>
      </c>
      <c r="D43" s="340">
        <v>2299901</v>
      </c>
      <c r="E43" s="332">
        <v>150</v>
      </c>
      <c r="F43" s="325" t="s">
        <v>565</v>
      </c>
      <c r="G43" s="306"/>
      <c r="H43" s="337" t="s">
        <v>567</v>
      </c>
      <c r="I43" s="344" t="s">
        <v>590</v>
      </c>
      <c r="J43" s="383" t="s">
        <v>591</v>
      </c>
      <c r="K43" s="384">
        <v>0.2413</v>
      </c>
      <c r="L43" s="372" t="s">
        <v>490</v>
      </c>
    </row>
    <row r="44" customHeight="1" spans="1:12">
      <c r="A44" s="308"/>
      <c r="B44" s="326"/>
      <c r="C44" s="341"/>
      <c r="D44" s="342"/>
      <c r="E44" s="328"/>
      <c r="F44" s="343"/>
      <c r="G44" s="306"/>
      <c r="H44" s="337" t="s">
        <v>567</v>
      </c>
      <c r="I44" s="344" t="s">
        <v>592</v>
      </c>
      <c r="J44" s="383">
        <v>2050202</v>
      </c>
      <c r="K44" s="384">
        <v>0.0037</v>
      </c>
      <c r="L44" s="372" t="s">
        <v>490</v>
      </c>
    </row>
    <row r="45" customHeight="1" spans="1:12">
      <c r="A45" s="308"/>
      <c r="B45" s="337"/>
      <c r="C45" s="344"/>
      <c r="D45" s="334"/>
      <c r="E45" s="332"/>
      <c r="F45" s="317"/>
      <c r="G45" s="306"/>
      <c r="H45" s="337" t="s">
        <v>567</v>
      </c>
      <c r="I45" s="344" t="s">
        <v>593</v>
      </c>
      <c r="J45" s="383">
        <v>2050299</v>
      </c>
      <c r="K45" s="384">
        <v>0.79</v>
      </c>
      <c r="L45" s="372" t="s">
        <v>490</v>
      </c>
    </row>
    <row r="46" customHeight="1" spans="1:12">
      <c r="A46" s="308"/>
      <c r="B46" s="326"/>
      <c r="C46" s="327"/>
      <c r="D46" s="345"/>
      <c r="E46" s="328"/>
      <c r="F46" s="317"/>
      <c r="G46" s="306"/>
      <c r="H46" s="337" t="s">
        <v>567</v>
      </c>
      <c r="I46" s="344" t="s">
        <v>590</v>
      </c>
      <c r="J46" s="383">
        <v>2050302</v>
      </c>
      <c r="K46" s="384">
        <v>0.15</v>
      </c>
      <c r="L46" s="372" t="s">
        <v>490</v>
      </c>
    </row>
    <row r="47" customHeight="1" spans="1:12">
      <c r="A47" s="308"/>
      <c r="B47" s="326"/>
      <c r="C47" s="327"/>
      <c r="D47" s="345"/>
      <c r="E47" s="328"/>
      <c r="F47" s="317"/>
      <c r="G47" s="306"/>
      <c r="H47" s="337" t="s">
        <v>567</v>
      </c>
      <c r="I47" s="344" t="s">
        <v>594</v>
      </c>
      <c r="J47" s="383">
        <v>2050302</v>
      </c>
      <c r="K47" s="384">
        <v>0.005</v>
      </c>
      <c r="L47" s="372" t="s">
        <v>490</v>
      </c>
    </row>
    <row r="48" customHeight="1" spans="1:12">
      <c r="A48" s="308"/>
      <c r="B48" s="329"/>
      <c r="C48" s="330"/>
      <c r="D48" s="346"/>
      <c r="E48" s="332"/>
      <c r="F48" s="317"/>
      <c r="G48" s="306"/>
      <c r="H48" s="337" t="s">
        <v>567</v>
      </c>
      <c r="I48" s="344" t="s">
        <v>595</v>
      </c>
      <c r="J48" s="383">
        <v>2050299</v>
      </c>
      <c r="K48" s="384">
        <v>30</v>
      </c>
      <c r="L48" s="372" t="s">
        <v>490</v>
      </c>
    </row>
    <row r="49" customHeight="1" spans="1:12">
      <c r="A49" s="308"/>
      <c r="B49" s="329"/>
      <c r="C49" s="344"/>
      <c r="D49" s="347"/>
      <c r="E49" s="328"/>
      <c r="F49" s="317"/>
      <c r="G49" s="306"/>
      <c r="H49" s="337" t="s">
        <v>567</v>
      </c>
      <c r="I49" s="344" t="s">
        <v>596</v>
      </c>
      <c r="J49" s="383">
        <v>2050701</v>
      </c>
      <c r="K49" s="384">
        <v>3.4</v>
      </c>
      <c r="L49" s="372" t="s">
        <v>490</v>
      </c>
    </row>
    <row r="50" customHeight="1" spans="1:12">
      <c r="A50" s="348"/>
      <c r="B50" s="329"/>
      <c r="C50" s="344"/>
      <c r="D50" s="347"/>
      <c r="E50" s="328"/>
      <c r="F50" s="317"/>
      <c r="G50" s="306"/>
      <c r="H50" s="337" t="s">
        <v>492</v>
      </c>
      <c r="I50" s="344" t="s">
        <v>597</v>
      </c>
      <c r="J50" s="383">
        <v>2050302</v>
      </c>
      <c r="K50" s="384">
        <v>0.002</v>
      </c>
      <c r="L50" s="372" t="s">
        <v>490</v>
      </c>
    </row>
    <row r="51" customHeight="1" spans="1:12">
      <c r="A51" s="348"/>
      <c r="B51" s="329"/>
      <c r="C51" s="344"/>
      <c r="D51" s="347"/>
      <c r="E51" s="328"/>
      <c r="F51" s="317"/>
      <c r="G51" s="306"/>
      <c r="H51" s="337" t="s">
        <v>598</v>
      </c>
      <c r="I51" s="344" t="s">
        <v>599</v>
      </c>
      <c r="J51" s="383">
        <v>2050203</v>
      </c>
      <c r="K51" s="384">
        <v>0.0015</v>
      </c>
      <c r="L51" s="372" t="s">
        <v>490</v>
      </c>
    </row>
    <row r="52" customHeight="1" spans="1:13">
      <c r="A52" s="348"/>
      <c r="B52" s="337"/>
      <c r="C52" s="323"/>
      <c r="D52" s="349"/>
      <c r="E52" s="350"/>
      <c r="F52" s="317"/>
      <c r="G52" s="306"/>
      <c r="H52" s="337" t="s">
        <v>598</v>
      </c>
      <c r="I52" s="344" t="s">
        <v>590</v>
      </c>
      <c r="J52" s="383">
        <v>2050204</v>
      </c>
      <c r="K52" s="384">
        <v>0.775</v>
      </c>
      <c r="L52" s="372" t="s">
        <v>490</v>
      </c>
      <c r="M52" s="385"/>
    </row>
    <row r="53" customHeight="1" spans="1:13">
      <c r="A53" s="348"/>
      <c r="B53" s="326"/>
      <c r="C53" s="327"/>
      <c r="D53" s="345"/>
      <c r="E53" s="332"/>
      <c r="F53" s="351"/>
      <c r="G53" s="306"/>
      <c r="H53" s="337" t="s">
        <v>600</v>
      </c>
      <c r="I53" s="344" t="s">
        <v>590</v>
      </c>
      <c r="J53" s="383">
        <v>2050204</v>
      </c>
      <c r="K53" s="384">
        <v>0.1</v>
      </c>
      <c r="L53" s="372" t="s">
        <v>490</v>
      </c>
      <c r="M53" s="385"/>
    </row>
    <row r="54" customHeight="1" spans="1:13">
      <c r="A54" s="348"/>
      <c r="B54" s="352"/>
      <c r="C54" s="353"/>
      <c r="D54" s="354"/>
      <c r="E54" s="355"/>
      <c r="F54" s="356"/>
      <c r="G54" s="286"/>
      <c r="H54" s="357" t="s">
        <v>601</v>
      </c>
      <c r="I54" s="386" t="s">
        <v>599</v>
      </c>
      <c r="J54" s="383">
        <v>2050203</v>
      </c>
      <c r="K54" s="384">
        <v>0.005</v>
      </c>
      <c r="L54" s="372" t="s">
        <v>490</v>
      </c>
      <c r="M54" s="385"/>
    </row>
    <row r="55" customHeight="1" spans="1:13">
      <c r="A55" s="348"/>
      <c r="B55" s="358"/>
      <c r="C55" s="359"/>
      <c r="D55" s="360"/>
      <c r="E55" s="361"/>
      <c r="F55" s="356"/>
      <c r="G55" s="286"/>
      <c r="H55" s="357" t="s">
        <v>602</v>
      </c>
      <c r="I55" s="386" t="s">
        <v>590</v>
      </c>
      <c r="J55" s="383">
        <v>2050204</v>
      </c>
      <c r="K55" s="384">
        <v>0.05</v>
      </c>
      <c r="L55" s="372" t="s">
        <v>490</v>
      </c>
      <c r="M55" s="385"/>
    </row>
    <row r="56" customHeight="1" spans="1:13">
      <c r="A56" s="348"/>
      <c r="B56" s="358"/>
      <c r="C56" s="359"/>
      <c r="D56" s="360"/>
      <c r="E56" s="361"/>
      <c r="F56" s="356"/>
      <c r="G56" s="286"/>
      <c r="H56" s="357" t="s">
        <v>603</v>
      </c>
      <c r="I56" s="386" t="s">
        <v>590</v>
      </c>
      <c r="J56" s="383">
        <v>2050204</v>
      </c>
      <c r="K56" s="384">
        <v>0.33</v>
      </c>
      <c r="L56" s="372" t="s">
        <v>490</v>
      </c>
      <c r="M56" s="385"/>
    </row>
    <row r="57" customHeight="1" spans="1:13">
      <c r="A57" s="348"/>
      <c r="B57" s="358"/>
      <c r="C57" s="359"/>
      <c r="D57" s="360"/>
      <c r="E57" s="361"/>
      <c r="F57" s="356"/>
      <c r="G57" s="286"/>
      <c r="H57" s="357" t="s">
        <v>604</v>
      </c>
      <c r="I57" s="386" t="s">
        <v>586</v>
      </c>
      <c r="J57" s="383">
        <v>2050203</v>
      </c>
      <c r="K57" s="384">
        <v>0.0015</v>
      </c>
      <c r="L57" s="372" t="s">
        <v>490</v>
      </c>
      <c r="M57" s="385"/>
    </row>
    <row r="58" customHeight="1" spans="1:13">
      <c r="A58" s="348"/>
      <c r="B58" s="358"/>
      <c r="C58" s="359"/>
      <c r="D58" s="360"/>
      <c r="E58" s="361"/>
      <c r="F58" s="356"/>
      <c r="G58" s="286"/>
      <c r="H58" s="357" t="s">
        <v>605</v>
      </c>
      <c r="I58" s="386" t="s">
        <v>586</v>
      </c>
      <c r="J58" s="383">
        <v>2050203</v>
      </c>
      <c r="K58" s="384">
        <v>0.006</v>
      </c>
      <c r="L58" s="372" t="s">
        <v>490</v>
      </c>
      <c r="M58" s="385"/>
    </row>
    <row r="59" customHeight="1" spans="1:13">
      <c r="A59" s="348"/>
      <c r="B59" s="358"/>
      <c r="C59" s="359"/>
      <c r="D59" s="360"/>
      <c r="E59" s="361"/>
      <c r="F59" s="356"/>
      <c r="G59" s="286"/>
      <c r="H59" s="293" t="s">
        <v>488</v>
      </c>
      <c r="I59" s="376" t="s">
        <v>606</v>
      </c>
      <c r="J59" s="387">
        <v>2010799</v>
      </c>
      <c r="K59" s="355">
        <v>1.4</v>
      </c>
      <c r="L59" s="372" t="s">
        <v>490</v>
      </c>
      <c r="M59" s="385"/>
    </row>
    <row r="60" customHeight="1" spans="1:13">
      <c r="A60" s="348"/>
      <c r="B60" s="358"/>
      <c r="C60" s="359"/>
      <c r="D60" s="360"/>
      <c r="E60" s="361"/>
      <c r="F60" s="356"/>
      <c r="G60" s="286"/>
      <c r="H60" s="293" t="s">
        <v>488</v>
      </c>
      <c r="I60" s="376" t="s">
        <v>455</v>
      </c>
      <c r="J60" s="387">
        <v>227</v>
      </c>
      <c r="K60" s="355">
        <v>2000</v>
      </c>
      <c r="L60" s="372" t="s">
        <v>490</v>
      </c>
      <c r="M60" s="385"/>
    </row>
    <row r="61" customHeight="1" spans="1:13">
      <c r="A61" s="348"/>
      <c r="B61" s="358"/>
      <c r="C61" s="359"/>
      <c r="D61" s="360"/>
      <c r="E61" s="361"/>
      <c r="F61" s="356"/>
      <c r="G61" s="286"/>
      <c r="H61" s="293" t="s">
        <v>488</v>
      </c>
      <c r="I61" s="376" t="s">
        <v>607</v>
      </c>
      <c r="J61" s="387">
        <v>23303</v>
      </c>
      <c r="K61" s="355">
        <v>35.83</v>
      </c>
      <c r="L61" s="372" t="s">
        <v>490</v>
      </c>
      <c r="M61" s="385"/>
    </row>
    <row r="62" customHeight="1" spans="1:13">
      <c r="A62" s="348"/>
      <c r="B62" s="358"/>
      <c r="C62" s="359"/>
      <c r="D62" s="360"/>
      <c r="E62" s="361"/>
      <c r="F62" s="356"/>
      <c r="G62" s="286"/>
      <c r="H62" s="293" t="s">
        <v>521</v>
      </c>
      <c r="I62" s="376" t="s">
        <v>608</v>
      </c>
      <c r="J62" s="387">
        <v>2013299</v>
      </c>
      <c r="K62" s="355">
        <v>611.100088</v>
      </c>
      <c r="L62" s="372" t="s">
        <v>490</v>
      </c>
      <c r="M62" s="385"/>
    </row>
    <row r="63" customHeight="1" spans="1:13">
      <c r="A63" s="348"/>
      <c r="B63" s="358"/>
      <c r="C63" s="359"/>
      <c r="D63" s="360"/>
      <c r="E63" s="361"/>
      <c r="F63" s="356"/>
      <c r="G63" s="286"/>
      <c r="H63" s="293" t="s">
        <v>521</v>
      </c>
      <c r="I63" s="376" t="s">
        <v>609</v>
      </c>
      <c r="J63" s="387">
        <v>2013299</v>
      </c>
      <c r="K63" s="355">
        <v>20.64686</v>
      </c>
      <c r="L63" s="372" t="s">
        <v>490</v>
      </c>
      <c r="M63" s="385"/>
    </row>
    <row r="64" customHeight="1" spans="1:13">
      <c r="A64" s="348"/>
      <c r="B64" s="358"/>
      <c r="C64" s="359"/>
      <c r="D64" s="360"/>
      <c r="E64" s="361"/>
      <c r="F64" s="356"/>
      <c r="G64" s="286"/>
      <c r="H64" s="293" t="s">
        <v>488</v>
      </c>
      <c r="I64" s="376" t="s">
        <v>610</v>
      </c>
      <c r="J64" s="387">
        <v>2120199</v>
      </c>
      <c r="K64" s="355">
        <v>0.000634999999997672</v>
      </c>
      <c r="L64" s="372" t="s">
        <v>490</v>
      </c>
      <c r="M64" s="385"/>
    </row>
    <row r="65" customHeight="1" spans="1:13">
      <c r="A65" s="348"/>
      <c r="B65" s="358"/>
      <c r="C65" s="359"/>
      <c r="D65" s="360"/>
      <c r="E65" s="361"/>
      <c r="F65" s="356"/>
      <c r="G65" s="286"/>
      <c r="H65" s="293" t="s">
        <v>521</v>
      </c>
      <c r="I65" s="376" t="s">
        <v>611</v>
      </c>
      <c r="J65" s="387">
        <v>2013299</v>
      </c>
      <c r="K65" s="355">
        <v>10.704788</v>
      </c>
      <c r="L65" s="372" t="s">
        <v>490</v>
      </c>
      <c r="M65" s="385"/>
    </row>
    <row r="66" customHeight="1" spans="1:13">
      <c r="A66" s="348"/>
      <c r="B66" s="358"/>
      <c r="C66" s="359"/>
      <c r="D66" s="360"/>
      <c r="E66" s="361"/>
      <c r="F66" s="356"/>
      <c r="G66" s="286"/>
      <c r="H66" s="293" t="s">
        <v>612</v>
      </c>
      <c r="I66" s="376" t="s">
        <v>613</v>
      </c>
      <c r="J66" s="387">
        <v>2013299</v>
      </c>
      <c r="K66" s="355">
        <v>10.236</v>
      </c>
      <c r="L66" s="372" t="s">
        <v>490</v>
      </c>
      <c r="M66" s="385"/>
    </row>
    <row r="67" customHeight="1" spans="1:13">
      <c r="A67" s="348"/>
      <c r="B67" s="358"/>
      <c r="C67" s="359"/>
      <c r="D67" s="360"/>
      <c r="E67" s="361"/>
      <c r="F67" s="356"/>
      <c r="G67" s="286"/>
      <c r="H67" s="352" t="s">
        <v>614</v>
      </c>
      <c r="I67" s="353" t="s">
        <v>615</v>
      </c>
      <c r="J67" s="390">
        <v>2069999</v>
      </c>
      <c r="K67" s="355">
        <v>2.8</v>
      </c>
      <c r="L67" s="372" t="s">
        <v>490</v>
      </c>
      <c r="M67" s="385"/>
    </row>
    <row r="68" customHeight="1" spans="1:13">
      <c r="A68" s="348"/>
      <c r="B68" s="358"/>
      <c r="C68" s="359"/>
      <c r="D68" s="360"/>
      <c r="E68" s="361"/>
      <c r="F68" s="356"/>
      <c r="G68" s="286"/>
      <c r="H68" s="352" t="s">
        <v>616</v>
      </c>
      <c r="I68" s="353" t="s">
        <v>617</v>
      </c>
      <c r="J68" s="390">
        <v>2069999</v>
      </c>
      <c r="K68" s="355">
        <v>200</v>
      </c>
      <c r="L68" s="372" t="s">
        <v>490</v>
      </c>
      <c r="M68" s="385"/>
    </row>
    <row r="69" customHeight="1" spans="1:13">
      <c r="A69" s="348"/>
      <c r="B69" s="358"/>
      <c r="C69" s="359"/>
      <c r="D69" s="360"/>
      <c r="E69" s="361"/>
      <c r="F69" s="356"/>
      <c r="G69" s="286"/>
      <c r="H69" s="352" t="s">
        <v>618</v>
      </c>
      <c r="I69" s="353" t="s">
        <v>619</v>
      </c>
      <c r="J69" s="390">
        <v>2240199</v>
      </c>
      <c r="K69" s="355">
        <v>40</v>
      </c>
      <c r="L69" s="372" t="s">
        <v>490</v>
      </c>
      <c r="M69" s="385"/>
    </row>
    <row r="70" customHeight="1" spans="1:12">
      <c r="A70" s="348"/>
      <c r="B70" s="358"/>
      <c r="C70" s="359"/>
      <c r="D70" s="360"/>
      <c r="E70" s="361"/>
      <c r="F70" s="356"/>
      <c r="G70" s="286"/>
      <c r="H70" s="352" t="s">
        <v>488</v>
      </c>
      <c r="I70" s="353" t="s">
        <v>620</v>
      </c>
      <c r="J70" s="390">
        <v>2299901</v>
      </c>
      <c r="K70" s="355">
        <v>200</v>
      </c>
      <c r="L70" s="372" t="s">
        <v>490</v>
      </c>
    </row>
    <row r="71" customHeight="1" spans="1:12">
      <c r="A71" s="348"/>
      <c r="B71" s="358"/>
      <c r="C71" s="359"/>
      <c r="D71" s="360"/>
      <c r="E71" s="361"/>
      <c r="F71" s="356"/>
      <c r="G71" s="286"/>
      <c r="H71" s="352" t="s">
        <v>577</v>
      </c>
      <c r="I71" s="353" t="s">
        <v>621</v>
      </c>
      <c r="J71" s="390">
        <v>2129901</v>
      </c>
      <c r="K71" s="355">
        <v>320</v>
      </c>
      <c r="L71" s="372" t="s">
        <v>490</v>
      </c>
    </row>
    <row r="72" customHeight="1" spans="1:12">
      <c r="A72" s="348"/>
      <c r="B72" s="358"/>
      <c r="C72" s="359"/>
      <c r="D72" s="360"/>
      <c r="E72" s="361"/>
      <c r="F72" s="356"/>
      <c r="G72" s="286"/>
      <c r="H72" s="357" t="s">
        <v>622</v>
      </c>
      <c r="I72" s="386" t="s">
        <v>623</v>
      </c>
      <c r="J72" s="383">
        <v>2013299</v>
      </c>
      <c r="K72" s="384">
        <v>0.008</v>
      </c>
      <c r="L72" s="372" t="s">
        <v>490</v>
      </c>
    </row>
    <row r="73" customHeight="1" spans="1:12">
      <c r="A73" s="348"/>
      <c r="B73" s="358"/>
      <c r="C73" s="359"/>
      <c r="D73" s="360"/>
      <c r="E73" s="361"/>
      <c r="F73" s="356"/>
      <c r="G73" s="286"/>
      <c r="H73" s="357" t="s">
        <v>624</v>
      </c>
      <c r="I73" s="386" t="s">
        <v>625</v>
      </c>
      <c r="J73" s="383">
        <v>2019999</v>
      </c>
      <c r="K73" s="384">
        <v>0.006</v>
      </c>
      <c r="L73" s="372" t="s">
        <v>490</v>
      </c>
    </row>
    <row r="74" customHeight="1" spans="1:12">
      <c r="A74" s="348"/>
      <c r="B74" s="358"/>
      <c r="C74" s="359"/>
      <c r="D74" s="360"/>
      <c r="E74" s="361"/>
      <c r="F74" s="356"/>
      <c r="G74" s="286"/>
      <c r="H74" s="388" t="s">
        <v>574</v>
      </c>
      <c r="I74" s="386" t="s">
        <v>626</v>
      </c>
      <c r="J74" s="375" t="s">
        <v>627</v>
      </c>
      <c r="K74" s="371">
        <v>2</v>
      </c>
      <c r="L74" s="372" t="s">
        <v>490</v>
      </c>
    </row>
    <row r="75" customHeight="1" spans="1:12">
      <c r="A75" s="348"/>
      <c r="B75" s="358"/>
      <c r="C75" s="359"/>
      <c r="D75" s="360"/>
      <c r="E75" s="361"/>
      <c r="F75" s="356"/>
      <c r="G75" s="286"/>
      <c r="H75" s="388" t="s">
        <v>574</v>
      </c>
      <c r="I75" s="386" t="s">
        <v>628</v>
      </c>
      <c r="J75" s="375">
        <v>2130199</v>
      </c>
      <c r="K75" s="355">
        <v>0.0264</v>
      </c>
      <c r="L75" s="372" t="s">
        <v>490</v>
      </c>
    </row>
    <row r="76" customHeight="1" spans="1:12">
      <c r="A76" s="348"/>
      <c r="B76" s="358"/>
      <c r="C76" s="359"/>
      <c r="D76" s="360"/>
      <c r="E76" s="361"/>
      <c r="F76" s="356"/>
      <c r="G76" s="286"/>
      <c r="H76" s="388" t="s">
        <v>574</v>
      </c>
      <c r="I76" s="386" t="s">
        <v>629</v>
      </c>
      <c r="J76" s="375" t="s">
        <v>630</v>
      </c>
      <c r="K76" s="384">
        <v>7.821872</v>
      </c>
      <c r="L76" s="372" t="s">
        <v>490</v>
      </c>
    </row>
    <row r="77" customHeight="1" spans="1:12">
      <c r="A77" s="348"/>
      <c r="B77" s="358"/>
      <c r="C77" s="359"/>
      <c r="D77" s="360"/>
      <c r="E77" s="361"/>
      <c r="F77" s="356"/>
      <c r="G77" s="286"/>
      <c r="H77" s="388" t="s">
        <v>574</v>
      </c>
      <c r="I77" s="386" t="s">
        <v>631</v>
      </c>
      <c r="J77" s="375" t="s">
        <v>632</v>
      </c>
      <c r="K77" s="384">
        <v>2</v>
      </c>
      <c r="L77" s="372" t="s">
        <v>490</v>
      </c>
    </row>
    <row r="78" customHeight="1" spans="1:12">
      <c r="A78" s="348"/>
      <c r="B78" s="358"/>
      <c r="C78" s="359"/>
      <c r="D78" s="360"/>
      <c r="E78" s="361"/>
      <c r="F78" s="356"/>
      <c r="G78" s="286"/>
      <c r="H78" s="388" t="s">
        <v>574</v>
      </c>
      <c r="I78" s="386" t="s">
        <v>633</v>
      </c>
      <c r="J78" s="375" t="s">
        <v>632</v>
      </c>
      <c r="K78" s="384">
        <v>8.39884</v>
      </c>
      <c r="L78" s="372" t="s">
        <v>490</v>
      </c>
    </row>
    <row r="79" customHeight="1" spans="1:12">
      <c r="A79" s="348"/>
      <c r="B79" s="358"/>
      <c r="C79" s="359"/>
      <c r="D79" s="360"/>
      <c r="E79" s="361"/>
      <c r="F79" s="356"/>
      <c r="G79" s="286"/>
      <c r="H79" s="388" t="s">
        <v>538</v>
      </c>
      <c r="I79" s="142" t="s">
        <v>534</v>
      </c>
      <c r="J79" s="375"/>
      <c r="K79" s="384">
        <v>8</v>
      </c>
      <c r="L79" s="372" t="s">
        <v>490</v>
      </c>
    </row>
    <row r="80" customHeight="1" spans="1:12">
      <c r="A80" s="348"/>
      <c r="B80" s="358"/>
      <c r="C80" s="359"/>
      <c r="D80" s="360"/>
      <c r="E80" s="361"/>
      <c r="F80" s="356"/>
      <c r="G80" s="286"/>
      <c r="H80" s="388" t="s">
        <v>570</v>
      </c>
      <c r="I80" s="142" t="s">
        <v>534</v>
      </c>
      <c r="J80" s="375"/>
      <c r="K80" s="384">
        <v>5</v>
      </c>
      <c r="L80" s="372" t="s">
        <v>490</v>
      </c>
    </row>
    <row r="81" customHeight="1" spans="1:12">
      <c r="A81" s="348"/>
      <c r="B81" s="358"/>
      <c r="C81" s="359"/>
      <c r="D81" s="360"/>
      <c r="E81" s="361"/>
      <c r="F81" s="356"/>
      <c r="G81" s="286"/>
      <c r="H81" s="388" t="s">
        <v>634</v>
      </c>
      <c r="I81" s="142" t="s">
        <v>534</v>
      </c>
      <c r="J81" s="375"/>
      <c r="K81" s="384">
        <v>5</v>
      </c>
      <c r="L81" s="372" t="s">
        <v>490</v>
      </c>
    </row>
    <row r="82" customHeight="1" spans="1:12">
      <c r="A82" s="348"/>
      <c r="B82" s="358"/>
      <c r="C82" s="359"/>
      <c r="D82" s="360"/>
      <c r="E82" s="361"/>
      <c r="F82" s="356"/>
      <c r="G82" s="286"/>
      <c r="H82" s="272" t="s">
        <v>546</v>
      </c>
      <c r="I82" s="273"/>
      <c r="J82" s="273"/>
      <c r="K82" s="275">
        <f>SUM(K83:K183)</f>
        <v>1693.05093</v>
      </c>
      <c r="L82" s="279"/>
    </row>
    <row r="83" customHeight="1" spans="1:12">
      <c r="A83" s="348"/>
      <c r="B83" s="358"/>
      <c r="C83" s="359"/>
      <c r="D83" s="360"/>
      <c r="E83" s="361"/>
      <c r="F83" s="356"/>
      <c r="G83" s="286"/>
      <c r="H83" s="287" t="s">
        <v>635</v>
      </c>
      <c r="I83" s="391" t="s">
        <v>636</v>
      </c>
      <c r="J83" s="377">
        <v>2081699</v>
      </c>
      <c r="K83" s="371">
        <v>4</v>
      </c>
      <c r="L83" s="392" t="s">
        <v>637</v>
      </c>
    </row>
    <row r="84" customHeight="1" spans="1:12">
      <c r="A84" s="348"/>
      <c r="B84" s="358"/>
      <c r="C84" s="359"/>
      <c r="D84" s="360"/>
      <c r="E84" s="361"/>
      <c r="F84" s="356"/>
      <c r="G84" s="286"/>
      <c r="H84" s="287" t="s">
        <v>515</v>
      </c>
      <c r="I84" s="369" t="s">
        <v>638</v>
      </c>
      <c r="J84" s="377">
        <v>2080208</v>
      </c>
      <c r="K84" s="371">
        <v>1</v>
      </c>
      <c r="L84" s="392" t="s">
        <v>639</v>
      </c>
    </row>
    <row r="85" customHeight="1" spans="1:12">
      <c r="A85" s="348"/>
      <c r="B85" s="358"/>
      <c r="C85" s="359"/>
      <c r="D85" s="360"/>
      <c r="E85" s="361"/>
      <c r="F85" s="356"/>
      <c r="G85" s="286"/>
      <c r="H85" s="287" t="s">
        <v>515</v>
      </c>
      <c r="I85" s="369" t="s">
        <v>640</v>
      </c>
      <c r="J85" s="377">
        <v>2082002</v>
      </c>
      <c r="K85" s="371">
        <v>1</v>
      </c>
      <c r="L85" s="392" t="s">
        <v>639</v>
      </c>
    </row>
    <row r="86" customHeight="1" spans="1:12">
      <c r="A86" s="348"/>
      <c r="B86" s="358"/>
      <c r="C86" s="359"/>
      <c r="D86" s="360"/>
      <c r="E86" s="361"/>
      <c r="F86" s="356"/>
      <c r="G86" s="286"/>
      <c r="H86" s="287" t="s">
        <v>511</v>
      </c>
      <c r="I86" s="391" t="s">
        <v>641</v>
      </c>
      <c r="J86" s="377">
        <v>2080102</v>
      </c>
      <c r="K86" s="371">
        <v>3</v>
      </c>
      <c r="L86" s="392" t="s">
        <v>639</v>
      </c>
    </row>
    <row r="87" customHeight="1" spans="1:12">
      <c r="A87" s="348"/>
      <c r="B87" s="358"/>
      <c r="C87" s="359"/>
      <c r="D87" s="360"/>
      <c r="E87" s="361"/>
      <c r="F87" s="356"/>
      <c r="G87" s="286"/>
      <c r="H87" s="287" t="s">
        <v>511</v>
      </c>
      <c r="I87" s="391" t="s">
        <v>642</v>
      </c>
      <c r="J87" s="377">
        <v>2080102</v>
      </c>
      <c r="K87" s="371">
        <v>2</v>
      </c>
      <c r="L87" s="392" t="s">
        <v>639</v>
      </c>
    </row>
    <row r="88" customHeight="1" spans="1:12">
      <c r="A88" s="348"/>
      <c r="B88" s="358"/>
      <c r="C88" s="359"/>
      <c r="D88" s="360"/>
      <c r="E88" s="361"/>
      <c r="F88" s="356"/>
      <c r="G88" s="299"/>
      <c r="H88" s="287" t="s">
        <v>511</v>
      </c>
      <c r="I88" s="391" t="s">
        <v>643</v>
      </c>
      <c r="J88" s="377">
        <v>2080102</v>
      </c>
      <c r="K88" s="371">
        <v>2</v>
      </c>
      <c r="L88" s="392" t="s">
        <v>639</v>
      </c>
    </row>
    <row r="89" customHeight="1" spans="1:18">
      <c r="A89" s="348"/>
      <c r="B89" s="358"/>
      <c r="C89" s="359"/>
      <c r="D89" s="360"/>
      <c r="E89" s="361"/>
      <c r="F89" s="356"/>
      <c r="G89" s="389"/>
      <c r="H89" s="287" t="s">
        <v>511</v>
      </c>
      <c r="I89" s="391" t="s">
        <v>644</v>
      </c>
      <c r="J89" s="377">
        <v>2080102</v>
      </c>
      <c r="K89" s="371">
        <v>3</v>
      </c>
      <c r="L89" s="392" t="s">
        <v>639</v>
      </c>
      <c r="N89" s="8"/>
      <c r="O89" s="393"/>
      <c r="P89" s="8"/>
      <c r="Q89" s="8"/>
      <c r="R89" s="8"/>
    </row>
    <row r="90" customHeight="1" spans="1:18">
      <c r="A90" s="348"/>
      <c r="B90" s="358"/>
      <c r="C90" s="359"/>
      <c r="D90" s="360"/>
      <c r="E90" s="361"/>
      <c r="F90" s="356"/>
      <c r="G90" s="286"/>
      <c r="H90" s="287" t="s">
        <v>511</v>
      </c>
      <c r="I90" s="391" t="s">
        <v>645</v>
      </c>
      <c r="J90" s="377">
        <v>2080102</v>
      </c>
      <c r="K90" s="371">
        <v>10</v>
      </c>
      <c r="L90" s="392" t="s">
        <v>639</v>
      </c>
      <c r="N90" s="8"/>
      <c r="O90" s="393"/>
      <c r="P90" s="8"/>
      <c r="Q90" s="8"/>
      <c r="R90" s="8"/>
    </row>
    <row r="91" customHeight="1" spans="1:12">
      <c r="A91" s="348"/>
      <c r="B91" s="358"/>
      <c r="C91" s="359"/>
      <c r="D91" s="360"/>
      <c r="E91" s="361"/>
      <c r="F91" s="356"/>
      <c r="G91" s="286"/>
      <c r="H91" s="287" t="s">
        <v>511</v>
      </c>
      <c r="I91" s="391" t="s">
        <v>646</v>
      </c>
      <c r="J91" s="377">
        <v>2080102</v>
      </c>
      <c r="K91" s="371">
        <v>10</v>
      </c>
      <c r="L91" s="392" t="s">
        <v>639</v>
      </c>
    </row>
    <row r="92" customHeight="1" spans="1:12">
      <c r="A92" s="348"/>
      <c r="B92" s="358"/>
      <c r="C92" s="359"/>
      <c r="D92" s="360"/>
      <c r="E92" s="361"/>
      <c r="F92" s="356"/>
      <c r="G92" s="286"/>
      <c r="H92" s="287" t="s">
        <v>511</v>
      </c>
      <c r="I92" s="391" t="s">
        <v>647</v>
      </c>
      <c r="J92" s="377">
        <v>2080199</v>
      </c>
      <c r="K92" s="371">
        <v>2</v>
      </c>
      <c r="L92" s="392" t="s">
        <v>639</v>
      </c>
    </row>
    <row r="93" customHeight="1" spans="1:12">
      <c r="A93" s="348"/>
      <c r="B93" s="358"/>
      <c r="C93" s="359"/>
      <c r="D93" s="360"/>
      <c r="E93" s="361"/>
      <c r="F93" s="356"/>
      <c r="G93" s="286"/>
      <c r="H93" s="287" t="s">
        <v>517</v>
      </c>
      <c r="I93" s="369" t="s">
        <v>648</v>
      </c>
      <c r="J93" s="377">
        <v>2100799</v>
      </c>
      <c r="K93" s="371">
        <v>3</v>
      </c>
      <c r="L93" s="392" t="s">
        <v>639</v>
      </c>
    </row>
    <row r="94" customHeight="1" spans="1:12">
      <c r="A94" s="348"/>
      <c r="B94" s="358"/>
      <c r="C94" s="359"/>
      <c r="D94" s="360"/>
      <c r="E94" s="361"/>
      <c r="F94" s="356"/>
      <c r="G94" s="286"/>
      <c r="H94" s="287" t="s">
        <v>517</v>
      </c>
      <c r="I94" s="391" t="s">
        <v>649</v>
      </c>
      <c r="J94" s="377">
        <v>2100102</v>
      </c>
      <c r="K94" s="394">
        <v>2</v>
      </c>
      <c r="L94" s="392" t="s">
        <v>639</v>
      </c>
    </row>
    <row r="95" customHeight="1" spans="1:12">
      <c r="A95" s="348"/>
      <c r="B95" s="358"/>
      <c r="C95" s="359"/>
      <c r="D95" s="360"/>
      <c r="E95" s="361"/>
      <c r="F95" s="356"/>
      <c r="G95" s="286"/>
      <c r="H95" s="287" t="s">
        <v>517</v>
      </c>
      <c r="I95" s="391" t="s">
        <v>650</v>
      </c>
      <c r="J95" s="377">
        <v>2100199</v>
      </c>
      <c r="K95" s="394">
        <v>3</v>
      </c>
      <c r="L95" s="392" t="s">
        <v>639</v>
      </c>
    </row>
    <row r="96" customHeight="1" spans="1:12">
      <c r="A96" s="348"/>
      <c r="B96" s="358"/>
      <c r="C96" s="359"/>
      <c r="D96" s="360"/>
      <c r="E96" s="361"/>
      <c r="F96" s="356"/>
      <c r="G96" s="286"/>
      <c r="H96" s="287" t="s">
        <v>517</v>
      </c>
      <c r="I96" s="391" t="s">
        <v>651</v>
      </c>
      <c r="J96" s="377">
        <v>2100408</v>
      </c>
      <c r="K96" s="394">
        <v>2</v>
      </c>
      <c r="L96" s="392" t="s">
        <v>639</v>
      </c>
    </row>
    <row r="97" customHeight="1" spans="1:12">
      <c r="A97" s="348"/>
      <c r="B97" s="358"/>
      <c r="C97" s="359"/>
      <c r="D97" s="360"/>
      <c r="E97" s="361"/>
      <c r="F97" s="356"/>
      <c r="G97" s="286"/>
      <c r="H97" s="287" t="s">
        <v>517</v>
      </c>
      <c r="I97" s="391" t="s">
        <v>652</v>
      </c>
      <c r="J97" s="377">
        <v>2100409</v>
      </c>
      <c r="K97" s="394">
        <v>3</v>
      </c>
      <c r="L97" s="392" t="s">
        <v>639</v>
      </c>
    </row>
    <row r="98" customHeight="1" spans="1:12">
      <c r="A98" s="348"/>
      <c r="B98" s="358"/>
      <c r="C98" s="359"/>
      <c r="D98" s="360"/>
      <c r="E98" s="361"/>
      <c r="F98" s="356"/>
      <c r="G98" s="286"/>
      <c r="H98" s="287" t="s">
        <v>517</v>
      </c>
      <c r="I98" s="391" t="s">
        <v>653</v>
      </c>
      <c r="J98" s="377">
        <v>2100499</v>
      </c>
      <c r="K98" s="394">
        <v>3</v>
      </c>
      <c r="L98" s="392" t="s">
        <v>639</v>
      </c>
    </row>
    <row r="99" customHeight="1" spans="1:12">
      <c r="A99" s="348"/>
      <c r="B99" s="358"/>
      <c r="C99" s="359"/>
      <c r="D99" s="360"/>
      <c r="E99" s="361"/>
      <c r="F99" s="356"/>
      <c r="G99" s="286"/>
      <c r="H99" s="287" t="s">
        <v>517</v>
      </c>
      <c r="I99" s="391" t="s">
        <v>654</v>
      </c>
      <c r="J99" s="377">
        <v>2100799</v>
      </c>
      <c r="K99" s="394">
        <v>2</v>
      </c>
      <c r="L99" s="392" t="s">
        <v>639</v>
      </c>
    </row>
    <row r="100" customHeight="1" spans="1:12">
      <c r="A100" s="348"/>
      <c r="B100" s="358"/>
      <c r="C100" s="359"/>
      <c r="D100" s="360"/>
      <c r="E100" s="361"/>
      <c r="F100" s="356"/>
      <c r="G100" s="286"/>
      <c r="H100" s="287" t="s">
        <v>517</v>
      </c>
      <c r="I100" s="391" t="s">
        <v>655</v>
      </c>
      <c r="J100" s="377">
        <v>2109901</v>
      </c>
      <c r="K100" s="394">
        <v>5</v>
      </c>
      <c r="L100" s="392" t="s">
        <v>639</v>
      </c>
    </row>
    <row r="101" customHeight="1" spans="1:12">
      <c r="A101" s="348"/>
      <c r="B101" s="358"/>
      <c r="C101" s="359"/>
      <c r="D101" s="360"/>
      <c r="E101" s="361"/>
      <c r="F101" s="356"/>
      <c r="G101" s="286"/>
      <c r="H101" s="293" t="s">
        <v>656</v>
      </c>
      <c r="I101" s="376" t="s">
        <v>657</v>
      </c>
      <c r="J101" s="128">
        <v>2010507</v>
      </c>
      <c r="K101" s="371">
        <v>37.94</v>
      </c>
      <c r="L101" s="392" t="s">
        <v>639</v>
      </c>
    </row>
    <row r="102" customHeight="1" spans="1:12">
      <c r="A102" s="348"/>
      <c r="B102" s="358"/>
      <c r="C102" s="359"/>
      <c r="D102" s="360"/>
      <c r="E102" s="361"/>
      <c r="F102" s="356"/>
      <c r="G102" s="286"/>
      <c r="H102" s="293" t="s">
        <v>658</v>
      </c>
      <c r="I102" s="376" t="s">
        <v>659</v>
      </c>
      <c r="J102" s="128">
        <v>2120199</v>
      </c>
      <c r="K102" s="371">
        <v>2.94</v>
      </c>
      <c r="L102" s="392" t="s">
        <v>639</v>
      </c>
    </row>
    <row r="103" customHeight="1" spans="1:12">
      <c r="A103" s="348"/>
      <c r="B103" s="358"/>
      <c r="C103" s="359"/>
      <c r="D103" s="360"/>
      <c r="E103" s="361"/>
      <c r="F103" s="356"/>
      <c r="G103" s="286"/>
      <c r="H103" s="293" t="s">
        <v>660</v>
      </c>
      <c r="I103" s="376" t="s">
        <v>661</v>
      </c>
      <c r="J103" s="128">
        <v>2200120</v>
      </c>
      <c r="K103" s="371">
        <v>4</v>
      </c>
      <c r="L103" s="392" t="s">
        <v>639</v>
      </c>
    </row>
    <row r="104" customHeight="1" spans="1:13">
      <c r="A104" s="348"/>
      <c r="B104" s="358"/>
      <c r="C104" s="359"/>
      <c r="D104" s="360"/>
      <c r="E104" s="361"/>
      <c r="F104" s="356"/>
      <c r="G104" s="286"/>
      <c r="H104" s="388" t="s">
        <v>662</v>
      </c>
      <c r="I104" s="376" t="s">
        <v>663</v>
      </c>
      <c r="J104" s="128">
        <v>2200199</v>
      </c>
      <c r="K104" s="384">
        <v>2</v>
      </c>
      <c r="L104" s="392" t="s">
        <v>639</v>
      </c>
      <c r="M104" s="8"/>
    </row>
    <row r="105" customHeight="1" spans="1:13">
      <c r="A105" s="348"/>
      <c r="B105" s="358"/>
      <c r="C105" s="359"/>
      <c r="D105" s="360"/>
      <c r="E105" s="361"/>
      <c r="F105" s="356"/>
      <c r="G105" s="286"/>
      <c r="H105" s="388" t="s">
        <v>662</v>
      </c>
      <c r="I105" s="376" t="s">
        <v>664</v>
      </c>
      <c r="J105" s="128">
        <v>2200199</v>
      </c>
      <c r="K105" s="384">
        <v>6.5</v>
      </c>
      <c r="L105" s="392" t="s">
        <v>639</v>
      </c>
      <c r="M105" s="8"/>
    </row>
    <row r="106" customHeight="1" spans="1:13">
      <c r="A106" s="348"/>
      <c r="B106" s="358"/>
      <c r="C106" s="359"/>
      <c r="D106" s="360"/>
      <c r="E106" s="361"/>
      <c r="F106" s="356"/>
      <c r="G106" s="286"/>
      <c r="H106" s="388" t="s">
        <v>665</v>
      </c>
      <c r="I106" s="376" t="s">
        <v>666</v>
      </c>
      <c r="J106" s="128">
        <v>2240199</v>
      </c>
      <c r="K106" s="384">
        <v>1</v>
      </c>
      <c r="L106" s="392" t="s">
        <v>639</v>
      </c>
      <c r="M106" s="385">
        <v>502</v>
      </c>
    </row>
    <row r="107" customHeight="1" spans="1:13">
      <c r="A107" s="348"/>
      <c r="B107" s="358"/>
      <c r="C107" s="359"/>
      <c r="D107" s="360"/>
      <c r="E107" s="361"/>
      <c r="F107" s="356"/>
      <c r="G107" s="286"/>
      <c r="H107" s="357" t="s">
        <v>550</v>
      </c>
      <c r="I107" s="386" t="s">
        <v>667</v>
      </c>
      <c r="J107" s="383">
        <v>2010605</v>
      </c>
      <c r="K107" s="384">
        <v>11</v>
      </c>
      <c r="L107" s="392" t="s">
        <v>639</v>
      </c>
      <c r="M107" s="378"/>
    </row>
    <row r="108" customHeight="1" spans="1:13">
      <c r="A108" s="348"/>
      <c r="B108" s="358"/>
      <c r="C108" s="359"/>
      <c r="D108" s="360"/>
      <c r="E108" s="361"/>
      <c r="F108" s="356"/>
      <c r="G108" s="286"/>
      <c r="H108" s="357" t="s">
        <v>550</v>
      </c>
      <c r="I108" s="386" t="s">
        <v>668</v>
      </c>
      <c r="J108" s="383">
        <v>2010699</v>
      </c>
      <c r="K108" s="384">
        <v>6</v>
      </c>
      <c r="L108" s="392" t="s">
        <v>639</v>
      </c>
      <c r="M108" s="385">
        <v>502</v>
      </c>
    </row>
    <row r="109" customHeight="1" spans="1:13">
      <c r="A109" s="348"/>
      <c r="B109" s="358"/>
      <c r="C109" s="359"/>
      <c r="D109" s="360"/>
      <c r="E109" s="361"/>
      <c r="F109" s="356"/>
      <c r="G109" s="286"/>
      <c r="H109" s="357" t="s">
        <v>550</v>
      </c>
      <c r="I109" s="386" t="s">
        <v>669</v>
      </c>
      <c r="J109" s="383">
        <v>2010699</v>
      </c>
      <c r="K109" s="384">
        <v>12</v>
      </c>
      <c r="L109" s="392" t="s">
        <v>639</v>
      </c>
      <c r="M109" s="385">
        <v>502</v>
      </c>
    </row>
    <row r="110" customHeight="1" spans="1:13">
      <c r="A110" s="348"/>
      <c r="B110" s="358"/>
      <c r="C110" s="359"/>
      <c r="D110" s="360"/>
      <c r="E110" s="361"/>
      <c r="F110" s="356"/>
      <c r="G110" s="286"/>
      <c r="H110" s="357" t="s">
        <v>550</v>
      </c>
      <c r="I110" s="386" t="s">
        <v>670</v>
      </c>
      <c r="J110" s="383">
        <v>2010699</v>
      </c>
      <c r="K110" s="384">
        <v>20</v>
      </c>
      <c r="L110" s="392" t="s">
        <v>639</v>
      </c>
      <c r="M110" s="385">
        <v>502</v>
      </c>
    </row>
    <row r="111" customHeight="1" spans="1:13">
      <c r="A111" s="348"/>
      <c r="B111" s="358"/>
      <c r="C111" s="359"/>
      <c r="D111" s="360"/>
      <c r="E111" s="361"/>
      <c r="F111" s="356"/>
      <c r="G111" s="286"/>
      <c r="H111" s="357" t="s">
        <v>504</v>
      </c>
      <c r="I111" s="386" t="s">
        <v>671</v>
      </c>
      <c r="J111" s="383">
        <v>2040602</v>
      </c>
      <c r="K111" s="384">
        <v>2</v>
      </c>
      <c r="L111" s="392" t="s">
        <v>639</v>
      </c>
      <c r="M111" s="385">
        <v>502</v>
      </c>
    </row>
    <row r="112" customHeight="1" spans="1:13">
      <c r="A112" s="348"/>
      <c r="B112" s="358"/>
      <c r="C112" s="359"/>
      <c r="D112" s="360"/>
      <c r="E112" s="361"/>
      <c r="F112" s="356"/>
      <c r="G112" s="286"/>
      <c r="H112" s="357" t="s">
        <v>504</v>
      </c>
      <c r="I112" s="386" t="s">
        <v>672</v>
      </c>
      <c r="J112" s="383">
        <v>2040607</v>
      </c>
      <c r="K112" s="384">
        <v>2</v>
      </c>
      <c r="L112" s="392" t="s">
        <v>639</v>
      </c>
      <c r="M112" s="395" t="s">
        <v>673</v>
      </c>
    </row>
    <row r="113" customHeight="1" spans="1:13">
      <c r="A113" s="348"/>
      <c r="B113" s="358"/>
      <c r="C113" s="359"/>
      <c r="D113" s="360"/>
      <c r="E113" s="361"/>
      <c r="F113" s="356"/>
      <c r="G113" s="286"/>
      <c r="H113" s="357" t="s">
        <v>674</v>
      </c>
      <c r="I113" s="386" t="s">
        <v>675</v>
      </c>
      <c r="J113" s="383">
        <v>2012502</v>
      </c>
      <c r="K113" s="384">
        <v>6.5</v>
      </c>
      <c r="L113" s="392" t="s">
        <v>639</v>
      </c>
      <c r="M113" s="385"/>
    </row>
    <row r="114" customHeight="1" spans="1:13">
      <c r="A114" s="348"/>
      <c r="B114" s="358"/>
      <c r="C114" s="359"/>
      <c r="D114" s="360"/>
      <c r="E114" s="361"/>
      <c r="F114" s="356"/>
      <c r="G114" s="286"/>
      <c r="H114" s="357" t="s">
        <v>674</v>
      </c>
      <c r="I114" s="386" t="s">
        <v>676</v>
      </c>
      <c r="J114" s="383">
        <v>2012505</v>
      </c>
      <c r="K114" s="384">
        <v>4</v>
      </c>
      <c r="L114" s="392" t="s">
        <v>639</v>
      </c>
      <c r="M114" s="378"/>
    </row>
    <row r="115" customHeight="1" spans="1:13">
      <c r="A115" s="348"/>
      <c r="B115" s="358"/>
      <c r="C115" s="359"/>
      <c r="D115" s="360"/>
      <c r="E115" s="361"/>
      <c r="F115" s="356"/>
      <c r="G115" s="286"/>
      <c r="H115" s="357" t="s">
        <v>677</v>
      </c>
      <c r="I115" s="386" t="s">
        <v>678</v>
      </c>
      <c r="J115" s="383">
        <v>2012902</v>
      </c>
      <c r="K115" s="384">
        <v>1</v>
      </c>
      <c r="L115" s="392" t="s">
        <v>639</v>
      </c>
      <c r="M115" s="378"/>
    </row>
    <row r="116" customHeight="1" spans="1:13">
      <c r="A116" s="348"/>
      <c r="B116" s="358"/>
      <c r="C116" s="359"/>
      <c r="D116" s="360"/>
      <c r="E116" s="361"/>
      <c r="F116" s="356"/>
      <c r="G116" s="286"/>
      <c r="H116" s="357" t="s">
        <v>677</v>
      </c>
      <c r="I116" s="386" t="s">
        <v>679</v>
      </c>
      <c r="J116" s="383">
        <v>2012902</v>
      </c>
      <c r="K116" s="384">
        <v>2</v>
      </c>
      <c r="L116" s="392" t="s">
        <v>639</v>
      </c>
      <c r="M116" s="385"/>
    </row>
    <row r="117" customHeight="1" spans="1:13">
      <c r="A117" s="348"/>
      <c r="B117" s="358"/>
      <c r="C117" s="359"/>
      <c r="D117" s="360"/>
      <c r="E117" s="361"/>
      <c r="F117" s="356"/>
      <c r="G117" s="286"/>
      <c r="H117" s="357" t="s">
        <v>622</v>
      </c>
      <c r="I117" s="386" t="s">
        <v>680</v>
      </c>
      <c r="J117" s="383">
        <v>2013299</v>
      </c>
      <c r="K117" s="384">
        <v>7.37</v>
      </c>
      <c r="L117" s="392" t="s">
        <v>639</v>
      </c>
      <c r="M117" s="395">
        <v>503</v>
      </c>
    </row>
    <row r="118" customHeight="1" spans="1:13">
      <c r="A118" s="348"/>
      <c r="B118" s="358"/>
      <c r="C118" s="359"/>
      <c r="D118" s="360"/>
      <c r="E118" s="361"/>
      <c r="F118" s="356"/>
      <c r="G118" s="286"/>
      <c r="H118" s="357" t="s">
        <v>624</v>
      </c>
      <c r="I118" s="386" t="s">
        <v>681</v>
      </c>
      <c r="J118" s="383">
        <v>2079999</v>
      </c>
      <c r="K118" s="384">
        <v>0.26</v>
      </c>
      <c r="L118" s="392" t="s">
        <v>639</v>
      </c>
      <c r="M118" s="385"/>
    </row>
    <row r="119" customHeight="1" spans="1:13">
      <c r="A119" s="348"/>
      <c r="B119" s="358"/>
      <c r="C119" s="359"/>
      <c r="D119" s="360"/>
      <c r="E119" s="361"/>
      <c r="F119" s="356"/>
      <c r="G119" s="286"/>
      <c r="H119" s="357" t="s">
        <v>682</v>
      </c>
      <c r="I119" s="386" t="s">
        <v>683</v>
      </c>
      <c r="J119" s="383">
        <v>2013699</v>
      </c>
      <c r="K119" s="384">
        <v>6.375</v>
      </c>
      <c r="L119" s="392" t="s">
        <v>639</v>
      </c>
      <c r="M119" s="385"/>
    </row>
    <row r="120" customHeight="1" spans="1:13">
      <c r="A120" s="348"/>
      <c r="B120" s="358"/>
      <c r="C120" s="359"/>
      <c r="D120" s="360"/>
      <c r="E120" s="361"/>
      <c r="F120" s="356"/>
      <c r="G120" s="286"/>
      <c r="H120" s="357" t="s">
        <v>684</v>
      </c>
      <c r="I120" s="386" t="s">
        <v>685</v>
      </c>
      <c r="J120" s="383">
        <v>2011099</v>
      </c>
      <c r="K120" s="384">
        <v>1.91</v>
      </c>
      <c r="L120" s="392" t="s">
        <v>639</v>
      </c>
      <c r="M120" s="385"/>
    </row>
    <row r="121" customHeight="1" spans="1:13">
      <c r="A121" s="348"/>
      <c r="B121" s="358"/>
      <c r="C121" s="359"/>
      <c r="D121" s="360"/>
      <c r="E121" s="361"/>
      <c r="F121" s="356"/>
      <c r="G121" s="286"/>
      <c r="H121" s="357" t="s">
        <v>686</v>
      </c>
      <c r="I121" s="386" t="s">
        <v>687</v>
      </c>
      <c r="J121" s="383">
        <v>2011399</v>
      </c>
      <c r="K121" s="384">
        <v>3.62</v>
      </c>
      <c r="L121" s="392" t="s">
        <v>639</v>
      </c>
      <c r="M121" s="385"/>
    </row>
    <row r="122" customHeight="1" spans="1:13">
      <c r="A122" s="348"/>
      <c r="B122" s="358"/>
      <c r="C122" s="359"/>
      <c r="D122" s="360"/>
      <c r="E122" s="361"/>
      <c r="F122" s="356"/>
      <c r="G122" s="286"/>
      <c r="H122" s="357" t="s">
        <v>688</v>
      </c>
      <c r="I122" s="386" t="s">
        <v>689</v>
      </c>
      <c r="J122" s="383">
        <v>2019999</v>
      </c>
      <c r="K122" s="384">
        <v>0.5877</v>
      </c>
      <c r="L122" s="392" t="s">
        <v>639</v>
      </c>
      <c r="M122" s="385">
        <v>502</v>
      </c>
    </row>
    <row r="123" customHeight="1" spans="1:13">
      <c r="A123" s="348"/>
      <c r="B123" s="358"/>
      <c r="C123" s="359"/>
      <c r="D123" s="360"/>
      <c r="E123" s="361"/>
      <c r="F123" s="356"/>
      <c r="G123" s="286"/>
      <c r="H123" s="357" t="s">
        <v>690</v>
      </c>
      <c r="I123" s="386" t="s">
        <v>691</v>
      </c>
      <c r="J123" s="383">
        <v>2019999</v>
      </c>
      <c r="K123" s="384">
        <v>11.85</v>
      </c>
      <c r="L123" s="392" t="s">
        <v>639</v>
      </c>
      <c r="M123" s="385"/>
    </row>
    <row r="124" customHeight="1" spans="1:13">
      <c r="A124" s="348"/>
      <c r="B124" s="358"/>
      <c r="C124" s="359"/>
      <c r="D124" s="360"/>
      <c r="E124" s="361"/>
      <c r="F124" s="356"/>
      <c r="G124" s="286"/>
      <c r="H124" s="357" t="s">
        <v>688</v>
      </c>
      <c r="I124" s="386" t="s">
        <v>692</v>
      </c>
      <c r="J124" s="383">
        <v>2019999</v>
      </c>
      <c r="K124" s="384">
        <v>20.2126</v>
      </c>
      <c r="L124" s="392" t="s">
        <v>639</v>
      </c>
      <c r="M124" s="385"/>
    </row>
    <row r="125" customHeight="1" spans="1:13">
      <c r="A125" s="348"/>
      <c r="B125" s="358"/>
      <c r="C125" s="359"/>
      <c r="D125" s="360"/>
      <c r="E125" s="361"/>
      <c r="F125" s="356"/>
      <c r="G125" s="286"/>
      <c r="H125" s="357" t="s">
        <v>688</v>
      </c>
      <c r="I125" s="386" t="s">
        <v>693</v>
      </c>
      <c r="J125" s="383">
        <v>2019999</v>
      </c>
      <c r="K125" s="384">
        <v>3.75</v>
      </c>
      <c r="L125" s="392" t="s">
        <v>639</v>
      </c>
      <c r="M125" s="385"/>
    </row>
    <row r="126" customHeight="1" spans="1:13">
      <c r="A126" s="348"/>
      <c r="B126" s="358"/>
      <c r="C126" s="359"/>
      <c r="D126" s="360"/>
      <c r="E126" s="361"/>
      <c r="F126" s="356"/>
      <c r="G126" s="286"/>
      <c r="H126" s="357" t="s">
        <v>694</v>
      </c>
      <c r="I126" s="386" t="s">
        <v>695</v>
      </c>
      <c r="J126" s="383">
        <v>2040499</v>
      </c>
      <c r="K126" s="384">
        <v>4.5</v>
      </c>
      <c r="L126" s="392" t="s">
        <v>639</v>
      </c>
      <c r="M126" s="385">
        <v>502</v>
      </c>
    </row>
    <row r="127" customHeight="1" spans="1:13">
      <c r="A127" s="348"/>
      <c r="B127" s="358"/>
      <c r="C127" s="359"/>
      <c r="D127" s="360"/>
      <c r="E127" s="361"/>
      <c r="F127" s="356"/>
      <c r="G127" s="286"/>
      <c r="H127" s="357" t="s">
        <v>553</v>
      </c>
      <c r="I127" s="386" t="s">
        <v>696</v>
      </c>
      <c r="J127" s="383">
        <v>2010804</v>
      </c>
      <c r="K127" s="384">
        <v>4</v>
      </c>
      <c r="L127" s="392" t="s">
        <v>639</v>
      </c>
      <c r="M127" s="385">
        <v>502</v>
      </c>
    </row>
    <row r="128" customHeight="1" spans="1:13">
      <c r="A128" s="348"/>
      <c r="B128" s="358"/>
      <c r="C128" s="359"/>
      <c r="D128" s="360"/>
      <c r="E128" s="361"/>
      <c r="F128" s="356"/>
      <c r="G128" s="286"/>
      <c r="H128" s="357" t="s">
        <v>553</v>
      </c>
      <c r="I128" s="386" t="s">
        <v>697</v>
      </c>
      <c r="J128" s="383">
        <v>2019999</v>
      </c>
      <c r="K128" s="384">
        <v>15</v>
      </c>
      <c r="L128" s="392" t="s">
        <v>639</v>
      </c>
      <c r="M128" s="385"/>
    </row>
    <row r="129" customHeight="1" spans="1:13">
      <c r="A129" s="348"/>
      <c r="B129" s="358"/>
      <c r="C129" s="359"/>
      <c r="D129" s="360"/>
      <c r="E129" s="361"/>
      <c r="F129" s="356"/>
      <c r="G129" s="286"/>
      <c r="H129" s="357" t="s">
        <v>698</v>
      </c>
      <c r="I129" s="386" t="s">
        <v>699</v>
      </c>
      <c r="J129" s="383">
        <v>2010108</v>
      </c>
      <c r="K129" s="384">
        <v>0.6</v>
      </c>
      <c r="L129" s="392" t="s">
        <v>639</v>
      </c>
      <c r="M129" s="385">
        <v>502</v>
      </c>
    </row>
    <row r="130" customHeight="1" spans="1:13">
      <c r="A130" s="348"/>
      <c r="B130" s="358"/>
      <c r="C130" s="359"/>
      <c r="D130" s="360"/>
      <c r="E130" s="361"/>
      <c r="F130" s="356"/>
      <c r="G130" s="286"/>
      <c r="H130" s="357" t="s">
        <v>700</v>
      </c>
      <c r="I130" s="386" t="s">
        <v>701</v>
      </c>
      <c r="J130" s="383">
        <v>2010399</v>
      </c>
      <c r="K130" s="384">
        <v>34.2364</v>
      </c>
      <c r="L130" s="392" t="s">
        <v>639</v>
      </c>
      <c r="M130" s="385">
        <v>502</v>
      </c>
    </row>
    <row r="131" customHeight="1" spans="1:13">
      <c r="A131" s="348"/>
      <c r="B131" s="358"/>
      <c r="C131" s="359"/>
      <c r="D131" s="360"/>
      <c r="E131" s="361"/>
      <c r="F131" s="356"/>
      <c r="G131" s="286"/>
      <c r="H131" s="357" t="s">
        <v>700</v>
      </c>
      <c r="I131" s="386" t="s">
        <v>702</v>
      </c>
      <c r="J131" s="383">
        <v>2010399</v>
      </c>
      <c r="K131" s="384">
        <v>10</v>
      </c>
      <c r="L131" s="392" t="s">
        <v>639</v>
      </c>
      <c r="M131" s="385">
        <v>502</v>
      </c>
    </row>
    <row r="132" customHeight="1" spans="1:13">
      <c r="A132" s="348"/>
      <c r="B132" s="358"/>
      <c r="C132" s="359"/>
      <c r="D132" s="360"/>
      <c r="E132" s="361"/>
      <c r="F132" s="356"/>
      <c r="G132" s="286"/>
      <c r="H132" s="357" t="s">
        <v>700</v>
      </c>
      <c r="I132" s="386" t="s">
        <v>703</v>
      </c>
      <c r="J132" s="383">
        <v>2010399</v>
      </c>
      <c r="K132" s="384">
        <v>19</v>
      </c>
      <c r="L132" s="392" t="s">
        <v>639</v>
      </c>
      <c r="M132" s="385">
        <v>502</v>
      </c>
    </row>
    <row r="133" customHeight="1" spans="1:13">
      <c r="A133" s="348"/>
      <c r="B133" s="358"/>
      <c r="C133" s="359"/>
      <c r="D133" s="360"/>
      <c r="E133" s="361"/>
      <c r="F133" s="356"/>
      <c r="G133" s="286"/>
      <c r="H133" s="357" t="s">
        <v>700</v>
      </c>
      <c r="I133" s="386" t="s">
        <v>704</v>
      </c>
      <c r="J133" s="383">
        <v>2010399</v>
      </c>
      <c r="K133" s="384">
        <v>36.3227</v>
      </c>
      <c r="L133" s="392" t="s">
        <v>639</v>
      </c>
      <c r="M133" s="378"/>
    </row>
    <row r="134" customHeight="1" spans="1:13">
      <c r="A134" s="348"/>
      <c r="B134" s="358"/>
      <c r="C134" s="359"/>
      <c r="D134" s="360"/>
      <c r="E134" s="361"/>
      <c r="F134" s="356"/>
      <c r="G134" s="286"/>
      <c r="H134" s="357" t="s">
        <v>700</v>
      </c>
      <c r="I134" s="386" t="s">
        <v>705</v>
      </c>
      <c r="J134" s="383">
        <v>2010399</v>
      </c>
      <c r="K134" s="384">
        <v>1</v>
      </c>
      <c r="L134" s="392" t="s">
        <v>639</v>
      </c>
      <c r="M134" s="385">
        <v>502</v>
      </c>
    </row>
    <row r="135" customHeight="1" spans="1:13">
      <c r="A135" s="348"/>
      <c r="B135" s="358"/>
      <c r="C135" s="359"/>
      <c r="D135" s="360"/>
      <c r="E135" s="361"/>
      <c r="F135" s="356"/>
      <c r="G135" s="286"/>
      <c r="H135" s="357" t="s">
        <v>700</v>
      </c>
      <c r="I135" s="386" t="s">
        <v>706</v>
      </c>
      <c r="J135" s="383">
        <v>2010399</v>
      </c>
      <c r="K135" s="384">
        <v>1</v>
      </c>
      <c r="L135" s="392" t="s">
        <v>639</v>
      </c>
      <c r="M135" s="385">
        <v>503</v>
      </c>
    </row>
    <row r="136" customHeight="1" spans="1:13">
      <c r="A136" s="348"/>
      <c r="B136" s="358"/>
      <c r="C136" s="359"/>
      <c r="D136" s="360"/>
      <c r="E136" s="361"/>
      <c r="F136" s="356"/>
      <c r="G136" s="286"/>
      <c r="H136" s="357" t="s">
        <v>700</v>
      </c>
      <c r="I136" s="386" t="s">
        <v>707</v>
      </c>
      <c r="J136" s="383">
        <v>2010399</v>
      </c>
      <c r="K136" s="384">
        <v>4</v>
      </c>
      <c r="L136" s="392" t="s">
        <v>639</v>
      </c>
      <c r="M136" s="385"/>
    </row>
    <row r="137" customHeight="1" spans="1:13">
      <c r="A137" s="348"/>
      <c r="B137" s="358"/>
      <c r="C137" s="359"/>
      <c r="D137" s="360"/>
      <c r="E137" s="361"/>
      <c r="F137" s="356"/>
      <c r="G137" s="286"/>
      <c r="H137" s="357" t="s">
        <v>700</v>
      </c>
      <c r="I137" s="386" t="s">
        <v>708</v>
      </c>
      <c r="J137" s="383">
        <v>2010399</v>
      </c>
      <c r="K137" s="384">
        <v>5</v>
      </c>
      <c r="L137" s="392" t="s">
        <v>639</v>
      </c>
      <c r="M137" s="385">
        <v>502</v>
      </c>
    </row>
    <row r="138" customHeight="1" spans="1:13">
      <c r="A138" s="348"/>
      <c r="B138" s="358"/>
      <c r="C138" s="359"/>
      <c r="D138" s="360"/>
      <c r="E138" s="361"/>
      <c r="F138" s="356"/>
      <c r="G138" s="286"/>
      <c r="H138" s="357" t="s">
        <v>700</v>
      </c>
      <c r="I138" s="386" t="s">
        <v>709</v>
      </c>
      <c r="J138" s="383">
        <v>2010399</v>
      </c>
      <c r="K138" s="384">
        <v>10</v>
      </c>
      <c r="L138" s="392" t="s">
        <v>639</v>
      </c>
      <c r="M138" s="385">
        <v>502</v>
      </c>
    </row>
    <row r="139" customHeight="1" spans="1:13">
      <c r="A139" s="348"/>
      <c r="B139" s="358"/>
      <c r="C139" s="359"/>
      <c r="D139" s="360"/>
      <c r="E139" s="361"/>
      <c r="F139" s="356"/>
      <c r="G139" s="286"/>
      <c r="H139" s="357" t="s">
        <v>700</v>
      </c>
      <c r="I139" s="386" t="s">
        <v>710</v>
      </c>
      <c r="J139" s="383">
        <v>2010399</v>
      </c>
      <c r="K139" s="384">
        <v>30</v>
      </c>
      <c r="L139" s="392" t="s">
        <v>639</v>
      </c>
      <c r="M139" s="385">
        <v>502</v>
      </c>
    </row>
    <row r="140" customHeight="1" spans="1:13">
      <c r="A140" s="348"/>
      <c r="B140" s="358"/>
      <c r="C140" s="359"/>
      <c r="D140" s="360"/>
      <c r="E140" s="361"/>
      <c r="F140" s="356"/>
      <c r="G140" s="286"/>
      <c r="H140" s="357" t="s">
        <v>700</v>
      </c>
      <c r="I140" s="386" t="s">
        <v>703</v>
      </c>
      <c r="J140" s="383">
        <v>2010399</v>
      </c>
      <c r="K140" s="384">
        <v>70</v>
      </c>
      <c r="L140" s="392" t="s">
        <v>639</v>
      </c>
      <c r="M140" s="378"/>
    </row>
    <row r="141" customHeight="1" spans="1:13">
      <c r="A141" s="348"/>
      <c r="B141" s="358"/>
      <c r="C141" s="359"/>
      <c r="D141" s="360"/>
      <c r="E141" s="361"/>
      <c r="F141" s="356"/>
      <c r="G141" s="286"/>
      <c r="H141" s="357" t="s">
        <v>700</v>
      </c>
      <c r="I141" s="386" t="s">
        <v>711</v>
      </c>
      <c r="J141" s="383">
        <v>2012604</v>
      </c>
      <c r="K141" s="384">
        <v>0.0055</v>
      </c>
      <c r="L141" s="392" t="s">
        <v>639</v>
      </c>
      <c r="M141" s="385">
        <v>502</v>
      </c>
    </row>
    <row r="142" customHeight="1" spans="1:13">
      <c r="A142" s="348"/>
      <c r="B142" s="358"/>
      <c r="C142" s="359"/>
      <c r="D142" s="360"/>
      <c r="E142" s="361"/>
      <c r="F142" s="356"/>
      <c r="G142" s="286"/>
      <c r="H142" s="357" t="s">
        <v>567</v>
      </c>
      <c r="I142" s="386" t="s">
        <v>712</v>
      </c>
      <c r="J142" s="383">
        <v>2050299</v>
      </c>
      <c r="K142" s="384">
        <v>7</v>
      </c>
      <c r="L142" s="392" t="s">
        <v>639</v>
      </c>
      <c r="M142" s="385">
        <v>502</v>
      </c>
    </row>
    <row r="143" customHeight="1" spans="1:13">
      <c r="A143" s="348"/>
      <c r="B143" s="358"/>
      <c r="C143" s="359"/>
      <c r="D143" s="360"/>
      <c r="E143" s="361"/>
      <c r="F143" s="356"/>
      <c r="G143" s="286"/>
      <c r="H143" s="357" t="s">
        <v>567</v>
      </c>
      <c r="I143" s="386" t="s">
        <v>713</v>
      </c>
      <c r="J143" s="383">
        <v>2050299</v>
      </c>
      <c r="K143" s="384">
        <v>6</v>
      </c>
      <c r="L143" s="392" t="s">
        <v>639</v>
      </c>
      <c r="M143" s="378"/>
    </row>
    <row r="144" customHeight="1" spans="1:13">
      <c r="A144" s="348"/>
      <c r="B144" s="358"/>
      <c r="C144" s="359"/>
      <c r="D144" s="360"/>
      <c r="E144" s="361"/>
      <c r="F144" s="356"/>
      <c r="G144" s="286"/>
      <c r="H144" s="357" t="s">
        <v>567</v>
      </c>
      <c r="I144" s="386" t="s">
        <v>714</v>
      </c>
      <c r="J144" s="383">
        <v>2050299</v>
      </c>
      <c r="K144" s="384">
        <v>4.5</v>
      </c>
      <c r="L144" s="392" t="s">
        <v>639</v>
      </c>
      <c r="M144" s="385"/>
    </row>
    <row r="145" customHeight="1" spans="1:13">
      <c r="A145" s="348"/>
      <c r="B145" s="358"/>
      <c r="C145" s="359"/>
      <c r="D145" s="360"/>
      <c r="E145" s="361"/>
      <c r="F145" s="356"/>
      <c r="G145" s="286"/>
      <c r="H145" s="357" t="s">
        <v>567</v>
      </c>
      <c r="I145" s="386" t="s">
        <v>715</v>
      </c>
      <c r="J145" s="383">
        <v>2050299</v>
      </c>
      <c r="K145" s="384">
        <v>145.8</v>
      </c>
      <c r="L145" s="392" t="s">
        <v>639</v>
      </c>
      <c r="M145" s="385"/>
    </row>
    <row r="146" customHeight="1" spans="1:13">
      <c r="A146" s="348"/>
      <c r="B146" s="358"/>
      <c r="C146" s="359"/>
      <c r="D146" s="360"/>
      <c r="E146" s="361"/>
      <c r="F146" s="356"/>
      <c r="G146" s="286"/>
      <c r="H146" s="357" t="s">
        <v>567</v>
      </c>
      <c r="I146" s="386" t="s">
        <v>716</v>
      </c>
      <c r="J146" s="383">
        <v>2050299</v>
      </c>
      <c r="K146" s="384">
        <v>14</v>
      </c>
      <c r="L146" s="392" t="s">
        <v>639</v>
      </c>
      <c r="M146" s="378"/>
    </row>
    <row r="147" customHeight="1" spans="1:13">
      <c r="A147" s="348"/>
      <c r="B147" s="358"/>
      <c r="C147" s="359"/>
      <c r="D147" s="360"/>
      <c r="E147" s="361"/>
      <c r="F147" s="356"/>
      <c r="G147" s="286"/>
      <c r="H147" s="357" t="s">
        <v>567</v>
      </c>
      <c r="I147" s="386" t="s">
        <v>717</v>
      </c>
      <c r="J147" s="383">
        <v>2050299</v>
      </c>
      <c r="K147" s="384">
        <v>11</v>
      </c>
      <c r="L147" s="392" t="s">
        <v>639</v>
      </c>
      <c r="M147" s="385">
        <v>503</v>
      </c>
    </row>
    <row r="148" customHeight="1" spans="1:13">
      <c r="A148" s="348"/>
      <c r="B148" s="358"/>
      <c r="C148" s="359"/>
      <c r="D148" s="360"/>
      <c r="E148" s="361"/>
      <c r="F148" s="356"/>
      <c r="G148" s="286"/>
      <c r="H148" s="357" t="s">
        <v>567</v>
      </c>
      <c r="I148" s="386" t="s">
        <v>718</v>
      </c>
      <c r="J148" s="383">
        <v>2050299</v>
      </c>
      <c r="K148" s="384">
        <v>90</v>
      </c>
      <c r="L148" s="392" t="s">
        <v>639</v>
      </c>
      <c r="M148" s="378"/>
    </row>
    <row r="149" customHeight="1" spans="1:13">
      <c r="A149" s="348"/>
      <c r="B149" s="358"/>
      <c r="C149" s="359"/>
      <c r="D149" s="360"/>
      <c r="E149" s="361"/>
      <c r="F149" s="356"/>
      <c r="G149" s="286"/>
      <c r="H149" s="357" t="s">
        <v>567</v>
      </c>
      <c r="I149" s="386" t="s">
        <v>719</v>
      </c>
      <c r="J149" s="383">
        <v>2050299</v>
      </c>
      <c r="K149" s="384">
        <v>200</v>
      </c>
      <c r="L149" s="392" t="s">
        <v>639</v>
      </c>
      <c r="M149" s="385"/>
    </row>
    <row r="150" customHeight="1" spans="1:13">
      <c r="A150" s="348"/>
      <c r="B150" s="358"/>
      <c r="C150" s="359"/>
      <c r="D150" s="360"/>
      <c r="E150" s="361"/>
      <c r="F150" s="356"/>
      <c r="G150" s="286"/>
      <c r="H150" s="357" t="s">
        <v>567</v>
      </c>
      <c r="I150" s="386" t="s">
        <v>720</v>
      </c>
      <c r="J150" s="383">
        <v>2050299</v>
      </c>
      <c r="K150" s="384">
        <v>1.92</v>
      </c>
      <c r="L150" s="392" t="s">
        <v>639</v>
      </c>
      <c r="M150" s="378"/>
    </row>
    <row r="151" customHeight="1" spans="1:13">
      <c r="A151" s="348"/>
      <c r="B151" s="358"/>
      <c r="C151" s="359"/>
      <c r="D151" s="360"/>
      <c r="E151" s="361"/>
      <c r="F151" s="356"/>
      <c r="G151" s="286"/>
      <c r="H151" s="357" t="s">
        <v>567</v>
      </c>
      <c r="I151" s="386" t="s">
        <v>721</v>
      </c>
      <c r="J151" s="383">
        <v>2050299</v>
      </c>
      <c r="K151" s="384">
        <v>243</v>
      </c>
      <c r="L151" s="392" t="s">
        <v>639</v>
      </c>
      <c r="M151" s="385">
        <v>502</v>
      </c>
    </row>
    <row r="152" customHeight="1" spans="1:13">
      <c r="A152" s="348"/>
      <c r="B152" s="358"/>
      <c r="C152" s="359"/>
      <c r="D152" s="360"/>
      <c r="E152" s="361"/>
      <c r="F152" s="356"/>
      <c r="G152" s="286"/>
      <c r="H152" s="357" t="s">
        <v>567</v>
      </c>
      <c r="I152" s="386" t="s">
        <v>716</v>
      </c>
      <c r="J152" s="383">
        <v>2050299</v>
      </c>
      <c r="K152" s="384">
        <v>17</v>
      </c>
      <c r="L152" s="392" t="s">
        <v>639</v>
      </c>
      <c r="M152" s="385">
        <v>503</v>
      </c>
    </row>
    <row r="153" customHeight="1" spans="1:13">
      <c r="A153" s="348"/>
      <c r="B153" s="358"/>
      <c r="C153" s="359"/>
      <c r="D153" s="360"/>
      <c r="E153" s="361"/>
      <c r="F153" s="356"/>
      <c r="G153" s="286"/>
      <c r="H153" s="357" t="s">
        <v>722</v>
      </c>
      <c r="I153" s="386" t="s">
        <v>107</v>
      </c>
      <c r="J153" s="383">
        <v>201105</v>
      </c>
      <c r="K153" s="384">
        <v>3</v>
      </c>
      <c r="L153" s="392" t="s">
        <v>639</v>
      </c>
      <c r="M153" s="385">
        <v>502</v>
      </c>
    </row>
    <row r="154" customHeight="1" spans="1:13">
      <c r="A154" s="348"/>
      <c r="B154" s="358"/>
      <c r="C154" s="359"/>
      <c r="D154" s="360"/>
      <c r="E154" s="361"/>
      <c r="F154" s="356"/>
      <c r="G154" s="286"/>
      <c r="H154" s="357" t="s">
        <v>722</v>
      </c>
      <c r="I154" s="386" t="s">
        <v>723</v>
      </c>
      <c r="J154" s="383">
        <v>2011199</v>
      </c>
      <c r="K154" s="384">
        <v>1.88</v>
      </c>
      <c r="L154" s="392" t="s">
        <v>639</v>
      </c>
      <c r="M154" s="385"/>
    </row>
    <row r="155" customHeight="1" spans="1:13">
      <c r="A155" s="348"/>
      <c r="B155" s="358"/>
      <c r="C155" s="359"/>
      <c r="D155" s="360"/>
      <c r="E155" s="361"/>
      <c r="F155" s="356"/>
      <c r="G155" s="286"/>
      <c r="H155" s="357" t="s">
        <v>724</v>
      </c>
      <c r="I155" s="386" t="s">
        <v>725</v>
      </c>
      <c r="J155" s="383">
        <v>2120199</v>
      </c>
      <c r="K155" s="384">
        <v>5</v>
      </c>
      <c r="L155" s="392" t="s">
        <v>639</v>
      </c>
      <c r="M155" s="385"/>
    </row>
    <row r="156" customHeight="1" spans="1:13">
      <c r="A156" s="348"/>
      <c r="B156" s="358"/>
      <c r="C156" s="359"/>
      <c r="D156" s="360"/>
      <c r="E156" s="361"/>
      <c r="F156" s="356"/>
      <c r="G156" s="286"/>
      <c r="H156" s="357" t="s">
        <v>726</v>
      </c>
      <c r="I156" s="386" t="s">
        <v>727</v>
      </c>
      <c r="J156" s="383">
        <v>2040299</v>
      </c>
      <c r="K156" s="384">
        <v>10</v>
      </c>
      <c r="L156" s="392" t="s">
        <v>639</v>
      </c>
      <c r="M156" s="378"/>
    </row>
    <row r="157" customHeight="1" spans="1:13">
      <c r="A157" s="348"/>
      <c r="B157" s="358"/>
      <c r="C157" s="359"/>
      <c r="D157" s="360"/>
      <c r="E157" s="361"/>
      <c r="F157" s="356"/>
      <c r="G157" s="286"/>
      <c r="H157" s="357" t="s">
        <v>726</v>
      </c>
      <c r="I157" s="386" t="s">
        <v>544</v>
      </c>
      <c r="J157" s="383">
        <v>2040299</v>
      </c>
      <c r="K157" s="384">
        <v>20</v>
      </c>
      <c r="L157" s="392" t="s">
        <v>639</v>
      </c>
      <c r="M157" s="378"/>
    </row>
    <row r="158" customHeight="1" spans="1:13">
      <c r="A158" s="348"/>
      <c r="B158" s="358"/>
      <c r="C158" s="359"/>
      <c r="D158" s="360"/>
      <c r="E158" s="361"/>
      <c r="F158" s="356"/>
      <c r="G158" s="286"/>
      <c r="H158" s="357" t="s">
        <v>726</v>
      </c>
      <c r="I158" s="386" t="s">
        <v>728</v>
      </c>
      <c r="J158" s="383">
        <v>2040299</v>
      </c>
      <c r="K158" s="384">
        <v>200</v>
      </c>
      <c r="L158" s="392" t="s">
        <v>639</v>
      </c>
      <c r="M158" s="378"/>
    </row>
    <row r="159" customHeight="1" spans="1:12">
      <c r="A159" s="348"/>
      <c r="B159" s="358"/>
      <c r="C159" s="359"/>
      <c r="D159" s="360"/>
      <c r="E159" s="361"/>
      <c r="F159" s="356"/>
      <c r="G159" s="286"/>
      <c r="H159" s="388" t="s">
        <v>574</v>
      </c>
      <c r="I159" s="386" t="s">
        <v>729</v>
      </c>
      <c r="J159" s="375" t="s">
        <v>627</v>
      </c>
      <c r="K159" s="371">
        <v>5.2</v>
      </c>
      <c r="L159" s="392" t="s">
        <v>639</v>
      </c>
    </row>
    <row r="160" customHeight="1" spans="1:12">
      <c r="A160" s="348"/>
      <c r="B160" s="358"/>
      <c r="C160" s="359"/>
      <c r="D160" s="360"/>
      <c r="E160" s="361"/>
      <c r="F160" s="356"/>
      <c r="G160" s="286"/>
      <c r="H160" s="388" t="s">
        <v>574</v>
      </c>
      <c r="I160" s="386" t="s">
        <v>730</v>
      </c>
      <c r="J160" s="375" t="s">
        <v>627</v>
      </c>
      <c r="K160" s="371">
        <v>3.75</v>
      </c>
      <c r="L160" s="392" t="s">
        <v>639</v>
      </c>
    </row>
    <row r="161" customHeight="1" spans="1:12">
      <c r="A161" s="348"/>
      <c r="B161" s="358"/>
      <c r="C161" s="359"/>
      <c r="D161" s="360"/>
      <c r="E161" s="361"/>
      <c r="F161" s="356"/>
      <c r="G161" s="286"/>
      <c r="H161" s="388" t="s">
        <v>574</v>
      </c>
      <c r="I161" s="386" t="s">
        <v>731</v>
      </c>
      <c r="J161" s="375" t="s">
        <v>732</v>
      </c>
      <c r="K161" s="384">
        <v>2</v>
      </c>
      <c r="L161" s="392" t="s">
        <v>639</v>
      </c>
    </row>
    <row r="162" customHeight="1" spans="1:12">
      <c r="A162" s="348"/>
      <c r="B162" s="358"/>
      <c r="C162" s="359"/>
      <c r="D162" s="360"/>
      <c r="E162" s="361"/>
      <c r="F162" s="356"/>
      <c r="G162" s="286"/>
      <c r="H162" s="388" t="s">
        <v>574</v>
      </c>
      <c r="I162" s="386" t="s">
        <v>733</v>
      </c>
      <c r="J162" s="375" t="s">
        <v>734</v>
      </c>
      <c r="K162" s="384">
        <v>2</v>
      </c>
      <c r="L162" s="392" t="s">
        <v>639</v>
      </c>
    </row>
    <row r="163" customHeight="1" spans="1:12">
      <c r="A163" s="348"/>
      <c r="B163" s="358"/>
      <c r="C163" s="359"/>
      <c r="D163" s="360"/>
      <c r="E163" s="361"/>
      <c r="F163" s="356"/>
      <c r="G163" s="286"/>
      <c r="H163" s="388" t="s">
        <v>574</v>
      </c>
      <c r="I163" s="386" t="s">
        <v>735</v>
      </c>
      <c r="J163" s="375" t="s">
        <v>572</v>
      </c>
      <c r="K163" s="384">
        <v>9.89553</v>
      </c>
      <c r="L163" s="392" t="s">
        <v>639</v>
      </c>
    </row>
    <row r="164" customHeight="1" spans="1:12">
      <c r="A164" s="348"/>
      <c r="B164" s="358"/>
      <c r="C164" s="359"/>
      <c r="D164" s="360"/>
      <c r="E164" s="361"/>
      <c r="F164" s="356"/>
      <c r="G164" s="286"/>
      <c r="H164" s="388" t="s">
        <v>574</v>
      </c>
      <c r="I164" s="386" t="s">
        <v>736</v>
      </c>
      <c r="J164" s="375" t="s">
        <v>572</v>
      </c>
      <c r="K164" s="384">
        <v>10</v>
      </c>
      <c r="L164" s="392" t="s">
        <v>639</v>
      </c>
    </row>
    <row r="165" customHeight="1" spans="1:12">
      <c r="A165" s="348"/>
      <c r="B165" s="358"/>
      <c r="C165" s="359"/>
      <c r="D165" s="360"/>
      <c r="E165" s="361"/>
      <c r="F165" s="356"/>
      <c r="G165" s="286"/>
      <c r="H165" s="357" t="s">
        <v>737</v>
      </c>
      <c r="I165" s="386" t="s">
        <v>738</v>
      </c>
      <c r="J165" s="375" t="s">
        <v>739</v>
      </c>
      <c r="K165" s="384">
        <v>2</v>
      </c>
      <c r="L165" s="392" t="s">
        <v>639</v>
      </c>
    </row>
    <row r="166" customHeight="1" spans="1:12">
      <c r="A166" s="348"/>
      <c r="B166" s="358"/>
      <c r="C166" s="359"/>
      <c r="D166" s="360"/>
      <c r="E166" s="361"/>
      <c r="F166" s="356"/>
      <c r="G166" s="286"/>
      <c r="H166" s="357" t="s">
        <v>740</v>
      </c>
      <c r="I166" s="386" t="s">
        <v>191</v>
      </c>
      <c r="J166" s="375" t="s">
        <v>741</v>
      </c>
      <c r="K166" s="384">
        <v>1</v>
      </c>
      <c r="L166" s="392" t="s">
        <v>639</v>
      </c>
    </row>
    <row r="167" customHeight="1" spans="1:12">
      <c r="A167" s="348"/>
      <c r="B167" s="358"/>
      <c r="C167" s="359"/>
      <c r="D167" s="360"/>
      <c r="E167" s="361"/>
      <c r="F167" s="356"/>
      <c r="G167" s="286"/>
      <c r="H167" s="388" t="s">
        <v>515</v>
      </c>
      <c r="I167" s="386" t="s">
        <v>742</v>
      </c>
      <c r="J167" s="375" t="s">
        <v>743</v>
      </c>
      <c r="K167" s="384">
        <v>55.99</v>
      </c>
      <c r="L167" s="392" t="s">
        <v>639</v>
      </c>
    </row>
    <row r="168" customHeight="1" spans="1:12">
      <c r="A168" s="348"/>
      <c r="B168" s="358"/>
      <c r="C168" s="359"/>
      <c r="D168" s="360"/>
      <c r="E168" s="361"/>
      <c r="F168" s="356"/>
      <c r="G168" s="286"/>
      <c r="H168" s="388" t="s">
        <v>515</v>
      </c>
      <c r="I168" s="386" t="s">
        <v>744</v>
      </c>
      <c r="J168" s="375" t="s">
        <v>745</v>
      </c>
      <c r="K168" s="384">
        <v>0.0655</v>
      </c>
      <c r="L168" s="392" t="s">
        <v>639</v>
      </c>
    </row>
    <row r="169" customHeight="1" spans="1:12">
      <c r="A169" s="348"/>
      <c r="B169" s="358"/>
      <c r="C169" s="359"/>
      <c r="D169" s="360"/>
      <c r="E169" s="361"/>
      <c r="F169" s="356"/>
      <c r="G169" s="286"/>
      <c r="H169" s="388" t="s">
        <v>515</v>
      </c>
      <c r="I169" s="386" t="s">
        <v>744</v>
      </c>
      <c r="J169" s="375" t="s">
        <v>745</v>
      </c>
      <c r="K169" s="384">
        <v>5</v>
      </c>
      <c r="L169" s="392" t="s">
        <v>639</v>
      </c>
    </row>
    <row r="170" customHeight="1" spans="1:12">
      <c r="A170" s="348"/>
      <c r="B170" s="358"/>
      <c r="C170" s="359"/>
      <c r="D170" s="360"/>
      <c r="E170" s="361"/>
      <c r="F170" s="356"/>
      <c r="G170" s="286"/>
      <c r="H170" s="357" t="s">
        <v>746</v>
      </c>
      <c r="I170" s="386" t="s">
        <v>747</v>
      </c>
      <c r="J170" s="375" t="s">
        <v>734</v>
      </c>
      <c r="K170" s="384">
        <v>2</v>
      </c>
      <c r="L170" s="392" t="s">
        <v>639</v>
      </c>
    </row>
    <row r="171" customHeight="1" spans="1:12">
      <c r="A171" s="348"/>
      <c r="B171" s="358"/>
      <c r="C171" s="359"/>
      <c r="D171" s="360"/>
      <c r="E171" s="361"/>
      <c r="F171" s="356"/>
      <c r="G171" s="286"/>
      <c r="H171" s="388" t="s">
        <v>574</v>
      </c>
      <c r="I171" s="386" t="s">
        <v>748</v>
      </c>
      <c r="J171" s="375" t="s">
        <v>749</v>
      </c>
      <c r="K171" s="384">
        <v>30</v>
      </c>
      <c r="L171" s="392" t="s">
        <v>639</v>
      </c>
    </row>
    <row r="172" customHeight="1" spans="1:12">
      <c r="A172" s="348"/>
      <c r="B172" s="358"/>
      <c r="C172" s="359"/>
      <c r="D172" s="360"/>
      <c r="E172" s="361"/>
      <c r="F172" s="356"/>
      <c r="G172" s="286"/>
      <c r="H172" s="352" t="s">
        <v>614</v>
      </c>
      <c r="I172" s="353" t="s">
        <v>750</v>
      </c>
      <c r="J172" s="390">
        <v>2060499</v>
      </c>
      <c r="K172" s="355">
        <v>5</v>
      </c>
      <c r="L172" s="392" t="s">
        <v>639</v>
      </c>
    </row>
    <row r="173" customHeight="1" spans="1:12">
      <c r="A173" s="348"/>
      <c r="B173" s="358"/>
      <c r="C173" s="359"/>
      <c r="D173" s="360"/>
      <c r="E173" s="361"/>
      <c r="F173" s="356"/>
      <c r="G173" s="286"/>
      <c r="H173" s="388" t="s">
        <v>751</v>
      </c>
      <c r="I173" s="376" t="s">
        <v>752</v>
      </c>
      <c r="J173" s="383">
        <v>2010499</v>
      </c>
      <c r="K173" s="371">
        <v>6.72</v>
      </c>
      <c r="L173" s="392" t="s">
        <v>639</v>
      </c>
    </row>
    <row r="174" customHeight="1" spans="1:12">
      <c r="A174" s="348"/>
      <c r="B174" s="358"/>
      <c r="C174" s="359"/>
      <c r="D174" s="360"/>
      <c r="E174" s="361"/>
      <c r="F174" s="356"/>
      <c r="G174" s="286"/>
      <c r="H174" s="388" t="s">
        <v>751</v>
      </c>
      <c r="I174" s="376" t="s">
        <v>753</v>
      </c>
      <c r="J174" s="383">
        <v>2019999</v>
      </c>
      <c r="K174" s="371">
        <v>2.12</v>
      </c>
      <c r="L174" s="392" t="s">
        <v>639</v>
      </c>
    </row>
    <row r="175" customHeight="1" spans="1:12">
      <c r="A175" s="348"/>
      <c r="B175" s="358"/>
      <c r="C175" s="359"/>
      <c r="D175" s="360"/>
      <c r="E175" s="361"/>
      <c r="F175" s="356"/>
      <c r="G175" s="286"/>
      <c r="H175" s="352" t="s">
        <v>754</v>
      </c>
      <c r="I175" s="396" t="s">
        <v>755</v>
      </c>
      <c r="J175" s="383">
        <v>2013805</v>
      </c>
      <c r="K175" s="384">
        <v>5</v>
      </c>
      <c r="L175" s="392" t="s">
        <v>639</v>
      </c>
    </row>
    <row r="176" customHeight="1" spans="1:12">
      <c r="A176" s="348"/>
      <c r="B176" s="358"/>
      <c r="C176" s="359"/>
      <c r="D176" s="360"/>
      <c r="E176" s="361"/>
      <c r="F176" s="356"/>
      <c r="G176" s="286"/>
      <c r="H176" s="352" t="s">
        <v>754</v>
      </c>
      <c r="I176" s="396" t="s">
        <v>756</v>
      </c>
      <c r="J176" s="383">
        <v>2013816</v>
      </c>
      <c r="K176" s="384">
        <v>6</v>
      </c>
      <c r="L176" s="392" t="s">
        <v>639</v>
      </c>
    </row>
    <row r="177" customHeight="1" spans="1:12">
      <c r="A177" s="348"/>
      <c r="B177" s="358"/>
      <c r="C177" s="359"/>
      <c r="D177" s="360"/>
      <c r="E177" s="361"/>
      <c r="F177" s="356"/>
      <c r="G177" s="286"/>
      <c r="H177" s="352" t="s">
        <v>754</v>
      </c>
      <c r="I177" s="396" t="s">
        <v>757</v>
      </c>
      <c r="J177" s="383">
        <v>2013899</v>
      </c>
      <c r="K177" s="384">
        <v>24.49</v>
      </c>
      <c r="L177" s="392" t="s">
        <v>639</v>
      </c>
    </row>
    <row r="178" customHeight="1" spans="1:12">
      <c r="A178" s="348"/>
      <c r="B178" s="358"/>
      <c r="C178" s="359"/>
      <c r="D178" s="360"/>
      <c r="E178" s="361"/>
      <c r="F178" s="356"/>
      <c r="G178" s="286"/>
      <c r="H178" s="352" t="s">
        <v>758</v>
      </c>
      <c r="I178" s="396" t="s">
        <v>759</v>
      </c>
      <c r="J178" s="383">
        <v>2079999</v>
      </c>
      <c r="K178" s="384">
        <v>4</v>
      </c>
      <c r="L178" s="392" t="s">
        <v>639</v>
      </c>
    </row>
    <row r="179" customHeight="1" spans="1:12">
      <c r="A179" s="348"/>
      <c r="B179" s="358"/>
      <c r="C179" s="359"/>
      <c r="D179" s="360"/>
      <c r="E179" s="361"/>
      <c r="F179" s="356"/>
      <c r="G179" s="286"/>
      <c r="H179" s="352" t="s">
        <v>618</v>
      </c>
      <c r="I179" s="396" t="s">
        <v>760</v>
      </c>
      <c r="J179" s="383">
        <v>2240199</v>
      </c>
      <c r="K179" s="384">
        <v>7.5</v>
      </c>
      <c r="L179" s="392" t="s">
        <v>639</v>
      </c>
    </row>
    <row r="180" customHeight="1" spans="1:12">
      <c r="A180" s="348"/>
      <c r="B180" s="358"/>
      <c r="C180" s="359"/>
      <c r="D180" s="360"/>
      <c r="E180" s="361"/>
      <c r="F180" s="356"/>
      <c r="G180" s="286"/>
      <c r="H180" s="352" t="s">
        <v>618</v>
      </c>
      <c r="I180" s="396" t="s">
        <v>761</v>
      </c>
      <c r="J180" s="383">
        <v>2240199</v>
      </c>
      <c r="K180" s="384">
        <v>35.24</v>
      </c>
      <c r="L180" s="392" t="s">
        <v>639</v>
      </c>
    </row>
    <row r="181" customHeight="1" spans="1:12">
      <c r="A181" s="348"/>
      <c r="B181" s="358"/>
      <c r="C181" s="359"/>
      <c r="D181" s="360"/>
      <c r="E181" s="361"/>
      <c r="F181" s="356"/>
      <c r="G181" s="286"/>
      <c r="H181" s="352" t="s">
        <v>618</v>
      </c>
      <c r="I181" s="396" t="s">
        <v>762</v>
      </c>
      <c r="J181" s="383">
        <v>2240199</v>
      </c>
      <c r="K181" s="384">
        <v>2</v>
      </c>
      <c r="L181" s="392" t="s">
        <v>639</v>
      </c>
    </row>
    <row r="182" customHeight="1" spans="1:12">
      <c r="A182" s="348"/>
      <c r="B182" s="358"/>
      <c r="C182" s="359"/>
      <c r="D182" s="360"/>
      <c r="E182" s="361"/>
      <c r="F182" s="356"/>
      <c r="G182" s="286"/>
      <c r="H182" s="352" t="s">
        <v>751</v>
      </c>
      <c r="I182" s="396" t="s">
        <v>763</v>
      </c>
      <c r="J182" s="383">
        <v>2220199</v>
      </c>
      <c r="K182" s="384">
        <v>2</v>
      </c>
      <c r="L182" s="392" t="s">
        <v>639</v>
      </c>
    </row>
    <row r="183" customHeight="1" spans="1:12">
      <c r="A183" s="348"/>
      <c r="B183" s="358"/>
      <c r="C183" s="359"/>
      <c r="D183" s="360"/>
      <c r="E183" s="361"/>
      <c r="F183" s="356"/>
      <c r="G183" s="286"/>
      <c r="H183" s="352" t="s">
        <v>764</v>
      </c>
      <c r="I183" s="396" t="s">
        <v>765</v>
      </c>
      <c r="J183" s="383">
        <v>2120501</v>
      </c>
      <c r="K183" s="384">
        <v>1.5</v>
      </c>
      <c r="L183" s="392" t="s">
        <v>639</v>
      </c>
    </row>
    <row r="184" customHeight="1" spans="1:12">
      <c r="A184" s="348"/>
      <c r="B184" s="358"/>
      <c r="C184" s="359"/>
      <c r="D184" s="360"/>
      <c r="E184" s="361"/>
      <c r="F184" s="356"/>
      <c r="G184" s="286"/>
      <c r="H184" s="272" t="s">
        <v>766</v>
      </c>
      <c r="I184" s="273"/>
      <c r="J184" s="273"/>
      <c r="K184" s="275">
        <f>SUM(K185:K192)</f>
        <v>813.946613</v>
      </c>
      <c r="L184" s="279"/>
    </row>
    <row r="185" customHeight="1" spans="1:12">
      <c r="A185" s="348"/>
      <c r="B185" s="358"/>
      <c r="C185" s="359"/>
      <c r="D185" s="360"/>
      <c r="E185" s="361"/>
      <c r="F185" s="356"/>
      <c r="G185" s="286"/>
      <c r="H185" s="388" t="s">
        <v>574</v>
      </c>
      <c r="I185" s="386" t="s">
        <v>767</v>
      </c>
      <c r="J185" s="375" t="s">
        <v>768</v>
      </c>
      <c r="K185" s="384">
        <v>55.346613</v>
      </c>
      <c r="L185" s="392" t="s">
        <v>769</v>
      </c>
    </row>
    <row r="186" customHeight="1" spans="1:12">
      <c r="A186" s="348"/>
      <c r="B186" s="358"/>
      <c r="C186" s="359"/>
      <c r="D186" s="360"/>
      <c r="E186" s="361"/>
      <c r="F186" s="356"/>
      <c r="G186" s="286"/>
      <c r="H186" s="388" t="s">
        <v>574</v>
      </c>
      <c r="I186" s="386" t="s">
        <v>770</v>
      </c>
      <c r="J186" s="375" t="s">
        <v>768</v>
      </c>
      <c r="K186" s="384">
        <v>100</v>
      </c>
      <c r="L186" s="392" t="s">
        <v>639</v>
      </c>
    </row>
    <row r="187" customHeight="1" spans="1:12">
      <c r="A187" s="348"/>
      <c r="B187" s="358"/>
      <c r="C187" s="359"/>
      <c r="D187" s="360"/>
      <c r="E187" s="361"/>
      <c r="F187" s="356"/>
      <c r="G187" s="286"/>
      <c r="H187" s="388" t="s">
        <v>574</v>
      </c>
      <c r="I187" s="386" t="s">
        <v>771</v>
      </c>
      <c r="J187" s="375" t="s">
        <v>768</v>
      </c>
      <c r="K187" s="384">
        <v>284.11</v>
      </c>
      <c r="L187" s="392" t="s">
        <v>639</v>
      </c>
    </row>
    <row r="188" customHeight="1" spans="1:12">
      <c r="A188" s="348"/>
      <c r="B188" s="358"/>
      <c r="C188" s="359"/>
      <c r="D188" s="360"/>
      <c r="E188" s="361"/>
      <c r="F188" s="356"/>
      <c r="G188" s="286"/>
      <c r="H188" s="388" t="s">
        <v>574</v>
      </c>
      <c r="I188" s="386" t="s">
        <v>772</v>
      </c>
      <c r="J188" s="375" t="s">
        <v>773</v>
      </c>
      <c r="K188" s="384">
        <v>55.5</v>
      </c>
      <c r="L188" s="392" t="s">
        <v>639</v>
      </c>
    </row>
    <row r="189" customHeight="1" spans="1:12">
      <c r="A189" s="348"/>
      <c r="B189" s="358"/>
      <c r="C189" s="359"/>
      <c r="D189" s="360"/>
      <c r="E189" s="361"/>
      <c r="F189" s="356"/>
      <c r="G189" s="286"/>
      <c r="H189" s="388" t="s">
        <v>574</v>
      </c>
      <c r="I189" s="386" t="s">
        <v>774</v>
      </c>
      <c r="J189" s="375" t="s">
        <v>572</v>
      </c>
      <c r="K189" s="384">
        <v>105.61</v>
      </c>
      <c r="L189" s="392" t="s">
        <v>639</v>
      </c>
    </row>
    <row r="190" customHeight="1" spans="1:12">
      <c r="A190" s="348"/>
      <c r="B190" s="358"/>
      <c r="C190" s="359"/>
      <c r="D190" s="360"/>
      <c r="E190" s="361"/>
      <c r="F190" s="356"/>
      <c r="G190" s="286"/>
      <c r="H190" s="388" t="s">
        <v>574</v>
      </c>
      <c r="I190" s="386" t="s">
        <v>775</v>
      </c>
      <c r="J190" s="375" t="s">
        <v>776</v>
      </c>
      <c r="K190" s="384">
        <v>50</v>
      </c>
      <c r="L190" s="392" t="s">
        <v>639</v>
      </c>
    </row>
    <row r="191" customHeight="1" spans="1:12">
      <c r="A191" s="348"/>
      <c r="B191" s="358"/>
      <c r="C191" s="359"/>
      <c r="D191" s="360"/>
      <c r="E191" s="361"/>
      <c r="F191" s="356"/>
      <c r="G191" s="286"/>
      <c r="H191" s="388" t="s">
        <v>517</v>
      </c>
      <c r="I191" s="386" t="s">
        <v>777</v>
      </c>
      <c r="J191" s="375"/>
      <c r="K191" s="384">
        <v>158.4</v>
      </c>
      <c r="L191" s="392" t="s">
        <v>639</v>
      </c>
    </row>
    <row r="192" customHeight="1" spans="1:12">
      <c r="A192" s="348"/>
      <c r="B192" s="358"/>
      <c r="C192" s="359"/>
      <c r="D192" s="360"/>
      <c r="E192" s="361"/>
      <c r="F192" s="356"/>
      <c r="G192" s="299"/>
      <c r="H192" s="357" t="s">
        <v>726</v>
      </c>
      <c r="I192" s="386" t="s">
        <v>778</v>
      </c>
      <c r="J192" s="383">
        <v>2040299</v>
      </c>
      <c r="K192" s="384">
        <v>4.98</v>
      </c>
      <c r="L192" s="392" t="s">
        <v>639</v>
      </c>
    </row>
    <row r="193" customHeight="1" spans="1:12">
      <c r="A193" s="348"/>
      <c r="B193" s="358"/>
      <c r="C193" s="359"/>
      <c r="D193" s="360"/>
      <c r="E193" s="361"/>
      <c r="F193" s="356"/>
      <c r="G193" s="389"/>
      <c r="H193" s="272" t="s">
        <v>779</v>
      </c>
      <c r="I193" s="273"/>
      <c r="J193" s="273"/>
      <c r="K193" s="275">
        <f>SUM(K194:K252)</f>
        <v>8504.5352</v>
      </c>
      <c r="L193" s="279"/>
    </row>
    <row r="194" customHeight="1" spans="1:12">
      <c r="A194" s="348"/>
      <c r="B194" s="358"/>
      <c r="C194" s="359"/>
      <c r="D194" s="360"/>
      <c r="E194" s="361"/>
      <c r="F194" s="356"/>
      <c r="G194" s="286"/>
      <c r="H194" s="352" t="s">
        <v>541</v>
      </c>
      <c r="I194" s="353" t="s">
        <v>780</v>
      </c>
      <c r="J194" s="398">
        <v>2120399</v>
      </c>
      <c r="K194" s="355">
        <v>1050.25</v>
      </c>
      <c r="L194" s="372" t="s">
        <v>781</v>
      </c>
    </row>
    <row r="195" customHeight="1" spans="1:12">
      <c r="A195" s="348"/>
      <c r="B195" s="358"/>
      <c r="C195" s="359"/>
      <c r="D195" s="360"/>
      <c r="E195" s="361"/>
      <c r="F195" s="356"/>
      <c r="G195" s="286"/>
      <c r="H195" s="352" t="s">
        <v>782</v>
      </c>
      <c r="I195" s="399" t="s">
        <v>783</v>
      </c>
      <c r="J195" s="398">
        <v>2120399</v>
      </c>
      <c r="K195" s="355">
        <v>41.82</v>
      </c>
      <c r="L195" s="372" t="s">
        <v>781</v>
      </c>
    </row>
    <row r="196" customHeight="1" spans="1:12">
      <c r="A196" s="348"/>
      <c r="B196" s="358"/>
      <c r="C196" s="359"/>
      <c r="D196" s="360"/>
      <c r="E196" s="361"/>
      <c r="F196" s="356"/>
      <c r="G196" s="286"/>
      <c r="H196" s="352" t="s">
        <v>700</v>
      </c>
      <c r="I196" s="353" t="s">
        <v>784</v>
      </c>
      <c r="J196" s="398">
        <v>2010399</v>
      </c>
      <c r="K196" s="355">
        <v>16</v>
      </c>
      <c r="L196" s="372" t="s">
        <v>781</v>
      </c>
    </row>
    <row r="197" customHeight="1" spans="1:12">
      <c r="A197" s="348"/>
      <c r="B197" s="358"/>
      <c r="C197" s="359"/>
      <c r="D197" s="360"/>
      <c r="E197" s="361"/>
      <c r="F197" s="356"/>
      <c r="G197" s="286"/>
      <c r="H197" s="352" t="s">
        <v>700</v>
      </c>
      <c r="I197" s="353" t="s">
        <v>785</v>
      </c>
      <c r="J197" s="398">
        <v>2010399</v>
      </c>
      <c r="K197" s="355">
        <v>1.14</v>
      </c>
      <c r="L197" s="372" t="s">
        <v>781</v>
      </c>
    </row>
    <row r="198" customHeight="1" spans="1:12">
      <c r="A198" s="348"/>
      <c r="B198" s="358"/>
      <c r="C198" s="359"/>
      <c r="D198" s="360"/>
      <c r="E198" s="361"/>
      <c r="F198" s="356"/>
      <c r="G198" s="286"/>
      <c r="H198" s="352" t="s">
        <v>501</v>
      </c>
      <c r="I198" s="353" t="s">
        <v>786</v>
      </c>
      <c r="J198" s="398">
        <v>2081199</v>
      </c>
      <c r="K198" s="355">
        <v>121.62</v>
      </c>
      <c r="L198" s="372" t="s">
        <v>781</v>
      </c>
    </row>
    <row r="199" customHeight="1" spans="1:12">
      <c r="A199" s="348"/>
      <c r="B199" s="358"/>
      <c r="C199" s="359"/>
      <c r="D199" s="360"/>
      <c r="E199" s="361"/>
      <c r="F199" s="356"/>
      <c r="G199" s="286"/>
      <c r="H199" s="293" t="s">
        <v>787</v>
      </c>
      <c r="I199" s="376" t="s">
        <v>788</v>
      </c>
      <c r="J199" s="128">
        <v>2299901</v>
      </c>
      <c r="K199" s="371">
        <v>610.53</v>
      </c>
      <c r="L199" s="372" t="s">
        <v>781</v>
      </c>
    </row>
    <row r="200" customHeight="1" spans="1:12">
      <c r="A200" s="348"/>
      <c r="B200" s="358"/>
      <c r="C200" s="359"/>
      <c r="D200" s="360"/>
      <c r="E200" s="361"/>
      <c r="F200" s="356"/>
      <c r="G200" s="286"/>
      <c r="H200" s="293" t="s">
        <v>660</v>
      </c>
      <c r="I200" s="376" t="s">
        <v>789</v>
      </c>
      <c r="J200" s="128">
        <v>2200120</v>
      </c>
      <c r="K200" s="371">
        <v>47.78</v>
      </c>
      <c r="L200" s="372" t="s">
        <v>781</v>
      </c>
    </row>
    <row r="201" customHeight="1" spans="1:12">
      <c r="A201" s="348"/>
      <c r="B201" s="358"/>
      <c r="C201" s="359"/>
      <c r="D201" s="360"/>
      <c r="E201" s="361"/>
      <c r="F201" s="356"/>
      <c r="G201" s="286"/>
      <c r="H201" s="293" t="s">
        <v>660</v>
      </c>
      <c r="I201" s="376" t="s">
        <v>790</v>
      </c>
      <c r="J201" s="128">
        <v>2209901</v>
      </c>
      <c r="K201" s="371">
        <v>21.72</v>
      </c>
      <c r="L201" s="372" t="s">
        <v>781</v>
      </c>
    </row>
    <row r="202" customHeight="1" spans="1:12">
      <c r="A202" s="348"/>
      <c r="B202" s="358"/>
      <c r="C202" s="359"/>
      <c r="D202" s="360"/>
      <c r="E202" s="361"/>
      <c r="F202" s="356"/>
      <c r="G202" s="286"/>
      <c r="H202" s="293" t="s">
        <v>660</v>
      </c>
      <c r="I202" s="353" t="s">
        <v>791</v>
      </c>
      <c r="J202" s="398">
        <v>2240601</v>
      </c>
      <c r="K202" s="355">
        <v>10</v>
      </c>
      <c r="L202" s="372" t="s">
        <v>781</v>
      </c>
    </row>
    <row r="203" customHeight="1" spans="1:12">
      <c r="A203" s="348"/>
      <c r="B203" s="358"/>
      <c r="C203" s="359"/>
      <c r="D203" s="360"/>
      <c r="E203" s="361"/>
      <c r="F203" s="356"/>
      <c r="G203" s="286"/>
      <c r="H203" s="293" t="s">
        <v>660</v>
      </c>
      <c r="I203" s="376" t="s">
        <v>792</v>
      </c>
      <c r="J203" s="128">
        <v>2130299</v>
      </c>
      <c r="K203" s="371">
        <v>46.33</v>
      </c>
      <c r="L203" s="372" t="s">
        <v>781</v>
      </c>
    </row>
    <row r="204" customHeight="1" spans="1:12">
      <c r="A204" s="348"/>
      <c r="B204" s="358"/>
      <c r="C204" s="359"/>
      <c r="D204" s="360"/>
      <c r="E204" s="361"/>
      <c r="F204" s="356"/>
      <c r="G204" s="286"/>
      <c r="H204" s="293" t="s">
        <v>660</v>
      </c>
      <c r="I204" s="353" t="s">
        <v>793</v>
      </c>
      <c r="J204" s="398">
        <v>2200114</v>
      </c>
      <c r="K204" s="355">
        <v>126.63</v>
      </c>
      <c r="L204" s="372" t="s">
        <v>781</v>
      </c>
    </row>
    <row r="205" customHeight="1" spans="1:12">
      <c r="A205" s="348"/>
      <c r="B205" s="358"/>
      <c r="C205" s="359"/>
      <c r="D205" s="360"/>
      <c r="E205" s="361"/>
      <c r="F205" s="356"/>
      <c r="G205" s="286"/>
      <c r="H205" s="293" t="s">
        <v>660</v>
      </c>
      <c r="I205" s="353" t="s">
        <v>794</v>
      </c>
      <c r="J205" s="398">
        <v>2200114</v>
      </c>
      <c r="K205" s="355">
        <v>70</v>
      </c>
      <c r="L205" s="372" t="s">
        <v>781</v>
      </c>
    </row>
    <row r="206" customHeight="1" spans="1:12">
      <c r="A206" s="348"/>
      <c r="B206" s="358"/>
      <c r="C206" s="359"/>
      <c r="D206" s="360"/>
      <c r="E206" s="361"/>
      <c r="F206" s="356"/>
      <c r="G206" s="286"/>
      <c r="H206" s="357" t="s">
        <v>724</v>
      </c>
      <c r="I206" s="386" t="s">
        <v>795</v>
      </c>
      <c r="J206" s="383">
        <v>2019999</v>
      </c>
      <c r="K206" s="384">
        <v>248.0705</v>
      </c>
      <c r="L206" s="372" t="s">
        <v>781</v>
      </c>
    </row>
    <row r="207" customHeight="1" spans="1:12">
      <c r="A207" s="348"/>
      <c r="B207" s="358"/>
      <c r="C207" s="359"/>
      <c r="D207" s="360"/>
      <c r="E207" s="361"/>
      <c r="F207" s="356"/>
      <c r="G207" s="286"/>
      <c r="H207" s="357" t="s">
        <v>726</v>
      </c>
      <c r="I207" s="386" t="s">
        <v>796</v>
      </c>
      <c r="J207" s="383">
        <v>2040299</v>
      </c>
      <c r="K207" s="384">
        <v>46.4</v>
      </c>
      <c r="L207" s="372" t="s">
        <v>781</v>
      </c>
    </row>
    <row r="208" customHeight="1" spans="1:12">
      <c r="A208" s="348"/>
      <c r="B208" s="358"/>
      <c r="C208" s="359"/>
      <c r="D208" s="360"/>
      <c r="E208" s="361"/>
      <c r="F208" s="356"/>
      <c r="G208" s="286"/>
      <c r="H208" s="357" t="s">
        <v>726</v>
      </c>
      <c r="I208" s="386" t="s">
        <v>797</v>
      </c>
      <c r="J208" s="383">
        <v>2040299</v>
      </c>
      <c r="K208" s="384">
        <v>0.0047</v>
      </c>
      <c r="L208" s="372" t="s">
        <v>781</v>
      </c>
    </row>
    <row r="209" customHeight="1" spans="1:12">
      <c r="A209" s="348"/>
      <c r="B209" s="358"/>
      <c r="C209" s="359"/>
      <c r="D209" s="360"/>
      <c r="E209" s="361"/>
      <c r="F209" s="356"/>
      <c r="G209" s="286"/>
      <c r="H209" s="352" t="s">
        <v>758</v>
      </c>
      <c r="I209" s="353" t="s">
        <v>798</v>
      </c>
      <c r="J209" s="390">
        <v>2120399</v>
      </c>
      <c r="K209" s="355">
        <v>7.28</v>
      </c>
      <c r="L209" s="372" t="s">
        <v>781</v>
      </c>
    </row>
    <row r="210" customHeight="1" spans="1:12">
      <c r="A210" s="348"/>
      <c r="B210" s="358"/>
      <c r="C210" s="359"/>
      <c r="D210" s="360"/>
      <c r="E210" s="361"/>
      <c r="F210" s="356"/>
      <c r="G210" s="286"/>
      <c r="H210" s="352" t="s">
        <v>758</v>
      </c>
      <c r="I210" s="376" t="s">
        <v>799</v>
      </c>
      <c r="J210" s="383">
        <v>2120501</v>
      </c>
      <c r="K210" s="384">
        <v>95.26</v>
      </c>
      <c r="L210" s="372" t="s">
        <v>781</v>
      </c>
    </row>
    <row r="211" customHeight="1" spans="1:12">
      <c r="A211" s="348"/>
      <c r="B211" s="358"/>
      <c r="C211" s="359"/>
      <c r="D211" s="360"/>
      <c r="E211" s="361"/>
      <c r="F211" s="356"/>
      <c r="G211" s="286"/>
      <c r="H211" s="352" t="s">
        <v>758</v>
      </c>
      <c r="I211" s="376" t="s">
        <v>800</v>
      </c>
      <c r="J211" s="383">
        <v>2120501</v>
      </c>
      <c r="K211" s="384">
        <v>32.43</v>
      </c>
      <c r="L211" s="372" t="s">
        <v>781</v>
      </c>
    </row>
    <row r="212" customHeight="1" spans="1:12">
      <c r="A212" s="348"/>
      <c r="B212" s="358"/>
      <c r="C212" s="359"/>
      <c r="D212" s="360"/>
      <c r="E212" s="361"/>
      <c r="F212" s="356"/>
      <c r="G212" s="286"/>
      <c r="H212" s="352" t="s">
        <v>758</v>
      </c>
      <c r="I212" s="376" t="s">
        <v>801</v>
      </c>
      <c r="J212" s="383">
        <v>2120501</v>
      </c>
      <c r="K212" s="384">
        <v>8.88</v>
      </c>
      <c r="L212" s="372" t="s">
        <v>781</v>
      </c>
    </row>
    <row r="213" customHeight="1" spans="1:12">
      <c r="A213" s="348"/>
      <c r="B213" s="358"/>
      <c r="C213" s="359"/>
      <c r="D213" s="360"/>
      <c r="E213" s="361"/>
      <c r="F213" s="356"/>
      <c r="G213" s="286"/>
      <c r="H213" s="352" t="s">
        <v>758</v>
      </c>
      <c r="I213" s="396" t="s">
        <v>802</v>
      </c>
      <c r="J213" s="383">
        <v>2079999</v>
      </c>
      <c r="K213" s="384">
        <v>0.53</v>
      </c>
      <c r="L213" s="372" t="s">
        <v>781</v>
      </c>
    </row>
    <row r="214" customHeight="1" spans="1:12">
      <c r="A214" s="348"/>
      <c r="B214" s="358"/>
      <c r="C214" s="359"/>
      <c r="D214" s="360"/>
      <c r="E214" s="361"/>
      <c r="F214" s="356"/>
      <c r="G214" s="286"/>
      <c r="H214" s="352" t="s">
        <v>758</v>
      </c>
      <c r="I214" s="396" t="s">
        <v>803</v>
      </c>
      <c r="J214" s="383">
        <v>2120501</v>
      </c>
      <c r="K214" s="384">
        <v>98.96</v>
      </c>
      <c r="L214" s="372" t="s">
        <v>781</v>
      </c>
    </row>
    <row r="215" customHeight="1" spans="1:12">
      <c r="A215" s="348"/>
      <c r="B215" s="358"/>
      <c r="C215" s="359"/>
      <c r="D215" s="360"/>
      <c r="E215" s="361"/>
      <c r="F215" s="356"/>
      <c r="G215" s="286"/>
      <c r="H215" s="352" t="s">
        <v>758</v>
      </c>
      <c r="I215" s="396" t="s">
        <v>804</v>
      </c>
      <c r="J215" s="383">
        <v>2120501</v>
      </c>
      <c r="K215" s="384">
        <v>96</v>
      </c>
      <c r="L215" s="372" t="s">
        <v>781</v>
      </c>
    </row>
    <row r="216" customHeight="1" spans="1:12">
      <c r="A216" s="348"/>
      <c r="B216" s="358"/>
      <c r="C216" s="359"/>
      <c r="D216" s="360"/>
      <c r="E216" s="361"/>
      <c r="F216" s="356"/>
      <c r="G216" s="286"/>
      <c r="H216" s="352" t="s">
        <v>758</v>
      </c>
      <c r="I216" s="396" t="s">
        <v>805</v>
      </c>
      <c r="J216" s="383">
        <v>2120501</v>
      </c>
      <c r="K216" s="384">
        <v>34.34</v>
      </c>
      <c r="L216" s="372" t="s">
        <v>781</v>
      </c>
    </row>
    <row r="217" customHeight="1" spans="1:12">
      <c r="A217" s="348"/>
      <c r="B217" s="358"/>
      <c r="C217" s="359"/>
      <c r="D217" s="360"/>
      <c r="E217" s="361"/>
      <c r="F217" s="356"/>
      <c r="G217" s="286"/>
      <c r="H217" s="352" t="s">
        <v>758</v>
      </c>
      <c r="I217" s="396" t="s">
        <v>806</v>
      </c>
      <c r="J217" s="383">
        <v>2120501</v>
      </c>
      <c r="K217" s="384">
        <v>48.97</v>
      </c>
      <c r="L217" s="372" t="s">
        <v>781</v>
      </c>
    </row>
    <row r="218" customHeight="1" spans="1:12">
      <c r="A218" s="348"/>
      <c r="B218" s="358"/>
      <c r="C218" s="359"/>
      <c r="D218" s="360"/>
      <c r="E218" s="361"/>
      <c r="F218" s="356"/>
      <c r="G218" s="286"/>
      <c r="H218" s="352" t="s">
        <v>758</v>
      </c>
      <c r="I218" s="396" t="s">
        <v>807</v>
      </c>
      <c r="J218" s="383">
        <v>2120501</v>
      </c>
      <c r="K218" s="384">
        <v>24.34</v>
      </c>
      <c r="L218" s="372" t="s">
        <v>781</v>
      </c>
    </row>
    <row r="219" customHeight="1" spans="1:12">
      <c r="A219" s="348"/>
      <c r="B219" s="358"/>
      <c r="C219" s="359"/>
      <c r="D219" s="360"/>
      <c r="E219" s="361"/>
      <c r="F219" s="356"/>
      <c r="G219" s="286"/>
      <c r="H219" s="352" t="s">
        <v>764</v>
      </c>
      <c r="I219" s="396" t="s">
        <v>808</v>
      </c>
      <c r="J219" s="383">
        <v>2120501</v>
      </c>
      <c r="K219" s="384">
        <v>1.55</v>
      </c>
      <c r="L219" s="372" t="s">
        <v>781</v>
      </c>
    </row>
    <row r="220" customHeight="1" spans="1:12">
      <c r="A220" s="348"/>
      <c r="B220" s="358"/>
      <c r="C220" s="359"/>
      <c r="D220" s="360"/>
      <c r="E220" s="361"/>
      <c r="F220" s="356"/>
      <c r="G220" s="286"/>
      <c r="H220" s="352" t="s">
        <v>754</v>
      </c>
      <c r="I220" s="396" t="s">
        <v>809</v>
      </c>
      <c r="J220" s="383">
        <v>2019999</v>
      </c>
      <c r="K220" s="384">
        <v>6.42</v>
      </c>
      <c r="L220" s="372" t="s">
        <v>781</v>
      </c>
    </row>
    <row r="221" customHeight="1" spans="1:12">
      <c r="A221" s="348"/>
      <c r="B221" s="358"/>
      <c r="C221" s="359"/>
      <c r="D221" s="360"/>
      <c r="E221" s="361"/>
      <c r="F221" s="356"/>
      <c r="G221" s="286"/>
      <c r="H221" s="357" t="s">
        <v>810</v>
      </c>
      <c r="I221" s="386" t="s">
        <v>811</v>
      </c>
      <c r="J221" s="383">
        <v>2050999</v>
      </c>
      <c r="K221" s="384">
        <v>245</v>
      </c>
      <c r="L221" s="372" t="s">
        <v>781</v>
      </c>
    </row>
    <row r="222" customHeight="1" spans="1:12">
      <c r="A222" s="348"/>
      <c r="B222" s="358"/>
      <c r="C222" s="359"/>
      <c r="D222" s="360"/>
      <c r="E222" s="361"/>
      <c r="F222" s="356"/>
      <c r="G222" s="286"/>
      <c r="H222" s="357" t="s">
        <v>810</v>
      </c>
      <c r="I222" s="386" t="s">
        <v>812</v>
      </c>
      <c r="J222" s="383">
        <v>2050299</v>
      </c>
      <c r="K222" s="384">
        <v>200</v>
      </c>
      <c r="L222" s="372" t="s">
        <v>781</v>
      </c>
    </row>
    <row r="223" customHeight="1" spans="1:12">
      <c r="A223" s="348"/>
      <c r="B223" s="358"/>
      <c r="C223" s="359"/>
      <c r="D223" s="360"/>
      <c r="E223" s="361"/>
      <c r="F223" s="356"/>
      <c r="G223" s="286"/>
      <c r="H223" s="357" t="s">
        <v>813</v>
      </c>
      <c r="I223" s="386" t="s">
        <v>814</v>
      </c>
      <c r="J223" s="383">
        <v>2050203</v>
      </c>
      <c r="K223" s="384">
        <v>7</v>
      </c>
      <c r="L223" s="372" t="s">
        <v>781</v>
      </c>
    </row>
    <row r="224" customHeight="1" spans="1:12">
      <c r="A224" s="348"/>
      <c r="B224" s="358"/>
      <c r="C224" s="359"/>
      <c r="D224" s="360"/>
      <c r="E224" s="361"/>
      <c r="F224" s="356"/>
      <c r="G224" s="286"/>
      <c r="H224" s="357" t="s">
        <v>567</v>
      </c>
      <c r="I224" s="386" t="s">
        <v>811</v>
      </c>
      <c r="J224" s="383">
        <v>2050999</v>
      </c>
      <c r="K224" s="384">
        <v>2327.5</v>
      </c>
      <c r="L224" s="372" t="s">
        <v>781</v>
      </c>
    </row>
    <row r="225" customHeight="1" spans="1:12">
      <c r="A225" s="348"/>
      <c r="B225" s="358"/>
      <c r="C225" s="359"/>
      <c r="D225" s="360"/>
      <c r="E225" s="361"/>
      <c r="F225" s="356"/>
      <c r="G225" s="286"/>
      <c r="H225" s="352" t="s">
        <v>567</v>
      </c>
      <c r="I225" s="353" t="s">
        <v>815</v>
      </c>
      <c r="J225" s="398">
        <v>2299901</v>
      </c>
      <c r="K225" s="355">
        <v>541.13</v>
      </c>
      <c r="L225" s="372" t="s">
        <v>781</v>
      </c>
    </row>
    <row r="226" customHeight="1" spans="1:12">
      <c r="A226" s="348"/>
      <c r="B226" s="358"/>
      <c r="C226" s="359"/>
      <c r="D226" s="360"/>
      <c r="E226" s="361"/>
      <c r="F226" s="356"/>
      <c r="G226" s="299"/>
      <c r="H226" s="352" t="s">
        <v>567</v>
      </c>
      <c r="I226" s="353" t="s">
        <v>816</v>
      </c>
      <c r="J226" s="398">
        <v>2050202</v>
      </c>
      <c r="K226" s="355">
        <v>124.31</v>
      </c>
      <c r="L226" s="372" t="s">
        <v>781</v>
      </c>
    </row>
    <row r="227" customHeight="1" spans="1:12">
      <c r="A227" s="348"/>
      <c r="B227" s="358"/>
      <c r="C227" s="359"/>
      <c r="D227" s="360"/>
      <c r="E227" s="361"/>
      <c r="F227" s="356"/>
      <c r="G227" s="389"/>
      <c r="H227" s="352" t="s">
        <v>567</v>
      </c>
      <c r="I227" s="353" t="s">
        <v>817</v>
      </c>
      <c r="J227" s="398">
        <v>2050203</v>
      </c>
      <c r="K227" s="355">
        <v>129.74</v>
      </c>
      <c r="L227" s="372" t="s">
        <v>781</v>
      </c>
    </row>
    <row r="228" customHeight="1" spans="1:12">
      <c r="A228" s="348"/>
      <c r="B228" s="358"/>
      <c r="C228" s="359"/>
      <c r="D228" s="360"/>
      <c r="E228" s="361"/>
      <c r="F228" s="356"/>
      <c r="G228" s="286"/>
      <c r="H228" s="352" t="s">
        <v>567</v>
      </c>
      <c r="I228" s="353" t="s">
        <v>818</v>
      </c>
      <c r="J228" s="398">
        <v>2050202</v>
      </c>
      <c r="K228" s="355">
        <v>277.44</v>
      </c>
      <c r="L228" s="372" t="s">
        <v>781</v>
      </c>
    </row>
    <row r="229" customHeight="1" spans="1:12">
      <c r="A229" s="348"/>
      <c r="B229" s="358"/>
      <c r="C229" s="359"/>
      <c r="D229" s="360"/>
      <c r="E229" s="361"/>
      <c r="F229" s="356"/>
      <c r="G229" s="286"/>
      <c r="H229" s="352" t="s">
        <v>567</v>
      </c>
      <c r="I229" s="353" t="s">
        <v>819</v>
      </c>
      <c r="J229" s="398">
        <v>2050201</v>
      </c>
      <c r="K229" s="355">
        <v>10</v>
      </c>
      <c r="L229" s="372" t="s">
        <v>781</v>
      </c>
    </row>
    <row r="230" customHeight="1" spans="1:12">
      <c r="A230" s="348"/>
      <c r="B230" s="358"/>
      <c r="C230" s="359"/>
      <c r="D230" s="360"/>
      <c r="E230" s="361"/>
      <c r="F230" s="356"/>
      <c r="G230" s="397"/>
      <c r="H230" s="352" t="s">
        <v>567</v>
      </c>
      <c r="I230" s="353" t="s">
        <v>820</v>
      </c>
      <c r="J230" s="398">
        <v>2050202</v>
      </c>
      <c r="K230" s="355">
        <v>12</v>
      </c>
      <c r="L230" s="372" t="s">
        <v>781</v>
      </c>
    </row>
    <row r="231" customHeight="1" spans="1:12">
      <c r="A231" s="348"/>
      <c r="B231" s="358"/>
      <c r="C231" s="359"/>
      <c r="D231" s="360"/>
      <c r="E231" s="361"/>
      <c r="F231" s="356"/>
      <c r="G231" s="397"/>
      <c r="H231" s="352" t="s">
        <v>567</v>
      </c>
      <c r="I231" s="353" t="s">
        <v>821</v>
      </c>
      <c r="J231" s="398">
        <v>2050202</v>
      </c>
      <c r="K231" s="355">
        <v>1</v>
      </c>
      <c r="L231" s="372" t="s">
        <v>781</v>
      </c>
    </row>
    <row r="232" customHeight="1" spans="1:12">
      <c r="A232" s="348"/>
      <c r="B232" s="358"/>
      <c r="C232" s="359"/>
      <c r="D232" s="360"/>
      <c r="E232" s="361"/>
      <c r="F232" s="356"/>
      <c r="G232" s="397"/>
      <c r="H232" s="352" t="s">
        <v>567</v>
      </c>
      <c r="I232" s="353" t="s">
        <v>822</v>
      </c>
      <c r="J232" s="398">
        <v>2050201</v>
      </c>
      <c r="K232" s="355">
        <v>18</v>
      </c>
      <c r="L232" s="372" t="s">
        <v>781</v>
      </c>
    </row>
    <row r="233" customHeight="1" spans="1:12">
      <c r="A233" s="348"/>
      <c r="B233" s="358"/>
      <c r="C233" s="359"/>
      <c r="D233" s="360"/>
      <c r="E233" s="361"/>
      <c r="F233" s="356"/>
      <c r="G233" s="397"/>
      <c r="H233" s="352" t="s">
        <v>567</v>
      </c>
      <c r="I233" s="353" t="s">
        <v>823</v>
      </c>
      <c r="J233" s="398">
        <v>2050999</v>
      </c>
      <c r="K233" s="355">
        <v>20</v>
      </c>
      <c r="L233" s="372" t="s">
        <v>781</v>
      </c>
    </row>
    <row r="234" customHeight="1" spans="1:12">
      <c r="A234" s="348"/>
      <c r="B234" s="358"/>
      <c r="C234" s="359"/>
      <c r="D234" s="360"/>
      <c r="E234" s="361"/>
      <c r="F234" s="356"/>
      <c r="G234" s="397"/>
      <c r="H234" s="352" t="s">
        <v>567</v>
      </c>
      <c r="I234" s="353" t="s">
        <v>824</v>
      </c>
      <c r="J234" s="398">
        <v>2050999</v>
      </c>
      <c r="K234" s="355">
        <v>1.21</v>
      </c>
      <c r="L234" s="372" t="s">
        <v>781</v>
      </c>
    </row>
    <row r="235" customHeight="1" spans="1:12">
      <c r="A235" s="348"/>
      <c r="B235" s="358"/>
      <c r="C235" s="359"/>
      <c r="D235" s="360"/>
      <c r="E235" s="361"/>
      <c r="F235" s="356"/>
      <c r="G235" s="397"/>
      <c r="H235" s="352" t="s">
        <v>567</v>
      </c>
      <c r="I235" s="353" t="s">
        <v>825</v>
      </c>
      <c r="J235" s="398">
        <v>2050999</v>
      </c>
      <c r="K235" s="355">
        <v>2.04</v>
      </c>
      <c r="L235" s="372" t="s">
        <v>781</v>
      </c>
    </row>
    <row r="236" customHeight="1" spans="1:12">
      <c r="A236" s="348"/>
      <c r="B236" s="358"/>
      <c r="C236" s="359"/>
      <c r="D236" s="360"/>
      <c r="E236" s="361"/>
      <c r="F236" s="356"/>
      <c r="G236" s="397"/>
      <c r="H236" s="352" t="s">
        <v>567</v>
      </c>
      <c r="I236" s="353" t="s">
        <v>826</v>
      </c>
      <c r="J236" s="398">
        <v>2050202</v>
      </c>
      <c r="K236" s="355">
        <v>22.94</v>
      </c>
      <c r="L236" s="372" t="s">
        <v>781</v>
      </c>
    </row>
    <row r="237" customHeight="1" spans="1:12">
      <c r="A237" s="348"/>
      <c r="B237" s="358"/>
      <c r="C237" s="359"/>
      <c r="D237" s="360"/>
      <c r="E237" s="361"/>
      <c r="F237" s="356"/>
      <c r="G237" s="397"/>
      <c r="H237" s="352" t="s">
        <v>567</v>
      </c>
      <c r="I237" s="353" t="s">
        <v>827</v>
      </c>
      <c r="J237" s="398">
        <v>2050202</v>
      </c>
      <c r="K237" s="355">
        <v>41.84</v>
      </c>
      <c r="L237" s="372" t="s">
        <v>781</v>
      </c>
    </row>
    <row r="238" customHeight="1" spans="1:12">
      <c r="A238" s="348"/>
      <c r="B238" s="358"/>
      <c r="C238" s="359"/>
      <c r="D238" s="360"/>
      <c r="E238" s="361"/>
      <c r="F238" s="356"/>
      <c r="G238" s="397"/>
      <c r="H238" s="352" t="s">
        <v>567</v>
      </c>
      <c r="I238" s="353" t="s">
        <v>828</v>
      </c>
      <c r="J238" s="398">
        <v>2050201</v>
      </c>
      <c r="K238" s="355">
        <v>24.16</v>
      </c>
      <c r="L238" s="372" t="s">
        <v>781</v>
      </c>
    </row>
    <row r="239" customHeight="1" spans="1:12">
      <c r="A239" s="348"/>
      <c r="B239" s="358"/>
      <c r="C239" s="359"/>
      <c r="D239" s="360"/>
      <c r="E239" s="361"/>
      <c r="F239" s="356"/>
      <c r="G239" s="397"/>
      <c r="H239" s="352" t="s">
        <v>567</v>
      </c>
      <c r="I239" s="353" t="s">
        <v>829</v>
      </c>
      <c r="J239" s="398">
        <v>2059999</v>
      </c>
      <c r="K239" s="355">
        <v>118</v>
      </c>
      <c r="L239" s="372" t="s">
        <v>781</v>
      </c>
    </row>
    <row r="240" customHeight="1" spans="1:12">
      <c r="A240" s="348"/>
      <c r="B240" s="358"/>
      <c r="C240" s="359"/>
      <c r="D240" s="360"/>
      <c r="E240" s="361"/>
      <c r="F240" s="356"/>
      <c r="G240" s="397"/>
      <c r="H240" s="352" t="s">
        <v>567</v>
      </c>
      <c r="I240" s="353" t="s">
        <v>830</v>
      </c>
      <c r="J240" s="398">
        <v>2050202</v>
      </c>
      <c r="K240" s="355">
        <v>104.9</v>
      </c>
      <c r="L240" s="372" t="s">
        <v>781</v>
      </c>
    </row>
    <row r="241" customHeight="1" spans="1:12">
      <c r="A241" s="348"/>
      <c r="B241" s="358"/>
      <c r="C241" s="359"/>
      <c r="D241" s="360"/>
      <c r="E241" s="361"/>
      <c r="F241" s="356"/>
      <c r="G241" s="397"/>
      <c r="H241" s="352" t="s">
        <v>567</v>
      </c>
      <c r="I241" s="353" t="s">
        <v>831</v>
      </c>
      <c r="J241" s="398">
        <v>2050202</v>
      </c>
      <c r="K241" s="355">
        <v>74.53</v>
      </c>
      <c r="L241" s="372" t="s">
        <v>781</v>
      </c>
    </row>
    <row r="242" customHeight="1" spans="1:12">
      <c r="A242" s="348"/>
      <c r="B242" s="358"/>
      <c r="C242" s="359"/>
      <c r="D242" s="360"/>
      <c r="E242" s="361"/>
      <c r="F242" s="356"/>
      <c r="G242" s="397"/>
      <c r="H242" s="352" t="s">
        <v>567</v>
      </c>
      <c r="I242" s="353" t="s">
        <v>832</v>
      </c>
      <c r="J242" s="398">
        <v>2050202</v>
      </c>
      <c r="K242" s="355">
        <v>56.71</v>
      </c>
      <c r="L242" s="372" t="s">
        <v>781</v>
      </c>
    </row>
    <row r="243" customHeight="1" spans="1:12">
      <c r="A243" s="348"/>
      <c r="B243" s="358"/>
      <c r="C243" s="359"/>
      <c r="D243" s="360"/>
      <c r="E243" s="361"/>
      <c r="F243" s="356"/>
      <c r="G243" s="397"/>
      <c r="H243" s="352" t="s">
        <v>567</v>
      </c>
      <c r="I243" s="353" t="s">
        <v>833</v>
      </c>
      <c r="J243" s="398">
        <v>2050202</v>
      </c>
      <c r="K243" s="355">
        <v>25</v>
      </c>
      <c r="L243" s="372" t="s">
        <v>781</v>
      </c>
    </row>
    <row r="244" customHeight="1" spans="1:12">
      <c r="A244" s="348"/>
      <c r="B244" s="358"/>
      <c r="C244" s="359"/>
      <c r="D244" s="360"/>
      <c r="E244" s="361"/>
      <c r="F244" s="356"/>
      <c r="G244" s="397"/>
      <c r="H244" s="352" t="s">
        <v>567</v>
      </c>
      <c r="I244" s="353" t="s">
        <v>834</v>
      </c>
      <c r="J244" s="398">
        <v>2050202</v>
      </c>
      <c r="K244" s="355">
        <v>60</v>
      </c>
      <c r="L244" s="372" t="s">
        <v>781</v>
      </c>
    </row>
    <row r="245" customHeight="1" spans="1:12">
      <c r="A245" s="348"/>
      <c r="B245" s="358"/>
      <c r="C245" s="359"/>
      <c r="D245" s="360"/>
      <c r="E245" s="361"/>
      <c r="F245" s="356"/>
      <c r="G245" s="397"/>
      <c r="H245" s="352" t="s">
        <v>567</v>
      </c>
      <c r="I245" s="353" t="s">
        <v>835</v>
      </c>
      <c r="J245" s="398">
        <v>2050202</v>
      </c>
      <c r="K245" s="355">
        <v>80</v>
      </c>
      <c r="L245" s="372" t="s">
        <v>781</v>
      </c>
    </row>
    <row r="246" customHeight="1" spans="1:12">
      <c r="A246" s="348"/>
      <c r="B246" s="358"/>
      <c r="C246" s="359"/>
      <c r="D246" s="360"/>
      <c r="E246" s="361"/>
      <c r="F246" s="356"/>
      <c r="G246" s="397"/>
      <c r="H246" s="352" t="s">
        <v>567</v>
      </c>
      <c r="I246" s="353" t="s">
        <v>836</v>
      </c>
      <c r="J246" s="398">
        <v>2050202</v>
      </c>
      <c r="K246" s="355">
        <v>60</v>
      </c>
      <c r="L246" s="372" t="s">
        <v>781</v>
      </c>
    </row>
    <row r="247" customHeight="1" spans="1:12">
      <c r="A247" s="348"/>
      <c r="B247" s="358"/>
      <c r="C247" s="359"/>
      <c r="D247" s="360"/>
      <c r="E247" s="361"/>
      <c r="F247" s="356"/>
      <c r="G247" s="397"/>
      <c r="H247" s="352" t="s">
        <v>567</v>
      </c>
      <c r="I247" s="353" t="s">
        <v>837</v>
      </c>
      <c r="J247" s="398">
        <v>2050202</v>
      </c>
      <c r="K247" s="355">
        <v>120</v>
      </c>
      <c r="L247" s="372" t="s">
        <v>781</v>
      </c>
    </row>
    <row r="248" customHeight="1" spans="1:12">
      <c r="A248" s="348"/>
      <c r="B248" s="358"/>
      <c r="C248" s="359"/>
      <c r="D248" s="360"/>
      <c r="E248" s="361"/>
      <c r="F248" s="356"/>
      <c r="G248" s="397"/>
      <c r="H248" s="352" t="s">
        <v>567</v>
      </c>
      <c r="I248" s="353" t="s">
        <v>838</v>
      </c>
      <c r="J248" s="398">
        <v>2059999</v>
      </c>
      <c r="K248" s="355">
        <v>180</v>
      </c>
      <c r="L248" s="372" t="s">
        <v>781</v>
      </c>
    </row>
    <row r="249" customHeight="1" spans="1:12">
      <c r="A249" s="348"/>
      <c r="B249" s="358"/>
      <c r="C249" s="359"/>
      <c r="D249" s="360"/>
      <c r="E249" s="361"/>
      <c r="F249" s="356"/>
      <c r="G249" s="397"/>
      <c r="H249" s="352" t="s">
        <v>567</v>
      </c>
      <c r="I249" s="353" t="s">
        <v>839</v>
      </c>
      <c r="J249" s="398">
        <v>2050202</v>
      </c>
      <c r="K249" s="355">
        <v>45</v>
      </c>
      <c r="L249" s="372" t="s">
        <v>781</v>
      </c>
    </row>
    <row r="250" customHeight="1" spans="1:12">
      <c r="A250" s="348"/>
      <c r="B250" s="358"/>
      <c r="C250" s="359"/>
      <c r="D250" s="360"/>
      <c r="E250" s="361"/>
      <c r="F250" s="356"/>
      <c r="G250" s="397"/>
      <c r="H250" s="352" t="s">
        <v>567</v>
      </c>
      <c r="I250" s="353" t="s">
        <v>840</v>
      </c>
      <c r="J250" s="398">
        <v>2050202</v>
      </c>
      <c r="K250" s="355">
        <v>60</v>
      </c>
      <c r="L250" s="372" t="s">
        <v>781</v>
      </c>
    </row>
    <row r="251" customHeight="1" spans="1:12">
      <c r="A251" s="348"/>
      <c r="B251" s="358"/>
      <c r="C251" s="359"/>
      <c r="D251" s="360"/>
      <c r="E251" s="361"/>
      <c r="F251" s="356"/>
      <c r="G251" s="397"/>
      <c r="H251" s="352" t="s">
        <v>567</v>
      </c>
      <c r="I251" s="353" t="s">
        <v>841</v>
      </c>
      <c r="J251" s="398">
        <v>2050203</v>
      </c>
      <c r="K251" s="355">
        <v>70</v>
      </c>
      <c r="L251" s="372" t="s">
        <v>781</v>
      </c>
    </row>
    <row r="252" customHeight="1" spans="1:12">
      <c r="A252" s="348"/>
      <c r="B252" s="358"/>
      <c r="C252" s="359"/>
      <c r="D252" s="360"/>
      <c r="E252" s="361"/>
      <c r="F252" s="356"/>
      <c r="G252" s="397"/>
      <c r="H252" s="352" t="s">
        <v>567</v>
      </c>
      <c r="I252" s="353" t="s">
        <v>842</v>
      </c>
      <c r="J252" s="398">
        <v>2050299</v>
      </c>
      <c r="K252" s="355">
        <v>531.83</v>
      </c>
      <c r="L252" s="372" t="s">
        <v>781</v>
      </c>
    </row>
    <row r="253" customHeight="1" spans="1:12">
      <c r="A253" s="348"/>
      <c r="B253" s="358"/>
      <c r="C253" s="359"/>
      <c r="D253" s="360"/>
      <c r="E253" s="361"/>
      <c r="F253" s="356"/>
      <c r="G253" s="397"/>
      <c r="H253" s="272" t="s">
        <v>843</v>
      </c>
      <c r="I253" s="273"/>
      <c r="J253" s="273"/>
      <c r="K253" s="275">
        <f>SUM(K254:K272)</f>
        <v>2182.7515</v>
      </c>
      <c r="L253" s="279"/>
    </row>
    <row r="254" customHeight="1" spans="1:12">
      <c r="A254" s="348"/>
      <c r="B254" s="358"/>
      <c r="C254" s="359"/>
      <c r="D254" s="360"/>
      <c r="E254" s="361"/>
      <c r="F254" s="356"/>
      <c r="G254" s="397"/>
      <c r="H254" s="287" t="s">
        <v>488</v>
      </c>
      <c r="I254" s="369" t="s">
        <v>844</v>
      </c>
      <c r="J254" s="377">
        <v>2089901</v>
      </c>
      <c r="K254" s="371">
        <v>8</v>
      </c>
      <c r="L254" s="372" t="s">
        <v>845</v>
      </c>
    </row>
    <row r="255" customHeight="1" spans="1:12">
      <c r="A255" s="348"/>
      <c r="B255" s="358"/>
      <c r="C255" s="359"/>
      <c r="D255" s="360"/>
      <c r="E255" s="361"/>
      <c r="F255" s="356"/>
      <c r="G255" s="397"/>
      <c r="H255" s="287" t="s">
        <v>488</v>
      </c>
      <c r="I255" s="353" t="s">
        <v>846</v>
      </c>
      <c r="J255" s="398">
        <v>2299901</v>
      </c>
      <c r="K255" s="371">
        <v>100</v>
      </c>
      <c r="L255" s="372" t="s">
        <v>845</v>
      </c>
    </row>
    <row r="256" customHeight="1" spans="1:12">
      <c r="A256" s="348"/>
      <c r="B256" s="358"/>
      <c r="C256" s="359"/>
      <c r="D256" s="360"/>
      <c r="E256" s="361"/>
      <c r="F256" s="356"/>
      <c r="G256" s="397"/>
      <c r="H256" s="287" t="s">
        <v>488</v>
      </c>
      <c r="I256" s="400" t="s">
        <v>847</v>
      </c>
      <c r="J256" s="398">
        <v>2299901</v>
      </c>
      <c r="K256" s="371">
        <v>10</v>
      </c>
      <c r="L256" s="372" t="s">
        <v>845</v>
      </c>
    </row>
    <row r="257" customHeight="1" spans="1:12">
      <c r="A257" s="348"/>
      <c r="B257" s="358"/>
      <c r="C257" s="359"/>
      <c r="D257" s="360"/>
      <c r="E257" s="361"/>
      <c r="F257" s="356"/>
      <c r="G257" s="397"/>
      <c r="H257" s="287" t="s">
        <v>488</v>
      </c>
      <c r="I257" s="386" t="s">
        <v>848</v>
      </c>
      <c r="J257" s="383">
        <v>2039901</v>
      </c>
      <c r="K257" s="384">
        <v>1.5</v>
      </c>
      <c r="L257" s="372" t="s">
        <v>845</v>
      </c>
    </row>
    <row r="258" customHeight="1" spans="1:12">
      <c r="A258" s="348"/>
      <c r="B258" s="358"/>
      <c r="C258" s="359"/>
      <c r="D258" s="360"/>
      <c r="E258" s="361"/>
      <c r="F258" s="356"/>
      <c r="G258" s="397"/>
      <c r="H258" s="287" t="s">
        <v>488</v>
      </c>
      <c r="I258" s="386" t="s">
        <v>849</v>
      </c>
      <c r="J258" s="383">
        <v>2049901</v>
      </c>
      <c r="K258" s="384">
        <v>50</v>
      </c>
      <c r="L258" s="372" t="s">
        <v>845</v>
      </c>
    </row>
    <row r="259" customHeight="1" spans="1:12">
      <c r="A259" s="348"/>
      <c r="B259" s="358"/>
      <c r="C259" s="359"/>
      <c r="D259" s="360"/>
      <c r="E259" s="361"/>
      <c r="F259" s="356"/>
      <c r="G259" s="397"/>
      <c r="H259" s="287" t="s">
        <v>488</v>
      </c>
      <c r="I259" s="386" t="s">
        <v>850</v>
      </c>
      <c r="J259" s="383">
        <v>2079999</v>
      </c>
      <c r="K259" s="384">
        <v>289.6778</v>
      </c>
      <c r="L259" s="372" t="s">
        <v>845</v>
      </c>
    </row>
    <row r="260" customHeight="1" spans="1:12">
      <c r="A260" s="348"/>
      <c r="B260" s="358"/>
      <c r="C260" s="359"/>
      <c r="D260" s="360"/>
      <c r="E260" s="361"/>
      <c r="F260" s="356"/>
      <c r="G260" s="397"/>
      <c r="H260" s="287" t="s">
        <v>488</v>
      </c>
      <c r="I260" s="386" t="s">
        <v>851</v>
      </c>
      <c r="J260" s="383">
        <v>2299901</v>
      </c>
      <c r="K260" s="384">
        <v>20</v>
      </c>
      <c r="L260" s="372" t="s">
        <v>845</v>
      </c>
    </row>
    <row r="261" customHeight="1" spans="1:12">
      <c r="A261" s="348"/>
      <c r="B261" s="358"/>
      <c r="C261" s="359"/>
      <c r="D261" s="360"/>
      <c r="E261" s="361"/>
      <c r="F261" s="356"/>
      <c r="G261" s="397"/>
      <c r="H261" s="287" t="s">
        <v>488</v>
      </c>
      <c r="I261" s="386" t="s">
        <v>852</v>
      </c>
      <c r="J261" s="383">
        <v>2299901</v>
      </c>
      <c r="K261" s="384">
        <v>152.5</v>
      </c>
      <c r="L261" s="372" t="s">
        <v>845</v>
      </c>
    </row>
    <row r="262" customHeight="1" spans="1:12">
      <c r="A262" s="348"/>
      <c r="B262" s="358"/>
      <c r="C262" s="359"/>
      <c r="D262" s="360"/>
      <c r="E262" s="361"/>
      <c r="F262" s="356"/>
      <c r="G262" s="397"/>
      <c r="H262" s="287" t="s">
        <v>488</v>
      </c>
      <c r="I262" s="386" t="s">
        <v>853</v>
      </c>
      <c r="J262" s="383">
        <v>2299901</v>
      </c>
      <c r="K262" s="384">
        <v>381.3313</v>
      </c>
      <c r="L262" s="372" t="s">
        <v>845</v>
      </c>
    </row>
    <row r="263" customHeight="1" spans="1:12">
      <c r="A263" s="348"/>
      <c r="B263" s="358"/>
      <c r="C263" s="359"/>
      <c r="D263" s="360"/>
      <c r="E263" s="361"/>
      <c r="F263" s="356"/>
      <c r="G263" s="389"/>
      <c r="H263" s="287" t="s">
        <v>488</v>
      </c>
      <c r="I263" s="386" t="s">
        <v>854</v>
      </c>
      <c r="J263" s="375" t="s">
        <v>572</v>
      </c>
      <c r="K263" s="384">
        <v>400</v>
      </c>
      <c r="L263" s="372" t="s">
        <v>845</v>
      </c>
    </row>
    <row r="264" customHeight="1" spans="1:12">
      <c r="A264" s="348"/>
      <c r="B264" s="358"/>
      <c r="C264" s="359"/>
      <c r="D264" s="360"/>
      <c r="E264" s="361"/>
      <c r="F264" s="356"/>
      <c r="G264" s="286"/>
      <c r="H264" s="287" t="s">
        <v>488</v>
      </c>
      <c r="I264" s="386" t="s">
        <v>855</v>
      </c>
      <c r="J264" s="375" t="s">
        <v>572</v>
      </c>
      <c r="K264" s="384">
        <v>12.7324</v>
      </c>
      <c r="L264" s="372" t="s">
        <v>845</v>
      </c>
    </row>
    <row r="265" customHeight="1" spans="1:12">
      <c r="A265" s="348"/>
      <c r="B265" s="358"/>
      <c r="C265" s="359"/>
      <c r="D265" s="360"/>
      <c r="E265" s="361"/>
      <c r="F265" s="356"/>
      <c r="G265" s="286"/>
      <c r="H265" s="287" t="s">
        <v>488</v>
      </c>
      <c r="I265" s="386" t="s">
        <v>856</v>
      </c>
      <c r="J265" s="375" t="s">
        <v>572</v>
      </c>
      <c r="K265" s="384">
        <v>5</v>
      </c>
      <c r="L265" s="372" t="s">
        <v>845</v>
      </c>
    </row>
    <row r="266" customHeight="1" spans="1:12">
      <c r="A266" s="348"/>
      <c r="B266" s="358"/>
      <c r="C266" s="359"/>
      <c r="D266" s="360"/>
      <c r="E266" s="361"/>
      <c r="F266" s="356"/>
      <c r="G266" s="397"/>
      <c r="H266" s="287" t="s">
        <v>488</v>
      </c>
      <c r="I266" s="396" t="s">
        <v>857</v>
      </c>
      <c r="J266" s="383">
        <v>2019999</v>
      </c>
      <c r="K266" s="384">
        <v>35.89</v>
      </c>
      <c r="L266" s="372" t="s">
        <v>845</v>
      </c>
    </row>
    <row r="267" customHeight="1" spans="1:12">
      <c r="A267" s="401"/>
      <c r="B267" s="358"/>
      <c r="C267" s="359"/>
      <c r="D267" s="360"/>
      <c r="E267" s="361"/>
      <c r="F267" s="356"/>
      <c r="G267" s="286"/>
      <c r="H267" s="287" t="s">
        <v>488</v>
      </c>
      <c r="I267" s="396" t="s">
        <v>858</v>
      </c>
      <c r="J267" s="383">
        <v>2240299</v>
      </c>
      <c r="K267" s="384">
        <v>14.12</v>
      </c>
      <c r="L267" s="372" t="s">
        <v>845</v>
      </c>
    </row>
    <row r="268" customHeight="1" spans="1:12">
      <c r="A268" s="401"/>
      <c r="B268" s="358"/>
      <c r="C268" s="359"/>
      <c r="D268" s="360"/>
      <c r="E268" s="361"/>
      <c r="F268" s="356"/>
      <c r="G268" s="286"/>
      <c r="H268" s="287" t="s">
        <v>488</v>
      </c>
      <c r="I268" s="376" t="s">
        <v>859</v>
      </c>
      <c r="J268" s="383">
        <v>2240299</v>
      </c>
      <c r="K268" s="384">
        <v>40</v>
      </c>
      <c r="L268" s="372" t="s">
        <v>845</v>
      </c>
    </row>
    <row r="269" customHeight="1" spans="1:12">
      <c r="A269" s="402"/>
      <c r="B269" s="358"/>
      <c r="C269" s="359"/>
      <c r="D269" s="360"/>
      <c r="E269" s="361"/>
      <c r="F269" s="356"/>
      <c r="G269" s="286"/>
      <c r="H269" s="287" t="s">
        <v>488</v>
      </c>
      <c r="I269" s="376" t="s">
        <v>860</v>
      </c>
      <c r="J269" s="387">
        <v>2120199</v>
      </c>
      <c r="K269" s="371">
        <v>400</v>
      </c>
      <c r="L269" s="372" t="s">
        <v>845</v>
      </c>
    </row>
    <row r="270" customHeight="1" spans="2:12">
      <c r="B270" s="358"/>
      <c r="C270" s="359"/>
      <c r="D270" s="360"/>
      <c r="E270" s="361"/>
      <c r="F270" s="356"/>
      <c r="G270" s="286"/>
      <c r="H270" s="287" t="s">
        <v>488</v>
      </c>
      <c r="I270" s="376" t="s">
        <v>861</v>
      </c>
      <c r="J270" s="387">
        <v>2299901</v>
      </c>
      <c r="K270" s="371">
        <v>100</v>
      </c>
      <c r="L270" s="372" t="s">
        <v>845</v>
      </c>
    </row>
    <row r="271" customHeight="1" spans="2:12">
      <c r="B271" s="358"/>
      <c r="C271" s="359"/>
      <c r="D271" s="360"/>
      <c r="E271" s="361"/>
      <c r="F271" s="356"/>
      <c r="H271" s="287" t="s">
        <v>488</v>
      </c>
      <c r="I271" s="376" t="s">
        <v>862</v>
      </c>
      <c r="J271" s="387">
        <v>2120199</v>
      </c>
      <c r="K271" s="371">
        <v>142</v>
      </c>
      <c r="L271" s="372" t="s">
        <v>845</v>
      </c>
    </row>
    <row r="272" customHeight="1" spans="2:12">
      <c r="B272" s="358"/>
      <c r="C272" s="359"/>
      <c r="D272" s="360"/>
      <c r="E272" s="361"/>
      <c r="F272" s="356"/>
      <c r="H272" s="287" t="s">
        <v>488</v>
      </c>
      <c r="I272" s="376" t="s">
        <v>863</v>
      </c>
      <c r="J272" s="387"/>
      <c r="K272" s="371">
        <v>20</v>
      </c>
      <c r="L272" s="372" t="s">
        <v>845</v>
      </c>
    </row>
    <row r="273" customHeight="1" spans="2:12">
      <c r="B273" s="358"/>
      <c r="C273" s="359"/>
      <c r="D273" s="360"/>
      <c r="E273" s="361"/>
      <c r="F273" s="356"/>
      <c r="H273" s="272" t="s">
        <v>864</v>
      </c>
      <c r="I273" s="273"/>
      <c r="J273" s="273"/>
      <c r="K273" s="275">
        <f>SUM(K274:K275)</f>
        <v>210.94</v>
      </c>
      <c r="L273" s="279"/>
    </row>
    <row r="274" customHeight="1" spans="2:12">
      <c r="B274" s="358"/>
      <c r="C274" s="359"/>
      <c r="D274" s="360"/>
      <c r="E274" s="361"/>
      <c r="F274" s="356"/>
      <c r="H274" s="352" t="s">
        <v>782</v>
      </c>
      <c r="I274" s="353" t="s">
        <v>865</v>
      </c>
      <c r="J274" s="398">
        <v>2210106</v>
      </c>
      <c r="K274" s="371">
        <v>2.34</v>
      </c>
      <c r="L274" s="372" t="s">
        <v>845</v>
      </c>
    </row>
    <row r="275" customHeight="1" spans="2:12">
      <c r="B275" s="403"/>
      <c r="C275" s="404"/>
      <c r="D275" s="405"/>
      <c r="E275" s="406"/>
      <c r="F275" s="407"/>
      <c r="H275" s="403" t="s">
        <v>782</v>
      </c>
      <c r="I275" s="404" t="s">
        <v>866</v>
      </c>
      <c r="J275" s="405">
        <v>2210107</v>
      </c>
      <c r="K275" s="406">
        <v>208.6</v>
      </c>
      <c r="L275" s="407" t="s">
        <v>845</v>
      </c>
    </row>
  </sheetData>
  <autoFilter xmlns:etc="http://www.wps.cn/officeDocument/2017/etCustomData" ref="A5:R275" etc:filterBottomFollowUsedRange="0">
    <extLst/>
  </autoFilter>
  <mergeCells count="17">
    <mergeCell ref="A2:L2"/>
    <mergeCell ref="B4:F4"/>
    <mergeCell ref="H4:L4"/>
    <mergeCell ref="B6:C6"/>
    <mergeCell ref="H6:I6"/>
    <mergeCell ref="B7:C7"/>
    <mergeCell ref="H7:I7"/>
    <mergeCell ref="B10:C10"/>
    <mergeCell ref="H13:I13"/>
    <mergeCell ref="B27:C27"/>
    <mergeCell ref="B33:C33"/>
    <mergeCell ref="B42:C42"/>
    <mergeCell ref="H82:I82"/>
    <mergeCell ref="H184:I184"/>
    <mergeCell ref="H193:I193"/>
    <mergeCell ref="H253:I253"/>
    <mergeCell ref="H273:I273"/>
  </mergeCells>
  <printOptions horizontalCentered="1"/>
  <pageMargins left="0.393055555555556" right="0.393055555555556" top="0.393055555555556" bottom="0.393055555555556" header="0.196527777777778" footer="0.196527777777778"/>
  <pageSetup paperSize="9" scale="85"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3"/>
  <sheetViews>
    <sheetView view="pageBreakPreview" zoomScaleNormal="60" workbookViewId="0">
      <pane ySplit="6" topLeftCell="A7" activePane="bottomLeft" state="frozen"/>
      <selection/>
      <selection pane="bottomLeft" activeCell="A1" sqref="A1"/>
    </sheetView>
  </sheetViews>
  <sheetFormatPr defaultColWidth="9" defaultRowHeight="12"/>
  <cols>
    <col min="1" max="1" width="20.875" style="223" customWidth="1"/>
    <col min="2" max="3" width="8.125" style="224" hidden="1" customWidth="1"/>
    <col min="4" max="4" width="8.125" style="225" hidden="1" customWidth="1"/>
    <col min="5" max="10" width="8.125" style="225" customWidth="1"/>
    <col min="11" max="11" width="6.375" style="225" customWidth="1"/>
    <col min="12" max="12" width="5.875" style="225" customWidth="1"/>
    <col min="13" max="13" width="6.125" style="225" customWidth="1"/>
    <col min="14" max="14" width="12.375" style="225" customWidth="1"/>
    <col min="15" max="15" width="6.125" style="225" customWidth="1"/>
    <col min="16" max="16" width="5.875" style="225" customWidth="1"/>
    <col min="17" max="17" width="6.125" style="225" customWidth="1"/>
    <col min="18" max="18" width="6.25" style="225" customWidth="1"/>
    <col min="19" max="19" width="6" style="225" customWidth="1"/>
    <col min="20" max="20" width="5.75" style="225" customWidth="1"/>
    <col min="21" max="21" width="6.25" style="224" customWidth="1"/>
    <col min="22" max="22" width="6.25" style="225" customWidth="1"/>
    <col min="23" max="23" width="7" style="225" customWidth="1"/>
    <col min="24" max="25" width="5.875" style="225" customWidth="1"/>
    <col min="26" max="26" width="12" style="225" customWidth="1"/>
    <col min="27" max="27" width="6.375" style="225" customWidth="1"/>
    <col min="28" max="28" width="6.75" style="225" customWidth="1"/>
    <col min="29" max="29" width="9.25" style="225" customWidth="1"/>
    <col min="30" max="31" width="6.75" style="225" customWidth="1"/>
    <col min="32" max="32" width="6.25" style="225" customWidth="1"/>
    <col min="33" max="34" width="6.375" style="225" customWidth="1"/>
    <col min="35" max="35" width="6.75" style="225" customWidth="1"/>
    <col min="36" max="36" width="7.5" style="225" customWidth="1"/>
    <col min="37" max="37" width="7.75" style="225" customWidth="1"/>
    <col min="38" max="38" width="7.625" style="225" customWidth="1"/>
    <col min="39" max="39" width="7.875" style="225" customWidth="1"/>
    <col min="40" max="40" width="9.5" style="223" customWidth="1"/>
    <col min="41" max="16384" width="9" style="223"/>
  </cols>
  <sheetData>
    <row r="1" s="220" customFormat="1" ht="20" customHeight="1" spans="1:13">
      <c r="A1" s="226" t="s">
        <v>867</v>
      </c>
      <c r="B1" s="227"/>
      <c r="C1" s="228"/>
      <c r="D1" s="229"/>
      <c r="E1" s="230"/>
      <c r="F1" s="231"/>
      <c r="G1" s="231"/>
      <c r="H1" s="231"/>
      <c r="I1" s="231"/>
      <c r="J1" s="231"/>
      <c r="K1" s="231"/>
      <c r="L1" s="229"/>
      <c r="M1" s="247"/>
    </row>
    <row r="2" ht="25" customHeight="1" spans="1:40">
      <c r="A2" s="11" t="s">
        <v>868</v>
      </c>
      <c r="B2" s="232"/>
      <c r="C2" s="232"/>
      <c r="D2" s="232"/>
      <c r="E2" s="232"/>
      <c r="F2" s="232"/>
      <c r="G2" s="232"/>
      <c r="H2" s="232"/>
      <c r="I2" s="232"/>
      <c r="J2" s="232"/>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row>
    <row r="3" ht="18.95" customHeight="1" spans="40:40">
      <c r="AN3" s="253" t="s">
        <v>869</v>
      </c>
    </row>
    <row r="4" s="221" customFormat="1" ht="21.75" customHeight="1" spans="1:40">
      <c r="A4" s="233" t="s">
        <v>6</v>
      </c>
      <c r="B4" s="234" t="s">
        <v>870</v>
      </c>
      <c r="C4" s="235"/>
      <c r="D4" s="235"/>
      <c r="E4" s="235"/>
      <c r="F4" s="235"/>
      <c r="G4" s="235"/>
      <c r="H4" s="235"/>
      <c r="I4" s="235"/>
      <c r="J4" s="248"/>
      <c r="K4" s="249" t="s">
        <v>871</v>
      </c>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54" t="s">
        <v>11</v>
      </c>
    </row>
    <row r="5" s="221" customFormat="1" ht="24" customHeight="1" spans="1:40">
      <c r="A5" s="236"/>
      <c r="B5" s="237" t="s">
        <v>872</v>
      </c>
      <c r="C5" s="237"/>
      <c r="D5" s="237"/>
      <c r="E5" s="238" t="s">
        <v>873</v>
      </c>
      <c r="F5" s="238"/>
      <c r="G5" s="238"/>
      <c r="H5" s="238" t="s">
        <v>874</v>
      </c>
      <c r="I5" s="238"/>
      <c r="J5" s="238"/>
      <c r="K5" s="65" t="s">
        <v>875</v>
      </c>
      <c r="L5" s="65"/>
      <c r="M5" s="65"/>
      <c r="N5" s="65"/>
      <c r="O5" s="65"/>
      <c r="P5" s="65"/>
      <c r="Q5" s="65"/>
      <c r="R5" s="65"/>
      <c r="S5" s="65"/>
      <c r="T5" s="65"/>
      <c r="U5" s="65"/>
      <c r="V5" s="65"/>
      <c r="W5" s="65"/>
      <c r="X5" s="65"/>
      <c r="Y5" s="65"/>
      <c r="Z5" s="65"/>
      <c r="AA5" s="65"/>
      <c r="AB5" s="65"/>
      <c r="AC5" s="65"/>
      <c r="AD5" s="65"/>
      <c r="AE5" s="65"/>
      <c r="AF5" s="65"/>
      <c r="AG5" s="65"/>
      <c r="AH5" s="65"/>
      <c r="AI5" s="65"/>
      <c r="AJ5" s="65"/>
      <c r="AK5" s="139" t="s">
        <v>876</v>
      </c>
      <c r="AL5" s="139" t="s">
        <v>877</v>
      </c>
      <c r="AM5" s="65" t="s">
        <v>470</v>
      </c>
      <c r="AN5" s="255"/>
    </row>
    <row r="6" s="221" customFormat="1" ht="114.95" customHeight="1" spans="1:40">
      <c r="A6" s="236"/>
      <c r="B6" s="237" t="s">
        <v>878</v>
      </c>
      <c r="C6" s="237" t="s">
        <v>879</v>
      </c>
      <c r="D6" s="237" t="s">
        <v>470</v>
      </c>
      <c r="E6" s="237" t="s">
        <v>878</v>
      </c>
      <c r="F6" s="237" t="s">
        <v>879</v>
      </c>
      <c r="G6" s="237" t="s">
        <v>470</v>
      </c>
      <c r="H6" s="237" t="s">
        <v>878</v>
      </c>
      <c r="I6" s="237" t="s">
        <v>879</v>
      </c>
      <c r="J6" s="237" t="s">
        <v>470</v>
      </c>
      <c r="K6" s="237" t="s">
        <v>880</v>
      </c>
      <c r="L6" s="237" t="s">
        <v>881</v>
      </c>
      <c r="M6" s="237" t="s">
        <v>882</v>
      </c>
      <c r="N6" s="237" t="s">
        <v>883</v>
      </c>
      <c r="O6" s="237" t="s">
        <v>884</v>
      </c>
      <c r="P6" s="237" t="s">
        <v>885</v>
      </c>
      <c r="Q6" s="237" t="s">
        <v>886</v>
      </c>
      <c r="R6" s="237" t="s">
        <v>887</v>
      </c>
      <c r="S6" s="237" t="s">
        <v>888</v>
      </c>
      <c r="T6" s="237" t="s">
        <v>889</v>
      </c>
      <c r="U6" s="237" t="s">
        <v>890</v>
      </c>
      <c r="V6" s="237" t="s">
        <v>891</v>
      </c>
      <c r="W6" s="237" t="s">
        <v>892</v>
      </c>
      <c r="X6" s="237" t="s">
        <v>240</v>
      </c>
      <c r="Y6" s="237" t="s">
        <v>893</v>
      </c>
      <c r="Z6" s="237" t="s">
        <v>894</v>
      </c>
      <c r="AA6" s="237" t="s">
        <v>895</v>
      </c>
      <c r="AB6" s="237" t="s">
        <v>896</v>
      </c>
      <c r="AC6" s="237" t="s">
        <v>897</v>
      </c>
      <c r="AD6" s="237" t="s">
        <v>898</v>
      </c>
      <c r="AE6" s="237" t="s">
        <v>436</v>
      </c>
      <c r="AF6" s="237" t="s">
        <v>899</v>
      </c>
      <c r="AG6" s="256" t="s">
        <v>564</v>
      </c>
      <c r="AH6" s="256" t="s">
        <v>900</v>
      </c>
      <c r="AI6" s="237" t="s">
        <v>761</v>
      </c>
      <c r="AJ6" s="237" t="s">
        <v>901</v>
      </c>
      <c r="AK6" s="139"/>
      <c r="AL6" s="139"/>
      <c r="AM6" s="65"/>
      <c r="AN6" s="255"/>
    </row>
    <row r="7" s="222" customFormat="1" ht="42" customHeight="1" spans="1:40">
      <c r="A7" s="239" t="s">
        <v>902</v>
      </c>
      <c r="B7" s="240">
        <f>397+128</f>
        <v>525</v>
      </c>
      <c r="C7" s="240"/>
      <c r="D7" s="240">
        <f t="shared" ref="D7:D15" si="0">+B7+C7</f>
        <v>525</v>
      </c>
      <c r="E7" s="240">
        <f>397+128</f>
        <v>525</v>
      </c>
      <c r="F7" s="240"/>
      <c r="G7" s="240">
        <f t="shared" ref="G7:G15" si="1">+E7+F7</f>
        <v>525</v>
      </c>
      <c r="H7" s="240">
        <f>397+128</f>
        <v>525</v>
      </c>
      <c r="I7" s="240"/>
      <c r="J7" s="240">
        <f t="shared" ref="J7:J23" si="2">+H7+I7</f>
        <v>525</v>
      </c>
      <c r="K7" s="240">
        <v>72</v>
      </c>
      <c r="L7" s="240"/>
      <c r="M7" s="240"/>
      <c r="N7" s="240"/>
      <c r="O7" s="240"/>
      <c r="P7" s="240"/>
      <c r="Q7" s="240"/>
      <c r="R7" s="240"/>
      <c r="S7" s="240">
        <v>34.86</v>
      </c>
      <c r="T7" s="240">
        <v>7</v>
      </c>
      <c r="U7" s="240"/>
      <c r="V7" s="240"/>
      <c r="W7" s="240"/>
      <c r="X7" s="240"/>
      <c r="Y7" s="240"/>
      <c r="Z7" s="240">
        <v>10</v>
      </c>
      <c r="AA7" s="240"/>
      <c r="AB7" s="240"/>
      <c r="AC7" s="240"/>
      <c r="AD7" s="240"/>
      <c r="AE7" s="240"/>
      <c r="AF7" s="240"/>
      <c r="AG7" s="240"/>
      <c r="AH7" s="240"/>
      <c r="AI7" s="240"/>
      <c r="AJ7" s="250">
        <f t="shared" ref="AJ7:AJ24" si="3">SUM(K7:AI7)</f>
        <v>123.86</v>
      </c>
      <c r="AK7" s="240">
        <f t="shared" ref="AK7:AK15" si="4">+AM7-AL7-AJ7</f>
        <v>401.14</v>
      </c>
      <c r="AL7" s="240"/>
      <c r="AM7" s="240">
        <v>525</v>
      </c>
      <c r="AN7" s="257"/>
    </row>
    <row r="8" s="222" customFormat="1" ht="42" customHeight="1" spans="1:40">
      <c r="A8" s="239" t="s">
        <v>903</v>
      </c>
      <c r="B8" s="240">
        <v>2564</v>
      </c>
      <c r="C8" s="240"/>
      <c r="D8" s="240">
        <f t="shared" si="0"/>
        <v>2564</v>
      </c>
      <c r="E8" s="240">
        <v>2564</v>
      </c>
      <c r="F8" s="240"/>
      <c r="G8" s="240">
        <f t="shared" si="1"/>
        <v>2564</v>
      </c>
      <c r="H8" s="240">
        <v>2564</v>
      </c>
      <c r="I8" s="240"/>
      <c r="J8" s="240">
        <f t="shared" si="2"/>
        <v>2564</v>
      </c>
      <c r="K8" s="250"/>
      <c r="L8" s="250"/>
      <c r="M8" s="250"/>
      <c r="N8" s="250">
        <v>282</v>
      </c>
      <c r="O8" s="250"/>
      <c r="P8" s="250"/>
      <c r="Q8" s="250">
        <f>100+50</f>
        <v>150</v>
      </c>
      <c r="R8" s="250">
        <f>10-9.4682</f>
        <v>0.5318</v>
      </c>
      <c r="S8" s="250"/>
      <c r="T8" s="250"/>
      <c r="U8" s="250"/>
      <c r="V8" s="250"/>
      <c r="W8" s="250">
        <v>785</v>
      </c>
      <c r="X8" s="250">
        <v>13</v>
      </c>
      <c r="Y8" s="250"/>
      <c r="Z8" s="250"/>
      <c r="AA8" s="250">
        <v>34</v>
      </c>
      <c r="AB8" s="250"/>
      <c r="AC8" s="250"/>
      <c r="AD8" s="250"/>
      <c r="AE8" s="250"/>
      <c r="AF8" s="250"/>
      <c r="AG8" s="250">
        <v>500</v>
      </c>
      <c r="AH8" s="250"/>
      <c r="AI8" s="250"/>
      <c r="AJ8" s="250">
        <f t="shared" si="3"/>
        <v>1764.5318</v>
      </c>
      <c r="AK8" s="240">
        <f t="shared" si="4"/>
        <v>799.4682</v>
      </c>
      <c r="AL8" s="250"/>
      <c r="AM8" s="250">
        <v>2564</v>
      </c>
      <c r="AN8" s="257"/>
    </row>
    <row r="9" s="222" customFormat="1" ht="42" customHeight="1" spans="1:40">
      <c r="A9" s="239" t="s">
        <v>904</v>
      </c>
      <c r="B9" s="240">
        <v>1222</v>
      </c>
      <c r="C9" s="240"/>
      <c r="D9" s="240">
        <f t="shared" si="0"/>
        <v>1222</v>
      </c>
      <c r="E9" s="240">
        <v>1222</v>
      </c>
      <c r="F9" s="240"/>
      <c r="G9" s="240">
        <f t="shared" si="1"/>
        <v>1222</v>
      </c>
      <c r="H9" s="240">
        <v>1222</v>
      </c>
      <c r="I9" s="240"/>
      <c r="J9" s="240">
        <f t="shared" si="2"/>
        <v>1222</v>
      </c>
      <c r="K9" s="250"/>
      <c r="L9" s="250"/>
      <c r="M9" s="250"/>
      <c r="N9" s="250"/>
      <c r="O9" s="250">
        <v>41</v>
      </c>
      <c r="P9" s="250"/>
      <c r="Q9" s="250"/>
      <c r="R9" s="250"/>
      <c r="S9" s="250"/>
      <c r="T9" s="250"/>
      <c r="U9" s="250"/>
      <c r="V9" s="250"/>
      <c r="W9" s="250"/>
      <c r="X9" s="250">
        <v>12</v>
      </c>
      <c r="Y9" s="250"/>
      <c r="Z9" s="250"/>
      <c r="AA9" s="250"/>
      <c r="AB9" s="250"/>
      <c r="AC9" s="250"/>
      <c r="AD9" s="250"/>
      <c r="AE9" s="250"/>
      <c r="AF9" s="250"/>
      <c r="AG9" s="250"/>
      <c r="AH9" s="250"/>
      <c r="AI9" s="250"/>
      <c r="AJ9" s="250">
        <f t="shared" si="3"/>
        <v>53</v>
      </c>
      <c r="AK9" s="240">
        <f t="shared" si="4"/>
        <v>0</v>
      </c>
      <c r="AL9" s="250">
        <v>1169</v>
      </c>
      <c r="AM9" s="250">
        <v>1222</v>
      </c>
      <c r="AN9" s="257"/>
    </row>
    <row r="10" s="222" customFormat="1" ht="42" customHeight="1" spans="1:40">
      <c r="A10" s="239" t="s">
        <v>905</v>
      </c>
      <c r="B10" s="240">
        <f>48+1210</f>
        <v>1258</v>
      </c>
      <c r="C10" s="240">
        <f>51.79+36</f>
        <v>87.79</v>
      </c>
      <c r="D10" s="240">
        <f t="shared" si="0"/>
        <v>1345.79</v>
      </c>
      <c r="E10" s="240">
        <f>48+1210</f>
        <v>1258</v>
      </c>
      <c r="F10" s="240">
        <f>51.79+36</f>
        <v>87.79</v>
      </c>
      <c r="G10" s="240">
        <f t="shared" si="1"/>
        <v>1345.79</v>
      </c>
      <c r="H10" s="240">
        <f>48+1210</f>
        <v>1258</v>
      </c>
      <c r="I10" s="240">
        <f>51.79+36</f>
        <v>87.79</v>
      </c>
      <c r="J10" s="240">
        <f t="shared" si="2"/>
        <v>1345.79</v>
      </c>
      <c r="K10" s="250"/>
      <c r="L10" s="250">
        <v>22</v>
      </c>
      <c r="M10" s="250"/>
      <c r="N10" s="250"/>
      <c r="O10" s="250"/>
      <c r="P10" s="250"/>
      <c r="Q10" s="250"/>
      <c r="R10" s="250"/>
      <c r="S10" s="250"/>
      <c r="T10" s="250"/>
      <c r="U10" s="250">
        <v>1207.621</v>
      </c>
      <c r="V10" s="250"/>
      <c r="W10" s="250"/>
      <c r="X10" s="250"/>
      <c r="Y10" s="250"/>
      <c r="Z10" s="250"/>
      <c r="AA10" s="250"/>
      <c r="AB10" s="250"/>
      <c r="AC10" s="250"/>
      <c r="AD10" s="250"/>
      <c r="AE10" s="250"/>
      <c r="AF10" s="250"/>
      <c r="AG10" s="250"/>
      <c r="AH10" s="250"/>
      <c r="AI10" s="250"/>
      <c r="AJ10" s="250">
        <f t="shared" si="3"/>
        <v>1229.621</v>
      </c>
      <c r="AK10" s="240">
        <f t="shared" si="4"/>
        <v>116.169</v>
      </c>
      <c r="AL10" s="250"/>
      <c r="AM10" s="250">
        <v>1345.79</v>
      </c>
      <c r="AN10" s="257"/>
    </row>
    <row r="11" s="222" customFormat="1" ht="42" customHeight="1" spans="1:40">
      <c r="A11" s="239" t="s">
        <v>906</v>
      </c>
      <c r="B11" s="240">
        <v>29</v>
      </c>
      <c r="C11" s="240"/>
      <c r="D11" s="240">
        <f t="shared" si="0"/>
        <v>29</v>
      </c>
      <c r="E11" s="240">
        <v>29</v>
      </c>
      <c r="F11" s="240"/>
      <c r="G11" s="240">
        <f t="shared" si="1"/>
        <v>29</v>
      </c>
      <c r="H11" s="240">
        <v>29</v>
      </c>
      <c r="I11" s="240"/>
      <c r="J11" s="240">
        <f t="shared" si="2"/>
        <v>29</v>
      </c>
      <c r="K11" s="250"/>
      <c r="L11" s="250"/>
      <c r="M11" s="250"/>
      <c r="N11" s="250"/>
      <c r="O11" s="250"/>
      <c r="P11" s="250"/>
      <c r="Q11" s="250"/>
      <c r="R11" s="250"/>
      <c r="S11" s="250"/>
      <c r="T11" s="250"/>
      <c r="U11" s="250">
        <v>29</v>
      </c>
      <c r="V11" s="250"/>
      <c r="W11" s="250"/>
      <c r="X11" s="250"/>
      <c r="Y11" s="250"/>
      <c r="Z11" s="250"/>
      <c r="AA11" s="250"/>
      <c r="AB11" s="250"/>
      <c r="AC11" s="250"/>
      <c r="AD11" s="250"/>
      <c r="AE11" s="250"/>
      <c r="AF11" s="250"/>
      <c r="AG11" s="250"/>
      <c r="AH11" s="250"/>
      <c r="AI11" s="250"/>
      <c r="AJ11" s="250">
        <f t="shared" si="3"/>
        <v>29</v>
      </c>
      <c r="AK11" s="240">
        <f t="shared" si="4"/>
        <v>0</v>
      </c>
      <c r="AL11" s="250"/>
      <c r="AM11" s="250">
        <v>29</v>
      </c>
      <c r="AN11" s="257"/>
    </row>
    <row r="12" s="222" customFormat="1" ht="47.1" customHeight="1" spans="1:40">
      <c r="A12" s="239" t="s">
        <v>907</v>
      </c>
      <c r="B12" s="240">
        <v>50</v>
      </c>
      <c r="C12" s="240"/>
      <c r="D12" s="240">
        <f t="shared" si="0"/>
        <v>50</v>
      </c>
      <c r="E12" s="240">
        <v>50</v>
      </c>
      <c r="F12" s="240"/>
      <c r="G12" s="240">
        <f t="shared" si="1"/>
        <v>50</v>
      </c>
      <c r="H12" s="240">
        <v>50</v>
      </c>
      <c r="I12" s="240"/>
      <c r="J12" s="240">
        <f t="shared" si="2"/>
        <v>50</v>
      </c>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v>50</v>
      </c>
      <c r="AJ12" s="250">
        <f t="shared" si="3"/>
        <v>50</v>
      </c>
      <c r="AK12" s="240">
        <f t="shared" si="4"/>
        <v>0</v>
      </c>
      <c r="AL12" s="250"/>
      <c r="AM12" s="250">
        <v>50</v>
      </c>
      <c r="AN12" s="257"/>
    </row>
    <row r="13" s="222" customFormat="1" ht="47.1" customHeight="1" spans="1:40">
      <c r="A13" s="239" t="s">
        <v>908</v>
      </c>
      <c r="B13" s="240">
        <v>205</v>
      </c>
      <c r="C13" s="240"/>
      <c r="D13" s="240">
        <f t="shared" si="0"/>
        <v>205</v>
      </c>
      <c r="E13" s="240">
        <f>205+750</f>
        <v>955</v>
      </c>
      <c r="F13" s="240"/>
      <c r="G13" s="240">
        <f t="shared" si="1"/>
        <v>955</v>
      </c>
      <c r="H13" s="240">
        <f>205+750</f>
        <v>955</v>
      </c>
      <c r="I13" s="240"/>
      <c r="J13" s="240">
        <f t="shared" si="2"/>
        <v>955</v>
      </c>
      <c r="K13" s="250"/>
      <c r="L13" s="250"/>
      <c r="M13" s="250"/>
      <c r="N13" s="250">
        <f>14.26+5.45-1.725</f>
        <v>17.985</v>
      </c>
      <c r="O13" s="250">
        <v>400</v>
      </c>
      <c r="P13" s="250">
        <v>197</v>
      </c>
      <c r="Q13" s="250"/>
      <c r="R13" s="250"/>
      <c r="S13" s="250"/>
      <c r="T13" s="250"/>
      <c r="U13" s="250"/>
      <c r="V13" s="250"/>
      <c r="W13" s="250"/>
      <c r="X13" s="250"/>
      <c r="Y13" s="250"/>
      <c r="Z13" s="250"/>
      <c r="AA13" s="250"/>
      <c r="AB13" s="250"/>
      <c r="AC13" s="250"/>
      <c r="AD13" s="250"/>
      <c r="AE13" s="250"/>
      <c r="AF13" s="250"/>
      <c r="AG13" s="250"/>
      <c r="AH13" s="250">
        <f>160-142</f>
        <v>18</v>
      </c>
      <c r="AI13" s="250"/>
      <c r="AJ13" s="250">
        <f t="shared" si="3"/>
        <v>632.985</v>
      </c>
      <c r="AK13" s="240">
        <f t="shared" si="4"/>
        <v>322.015</v>
      </c>
      <c r="AL13" s="250"/>
      <c r="AM13" s="250">
        <v>955</v>
      </c>
      <c r="AN13" s="257"/>
    </row>
    <row r="14" s="222" customFormat="1" ht="47.1" customHeight="1" spans="1:40">
      <c r="A14" s="239" t="s">
        <v>909</v>
      </c>
      <c r="B14" s="240">
        <v>909</v>
      </c>
      <c r="C14" s="240"/>
      <c r="D14" s="240">
        <f t="shared" si="0"/>
        <v>909</v>
      </c>
      <c r="E14" s="240">
        <f>909+14</f>
        <v>923</v>
      </c>
      <c r="F14" s="240"/>
      <c r="G14" s="240">
        <f t="shared" si="1"/>
        <v>923</v>
      </c>
      <c r="H14" s="240">
        <f>909+14</f>
        <v>923</v>
      </c>
      <c r="I14" s="240"/>
      <c r="J14" s="240">
        <f t="shared" si="2"/>
        <v>923</v>
      </c>
      <c r="K14" s="250"/>
      <c r="L14" s="250"/>
      <c r="M14" s="250"/>
      <c r="N14" s="250"/>
      <c r="O14" s="250"/>
      <c r="P14" s="250"/>
      <c r="Q14" s="250"/>
      <c r="R14" s="250"/>
      <c r="S14" s="250"/>
      <c r="T14" s="250"/>
      <c r="U14" s="250"/>
      <c r="V14" s="250"/>
      <c r="W14" s="250"/>
      <c r="X14" s="250"/>
      <c r="Y14" s="250"/>
      <c r="Z14" s="250"/>
      <c r="AA14" s="250"/>
      <c r="AB14" s="250"/>
      <c r="AC14" s="250"/>
      <c r="AD14" s="250"/>
      <c r="AE14" s="250"/>
      <c r="AF14" s="250">
        <v>14</v>
      </c>
      <c r="AG14" s="250"/>
      <c r="AH14" s="250"/>
      <c r="AI14" s="250"/>
      <c r="AJ14" s="250">
        <f t="shared" si="3"/>
        <v>14</v>
      </c>
      <c r="AK14" s="240">
        <f t="shared" si="4"/>
        <v>909</v>
      </c>
      <c r="AL14" s="250"/>
      <c r="AM14" s="250">
        <v>923</v>
      </c>
      <c r="AN14" s="257"/>
    </row>
    <row r="15" s="222" customFormat="1" ht="42" customHeight="1" spans="1:40">
      <c r="A15" s="239" t="s">
        <v>910</v>
      </c>
      <c r="B15" s="240">
        <v>1156</v>
      </c>
      <c r="C15" s="240"/>
      <c r="D15" s="240">
        <f t="shared" si="0"/>
        <v>1156</v>
      </c>
      <c r="E15" s="240">
        <v>1156</v>
      </c>
      <c r="F15" s="240"/>
      <c r="G15" s="240">
        <f t="shared" si="1"/>
        <v>1156</v>
      </c>
      <c r="H15" s="240">
        <v>1156</v>
      </c>
      <c r="I15" s="240"/>
      <c r="J15" s="240">
        <f t="shared" si="2"/>
        <v>1156</v>
      </c>
      <c r="K15" s="250"/>
      <c r="L15" s="250"/>
      <c r="M15" s="250"/>
      <c r="N15" s="250"/>
      <c r="O15" s="250"/>
      <c r="P15" s="250"/>
      <c r="Q15" s="250"/>
      <c r="R15" s="250"/>
      <c r="S15" s="250"/>
      <c r="T15" s="250"/>
      <c r="U15" s="250">
        <v>530.3165</v>
      </c>
      <c r="V15" s="250"/>
      <c r="W15" s="250"/>
      <c r="X15" s="250"/>
      <c r="Y15" s="250"/>
      <c r="Z15" s="250"/>
      <c r="AA15" s="250"/>
      <c r="AB15" s="250"/>
      <c r="AC15" s="250"/>
      <c r="AD15" s="250"/>
      <c r="AE15" s="250"/>
      <c r="AF15" s="250"/>
      <c r="AG15" s="250"/>
      <c r="AH15" s="250"/>
      <c r="AI15" s="250"/>
      <c r="AJ15" s="250">
        <f t="shared" si="3"/>
        <v>530.3165</v>
      </c>
      <c r="AK15" s="240">
        <f t="shared" si="4"/>
        <v>625.6835</v>
      </c>
      <c r="AL15" s="250"/>
      <c r="AM15" s="250">
        <v>1156</v>
      </c>
      <c r="AN15" s="257"/>
    </row>
    <row r="16" s="222" customFormat="1" ht="42" customHeight="1" spans="1:40">
      <c r="A16" s="239" t="s">
        <v>911</v>
      </c>
      <c r="B16" s="240"/>
      <c r="C16" s="240"/>
      <c r="D16" s="240"/>
      <c r="E16" s="240"/>
      <c r="F16" s="240"/>
      <c r="G16" s="240"/>
      <c r="H16" s="240"/>
      <c r="I16" s="240">
        <v>116.32</v>
      </c>
      <c r="J16" s="240">
        <f t="shared" si="2"/>
        <v>116.32</v>
      </c>
      <c r="K16" s="250"/>
      <c r="L16" s="250"/>
      <c r="M16" s="250">
        <v>116.32</v>
      </c>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f t="shared" si="3"/>
        <v>116.32</v>
      </c>
      <c r="AK16" s="240"/>
      <c r="AL16" s="250"/>
      <c r="AM16" s="250">
        <v>116.32</v>
      </c>
      <c r="AN16" s="257"/>
    </row>
    <row r="17" s="222" customFormat="1" ht="42" customHeight="1" spans="1:40">
      <c r="A17" s="239" t="s">
        <v>912</v>
      </c>
      <c r="B17" s="240"/>
      <c r="C17" s="240">
        <f>2991+638.77</f>
        <v>3629.77</v>
      </c>
      <c r="D17" s="240">
        <f t="shared" ref="D17:D21" si="5">+B17+C17</f>
        <v>3629.77</v>
      </c>
      <c r="E17" s="240"/>
      <c r="F17" s="240">
        <f>2991+638.77</f>
        <v>3629.77</v>
      </c>
      <c r="G17" s="240">
        <f t="shared" ref="G17:G23" si="6">+E17+F17</f>
        <v>3629.77</v>
      </c>
      <c r="H17" s="240"/>
      <c r="I17" s="240">
        <f>2991+638.77</f>
        <v>3629.77</v>
      </c>
      <c r="J17" s="240">
        <f t="shared" si="2"/>
        <v>3629.77</v>
      </c>
      <c r="K17" s="250"/>
      <c r="L17" s="250"/>
      <c r="M17" s="250">
        <v>4</v>
      </c>
      <c r="N17" s="250"/>
      <c r="O17" s="250"/>
      <c r="P17" s="250"/>
      <c r="Q17" s="250"/>
      <c r="R17" s="250"/>
      <c r="S17" s="250"/>
      <c r="T17" s="250"/>
      <c r="U17" s="250"/>
      <c r="V17" s="250">
        <v>55.82</v>
      </c>
      <c r="W17" s="250">
        <v>2211</v>
      </c>
      <c r="X17" s="250"/>
      <c r="Y17" s="250">
        <f>150-2</f>
        <v>148</v>
      </c>
      <c r="Z17" s="250"/>
      <c r="AA17" s="250"/>
      <c r="AB17" s="250"/>
      <c r="AC17" s="250"/>
      <c r="AD17" s="250"/>
      <c r="AE17" s="250"/>
      <c r="AF17" s="250"/>
      <c r="AG17" s="250"/>
      <c r="AH17" s="250"/>
      <c r="AI17" s="250"/>
      <c r="AJ17" s="250">
        <f t="shared" si="3"/>
        <v>2418.82</v>
      </c>
      <c r="AK17" s="240">
        <f t="shared" ref="AK17:AK23" si="7">+AM17-AL17-AJ17</f>
        <v>1210.95</v>
      </c>
      <c r="AL17" s="250"/>
      <c r="AM17" s="250">
        <v>3629.77</v>
      </c>
      <c r="AN17" s="257"/>
    </row>
    <row r="18" s="222" customFormat="1" ht="42" customHeight="1" spans="1:40">
      <c r="A18" s="239" t="s">
        <v>913</v>
      </c>
      <c r="B18" s="240">
        <v>1996</v>
      </c>
      <c r="C18" s="240"/>
      <c r="D18" s="240">
        <f t="shared" si="5"/>
        <v>1996</v>
      </c>
      <c r="E18" s="240">
        <v>1996</v>
      </c>
      <c r="F18" s="240"/>
      <c r="G18" s="240">
        <f t="shared" si="6"/>
        <v>1996</v>
      </c>
      <c r="H18" s="240">
        <v>1996</v>
      </c>
      <c r="I18" s="240"/>
      <c r="J18" s="240">
        <f t="shared" si="2"/>
        <v>1996</v>
      </c>
      <c r="K18" s="250"/>
      <c r="L18" s="250"/>
      <c r="M18" s="250"/>
      <c r="N18" s="250"/>
      <c r="O18" s="250"/>
      <c r="P18" s="250"/>
      <c r="Q18" s="250"/>
      <c r="R18" s="250"/>
      <c r="S18" s="250"/>
      <c r="T18" s="250"/>
      <c r="U18" s="250"/>
      <c r="V18" s="250"/>
      <c r="W18" s="250">
        <v>1040</v>
      </c>
      <c r="X18" s="250"/>
      <c r="Y18" s="250"/>
      <c r="Z18" s="250"/>
      <c r="AA18" s="250"/>
      <c r="AB18" s="250"/>
      <c r="AC18" s="250"/>
      <c r="AD18" s="250"/>
      <c r="AE18" s="250"/>
      <c r="AF18" s="250"/>
      <c r="AG18" s="250"/>
      <c r="AH18" s="250"/>
      <c r="AI18" s="250"/>
      <c r="AJ18" s="250">
        <f t="shared" si="3"/>
        <v>1040</v>
      </c>
      <c r="AK18" s="240">
        <f t="shared" si="7"/>
        <v>956</v>
      </c>
      <c r="AL18" s="250"/>
      <c r="AM18" s="250">
        <v>1996</v>
      </c>
      <c r="AN18" s="257"/>
    </row>
    <row r="19" s="222" customFormat="1" ht="42" customHeight="1" spans="1:40">
      <c r="A19" s="239" t="s">
        <v>914</v>
      </c>
      <c r="B19" s="240">
        <v>500</v>
      </c>
      <c r="C19" s="240">
        <v>760</v>
      </c>
      <c r="D19" s="240">
        <f t="shared" si="5"/>
        <v>1260</v>
      </c>
      <c r="E19" s="240">
        <v>500</v>
      </c>
      <c r="F19" s="240">
        <v>760</v>
      </c>
      <c r="G19" s="240">
        <f t="shared" si="6"/>
        <v>1260</v>
      </c>
      <c r="H19" s="240">
        <v>500</v>
      </c>
      <c r="I19" s="240">
        <v>760</v>
      </c>
      <c r="J19" s="240">
        <f t="shared" si="2"/>
        <v>1260</v>
      </c>
      <c r="K19" s="250">
        <v>50.03</v>
      </c>
      <c r="L19" s="250"/>
      <c r="M19" s="250"/>
      <c r="N19" s="250"/>
      <c r="O19" s="250"/>
      <c r="P19" s="250">
        <v>160</v>
      </c>
      <c r="Q19" s="250"/>
      <c r="R19" s="250"/>
      <c r="S19" s="250"/>
      <c r="T19" s="250">
        <f>100-15</f>
        <v>85</v>
      </c>
      <c r="U19" s="250"/>
      <c r="V19" s="250">
        <f>79.46-30.01</f>
        <v>49.45</v>
      </c>
      <c r="W19" s="250"/>
      <c r="X19" s="250"/>
      <c r="Y19" s="250"/>
      <c r="Z19" s="250"/>
      <c r="AA19" s="250"/>
      <c r="AB19" s="250"/>
      <c r="AC19" s="250">
        <f>323-9.8</f>
        <v>313.2</v>
      </c>
      <c r="AD19" s="250">
        <f>156-3</f>
        <v>153</v>
      </c>
      <c r="AE19" s="250"/>
      <c r="AF19" s="250">
        <v>42.3</v>
      </c>
      <c r="AG19" s="250"/>
      <c r="AH19" s="250"/>
      <c r="AI19" s="250"/>
      <c r="AJ19" s="250">
        <f t="shared" si="3"/>
        <v>852.98</v>
      </c>
      <c r="AK19" s="240">
        <f t="shared" si="7"/>
        <v>93.8100000000001</v>
      </c>
      <c r="AL19" s="250">
        <f>333.31-20.1</f>
        <v>313.21</v>
      </c>
      <c r="AM19" s="250">
        <v>1260</v>
      </c>
      <c r="AN19" s="257"/>
    </row>
    <row r="20" s="222" customFormat="1" ht="47.1" customHeight="1" spans="1:40">
      <c r="A20" s="239" t="s">
        <v>915</v>
      </c>
      <c r="B20" s="240"/>
      <c r="C20" s="240">
        <f>6250+650+300</f>
        <v>7200</v>
      </c>
      <c r="D20" s="240">
        <f t="shared" si="5"/>
        <v>7200</v>
      </c>
      <c r="E20" s="240"/>
      <c r="F20" s="240">
        <f>6250+650+300+597</f>
        <v>7797</v>
      </c>
      <c r="G20" s="240">
        <f t="shared" si="6"/>
        <v>7797</v>
      </c>
      <c r="H20" s="240"/>
      <c r="I20" s="240">
        <f>6250+650+300+597</f>
        <v>7797</v>
      </c>
      <c r="J20" s="240">
        <f t="shared" si="2"/>
        <v>7797</v>
      </c>
      <c r="K20" s="250">
        <v>420</v>
      </c>
      <c r="L20" s="250">
        <f>242-22.64686</f>
        <v>219.35314</v>
      </c>
      <c r="M20" s="250">
        <f>36+85.68</f>
        <v>121.68</v>
      </c>
      <c r="N20" s="250"/>
      <c r="O20" s="250"/>
      <c r="P20" s="250"/>
      <c r="Q20" s="250"/>
      <c r="R20" s="250"/>
      <c r="S20" s="250"/>
      <c r="T20" s="250"/>
      <c r="U20" s="250"/>
      <c r="V20" s="250"/>
      <c r="W20" s="250"/>
      <c r="X20" s="250"/>
      <c r="Y20" s="250"/>
      <c r="Z20" s="250">
        <f>867-439.46</f>
        <v>427.54</v>
      </c>
      <c r="AA20" s="250"/>
      <c r="AB20" s="250"/>
      <c r="AC20" s="250"/>
      <c r="AD20" s="250"/>
      <c r="AE20" s="250"/>
      <c r="AF20" s="250"/>
      <c r="AG20" s="250"/>
      <c r="AH20" s="250"/>
      <c r="AI20" s="250">
        <v>219</v>
      </c>
      <c r="AJ20" s="250">
        <f t="shared" si="3"/>
        <v>1407.57314</v>
      </c>
      <c r="AK20" s="240">
        <f t="shared" si="7"/>
        <v>6389.42686</v>
      </c>
      <c r="AL20" s="250"/>
      <c r="AM20" s="250">
        <v>7797</v>
      </c>
      <c r="AN20" s="257"/>
    </row>
    <row r="21" s="222" customFormat="1" ht="42" customHeight="1" spans="1:40">
      <c r="A21" s="239" t="s">
        <v>916</v>
      </c>
      <c r="B21" s="240">
        <v>2673</v>
      </c>
      <c r="C21" s="240"/>
      <c r="D21" s="240">
        <f t="shared" si="5"/>
        <v>2673</v>
      </c>
      <c r="E21" s="240">
        <f>2673+673+111</f>
        <v>3457</v>
      </c>
      <c r="F21" s="240"/>
      <c r="G21" s="240">
        <f t="shared" si="6"/>
        <v>3457</v>
      </c>
      <c r="H21" s="240">
        <f>2673+673+111</f>
        <v>3457</v>
      </c>
      <c r="I21" s="240"/>
      <c r="J21" s="240">
        <f t="shared" si="2"/>
        <v>3457</v>
      </c>
      <c r="K21" s="250"/>
      <c r="L21" s="250"/>
      <c r="M21" s="250"/>
      <c r="N21" s="250"/>
      <c r="O21" s="250"/>
      <c r="P21" s="250"/>
      <c r="Q21" s="250"/>
      <c r="R21" s="250"/>
      <c r="S21" s="250"/>
      <c r="T21" s="250"/>
      <c r="U21" s="250"/>
      <c r="V21" s="250"/>
      <c r="W21" s="250">
        <f>111+55</f>
        <v>166</v>
      </c>
      <c r="X21" s="250"/>
      <c r="Y21" s="250"/>
      <c r="Z21" s="250">
        <v>2</v>
      </c>
      <c r="AA21" s="250"/>
      <c r="AB21" s="250">
        <f>73.13-11.52</f>
        <v>61.61</v>
      </c>
      <c r="AC21" s="250"/>
      <c r="AD21" s="250"/>
      <c r="AE21" s="250">
        <v>434</v>
      </c>
      <c r="AF21" s="250"/>
      <c r="AG21" s="250"/>
      <c r="AH21" s="250"/>
      <c r="AI21" s="250"/>
      <c r="AJ21" s="250">
        <f t="shared" si="3"/>
        <v>663.61</v>
      </c>
      <c r="AK21" s="240">
        <f t="shared" si="7"/>
        <v>2793.39</v>
      </c>
      <c r="AL21" s="250"/>
      <c r="AM21" s="250">
        <v>3457</v>
      </c>
      <c r="AN21" s="257"/>
    </row>
    <row r="22" s="222" customFormat="1" ht="42" customHeight="1" spans="1:40">
      <c r="A22" s="239" t="s">
        <v>917</v>
      </c>
      <c r="B22" s="240"/>
      <c r="C22" s="240"/>
      <c r="D22" s="240"/>
      <c r="E22" s="240">
        <v>2892.462867</v>
      </c>
      <c r="F22" s="240"/>
      <c r="G22" s="240">
        <f t="shared" si="6"/>
        <v>2892.462867</v>
      </c>
      <c r="H22" s="240">
        <v>2892.462867</v>
      </c>
      <c r="I22" s="240"/>
      <c r="J22" s="240">
        <f t="shared" si="2"/>
        <v>2892.462867</v>
      </c>
      <c r="K22" s="250"/>
      <c r="L22" s="250"/>
      <c r="M22" s="250"/>
      <c r="N22" s="250"/>
      <c r="O22" s="250"/>
      <c r="P22" s="250"/>
      <c r="Q22" s="250"/>
      <c r="R22" s="250"/>
      <c r="S22" s="250"/>
      <c r="T22" s="250"/>
      <c r="U22" s="250"/>
      <c r="V22" s="250"/>
      <c r="W22" s="250">
        <v>2892.462867</v>
      </c>
      <c r="X22" s="250"/>
      <c r="Y22" s="250"/>
      <c r="Z22" s="250"/>
      <c r="AA22" s="250"/>
      <c r="AB22" s="250"/>
      <c r="AC22" s="250"/>
      <c r="AD22" s="250"/>
      <c r="AE22" s="250"/>
      <c r="AF22" s="250"/>
      <c r="AG22" s="250"/>
      <c r="AH22" s="250"/>
      <c r="AI22" s="250"/>
      <c r="AJ22" s="250">
        <f t="shared" si="3"/>
        <v>2892.462867</v>
      </c>
      <c r="AK22" s="240">
        <f t="shared" si="7"/>
        <v>0</v>
      </c>
      <c r="AL22" s="250"/>
      <c r="AM22" s="250">
        <v>2892.462867</v>
      </c>
      <c r="AN22" s="257"/>
    </row>
    <row r="23" s="222" customFormat="1" ht="48" customHeight="1" spans="1:40">
      <c r="A23" s="239" t="s">
        <v>918</v>
      </c>
      <c r="B23" s="240">
        <f>970+588+6232</f>
        <v>7790</v>
      </c>
      <c r="C23" s="240"/>
      <c r="D23" s="240">
        <f>+B23+C23</f>
        <v>7790</v>
      </c>
      <c r="E23" s="240">
        <f>970+588+6232+465+274+1500</f>
        <v>10029</v>
      </c>
      <c r="F23" s="240"/>
      <c r="G23" s="240">
        <f t="shared" si="6"/>
        <v>10029</v>
      </c>
      <c r="H23" s="240">
        <f>970+588+6232+465+274+1500</f>
        <v>10029</v>
      </c>
      <c r="I23" s="240"/>
      <c r="J23" s="240">
        <f t="shared" si="2"/>
        <v>10029</v>
      </c>
      <c r="K23" s="250"/>
      <c r="L23" s="250"/>
      <c r="M23" s="250">
        <v>2667.82</v>
      </c>
      <c r="N23" s="250"/>
      <c r="O23" s="250"/>
      <c r="P23" s="250"/>
      <c r="Q23" s="250"/>
      <c r="R23" s="250"/>
      <c r="S23" s="250"/>
      <c r="T23" s="250"/>
      <c r="U23" s="250"/>
      <c r="V23" s="250"/>
      <c r="W23" s="250">
        <f>218+274</f>
        <v>492</v>
      </c>
      <c r="X23" s="250"/>
      <c r="Y23" s="250"/>
      <c r="Z23" s="250"/>
      <c r="AA23" s="250"/>
      <c r="AB23" s="250"/>
      <c r="AC23" s="250"/>
      <c r="AD23" s="250"/>
      <c r="AE23" s="250"/>
      <c r="AF23" s="250"/>
      <c r="AG23" s="250"/>
      <c r="AH23" s="250"/>
      <c r="AI23" s="250">
        <f>225-35.24</f>
        <v>189.76</v>
      </c>
      <c r="AJ23" s="250">
        <f t="shared" si="3"/>
        <v>3349.58</v>
      </c>
      <c r="AK23" s="240">
        <f t="shared" si="7"/>
        <v>1557.24</v>
      </c>
      <c r="AL23" s="250">
        <v>5122.18</v>
      </c>
      <c r="AM23" s="250">
        <v>10029</v>
      </c>
      <c r="AN23" s="257"/>
    </row>
    <row r="24" s="222" customFormat="1" ht="48" customHeight="1" spans="1:40">
      <c r="A24" s="241" t="s">
        <v>470</v>
      </c>
      <c r="B24" s="242">
        <f t="shared" ref="B24:F24" si="8">SUM(B7:B23)</f>
        <v>20877</v>
      </c>
      <c r="C24" s="242">
        <f t="shared" si="8"/>
        <v>11677.56</v>
      </c>
      <c r="D24" s="243">
        <f>B24+C24</f>
        <v>32554.56</v>
      </c>
      <c r="E24" s="242">
        <f t="shared" si="8"/>
        <v>27556.462867</v>
      </c>
      <c r="F24" s="242">
        <f t="shared" si="8"/>
        <v>12274.56</v>
      </c>
      <c r="G24" s="243">
        <f>E24+F24</f>
        <v>39831.022867</v>
      </c>
      <c r="H24" s="242">
        <f t="shared" ref="H24:AI24" si="9">SUM(H7:H23)</f>
        <v>27556.462867</v>
      </c>
      <c r="I24" s="242">
        <f t="shared" si="9"/>
        <v>12390.88</v>
      </c>
      <c r="J24" s="243">
        <f>H24+I24</f>
        <v>39947.342867</v>
      </c>
      <c r="K24" s="251">
        <f t="shared" si="9"/>
        <v>542.03</v>
      </c>
      <c r="L24" s="251">
        <f t="shared" si="9"/>
        <v>241.35314</v>
      </c>
      <c r="M24" s="251">
        <f t="shared" si="9"/>
        <v>2909.82</v>
      </c>
      <c r="N24" s="251">
        <f t="shared" si="9"/>
        <v>299.985</v>
      </c>
      <c r="O24" s="251">
        <f t="shared" si="9"/>
        <v>441</v>
      </c>
      <c r="P24" s="251">
        <f t="shared" si="9"/>
        <v>357</v>
      </c>
      <c r="Q24" s="251">
        <f t="shared" si="9"/>
        <v>150</v>
      </c>
      <c r="R24" s="251">
        <f t="shared" si="9"/>
        <v>0.5318</v>
      </c>
      <c r="S24" s="251">
        <f t="shared" si="9"/>
        <v>34.86</v>
      </c>
      <c r="T24" s="251">
        <f t="shared" si="9"/>
        <v>92</v>
      </c>
      <c r="U24" s="251">
        <f t="shared" si="9"/>
        <v>1766.9375</v>
      </c>
      <c r="V24" s="251">
        <f t="shared" si="9"/>
        <v>105.27</v>
      </c>
      <c r="W24" s="251">
        <f t="shared" si="9"/>
        <v>7586.462867</v>
      </c>
      <c r="X24" s="251">
        <f t="shared" si="9"/>
        <v>25</v>
      </c>
      <c r="Y24" s="251">
        <f t="shared" si="9"/>
        <v>148</v>
      </c>
      <c r="Z24" s="251">
        <f t="shared" si="9"/>
        <v>439.54</v>
      </c>
      <c r="AA24" s="251">
        <f t="shared" si="9"/>
        <v>34</v>
      </c>
      <c r="AB24" s="251">
        <f t="shared" si="9"/>
        <v>61.61</v>
      </c>
      <c r="AC24" s="251">
        <f t="shared" si="9"/>
        <v>313.2</v>
      </c>
      <c r="AD24" s="251">
        <f t="shared" si="9"/>
        <v>153</v>
      </c>
      <c r="AE24" s="251">
        <f t="shared" si="9"/>
        <v>434</v>
      </c>
      <c r="AF24" s="251">
        <f t="shared" si="9"/>
        <v>56.3</v>
      </c>
      <c r="AG24" s="251">
        <f t="shared" si="9"/>
        <v>500</v>
      </c>
      <c r="AH24" s="251">
        <f t="shared" si="9"/>
        <v>18</v>
      </c>
      <c r="AI24" s="251">
        <f t="shared" si="9"/>
        <v>458.76</v>
      </c>
      <c r="AJ24" s="251">
        <f t="shared" si="3"/>
        <v>17168.660307</v>
      </c>
      <c r="AK24" s="251">
        <f>SUM(AK7:AK23)</f>
        <v>16174.29256</v>
      </c>
      <c r="AL24" s="251">
        <f>SUM(AL7:AL23)</f>
        <v>6604.39</v>
      </c>
      <c r="AM24" s="251">
        <f>+AJ24+AK24+AL24</f>
        <v>39947.342867</v>
      </c>
      <c r="AN24" s="258"/>
    </row>
    <row r="25" s="222" customFormat="1" ht="29.1" hidden="1" customHeight="1" spans="1:40">
      <c r="A25" s="244"/>
      <c r="B25" s="245"/>
      <c r="C25" s="245"/>
      <c r="D25" s="246"/>
      <c r="E25" s="245"/>
      <c r="F25" s="245"/>
      <c r="G25" s="246"/>
      <c r="H25" s="246"/>
      <c r="I25" s="246" t="s">
        <v>919</v>
      </c>
      <c r="J25" s="246">
        <f>SUM(K25:AI25)</f>
        <v>260.93</v>
      </c>
      <c r="K25" s="252"/>
      <c r="L25" s="252"/>
      <c r="M25" s="252">
        <v>204</v>
      </c>
      <c r="N25" s="252">
        <v>5.45</v>
      </c>
      <c r="O25" s="252"/>
      <c r="P25" s="252"/>
      <c r="Q25" s="252">
        <v>50</v>
      </c>
      <c r="R25" s="252"/>
      <c r="S25" s="252"/>
      <c r="T25" s="252"/>
      <c r="U25" s="252">
        <v>1.48</v>
      </c>
      <c r="V25" s="252"/>
      <c r="W25" s="252"/>
      <c r="X25" s="252"/>
      <c r="Y25" s="252"/>
      <c r="Z25" s="252"/>
      <c r="AA25" s="252"/>
      <c r="AB25" s="252"/>
      <c r="AC25" s="252"/>
      <c r="AD25" s="252"/>
      <c r="AE25" s="252"/>
      <c r="AF25" s="252"/>
      <c r="AG25" s="252"/>
      <c r="AH25" s="252"/>
      <c r="AI25" s="252"/>
      <c r="AJ25" s="252"/>
      <c r="AK25" s="252"/>
      <c r="AL25" s="252"/>
      <c r="AM25" s="252"/>
      <c r="AN25" s="221"/>
    </row>
    <row r="26" s="222" customFormat="1" ht="29.1" hidden="1" customHeight="1" spans="1:40">
      <c r="A26" s="244"/>
      <c r="B26" s="245"/>
      <c r="C26" s="245"/>
      <c r="D26" s="246"/>
      <c r="E26" s="245"/>
      <c r="F26" s="245"/>
      <c r="G26" s="246"/>
      <c r="H26" s="246"/>
      <c r="I26" s="246" t="s">
        <v>920</v>
      </c>
      <c r="J26" s="246">
        <f>SUM(K26:AI26)</f>
        <v>723.90256</v>
      </c>
      <c r="K26" s="252"/>
      <c r="L26" s="252">
        <v>22.64686</v>
      </c>
      <c r="M26" s="252">
        <v>2</v>
      </c>
      <c r="N26" s="252">
        <v>1.725</v>
      </c>
      <c r="O26" s="252"/>
      <c r="P26" s="252"/>
      <c r="Q26" s="252"/>
      <c r="R26" s="252">
        <v>9.4682</v>
      </c>
      <c r="S26" s="252"/>
      <c r="T26" s="252">
        <v>15</v>
      </c>
      <c r="U26" s="252">
        <v>0.0325</v>
      </c>
      <c r="V26" s="252">
        <f>30+0.01</f>
        <v>30.01</v>
      </c>
      <c r="W26" s="252"/>
      <c r="X26" s="252"/>
      <c r="Y26" s="252">
        <v>2</v>
      </c>
      <c r="Z26" s="252">
        <f>284.11+55.35+100</f>
        <v>439.46</v>
      </c>
      <c r="AA26" s="252"/>
      <c r="AB26" s="252">
        <f>5.98+5.54</f>
        <v>11.52</v>
      </c>
      <c r="AC26" s="252">
        <v>9.8</v>
      </c>
      <c r="AD26" s="252">
        <v>3</v>
      </c>
      <c r="AE26" s="252"/>
      <c r="AF26" s="252"/>
      <c r="AG26" s="252"/>
      <c r="AH26" s="252">
        <v>142</v>
      </c>
      <c r="AI26" s="252">
        <v>35.24</v>
      </c>
      <c r="AJ26" s="252"/>
      <c r="AK26" s="252"/>
      <c r="AL26" s="252"/>
      <c r="AM26" s="252"/>
      <c r="AN26" s="221"/>
    </row>
    <row r="27" ht="23.1" customHeight="1" spans="1:1">
      <c r="A27" s="223" t="s">
        <v>921</v>
      </c>
    </row>
    <row r="28" ht="23.1" customHeight="1"/>
    <row r="29" ht="23.1" customHeight="1"/>
    <row r="31" ht="18.95" customHeight="1"/>
    <row r="32" ht="18.95" customHeight="1"/>
    <row r="33" ht="18.95" customHeight="1"/>
  </sheetData>
  <mergeCells count="12">
    <mergeCell ref="A2:AN2"/>
    <mergeCell ref="B4:J4"/>
    <mergeCell ref="K4:AM4"/>
    <mergeCell ref="B5:D5"/>
    <mergeCell ref="E5:G5"/>
    <mergeCell ref="H5:J5"/>
    <mergeCell ref="K5:AJ5"/>
    <mergeCell ref="A4:A6"/>
    <mergeCell ref="AK5:AK6"/>
    <mergeCell ref="AL5:AL6"/>
    <mergeCell ref="AM5:AM6"/>
    <mergeCell ref="AN4:AN6"/>
  </mergeCells>
  <printOptions horizontalCentered="1"/>
  <pageMargins left="0.393055555555556" right="0.393055555555556" top="0.393055555555556" bottom="0.393055555555556" header="0.196527777777778" footer="0.196527777777778"/>
  <pageSetup paperSize="9" scale="46"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topLeftCell="A21" workbookViewId="0">
      <selection activeCell="A21" sqref="$A21:$XFD25"/>
    </sheetView>
  </sheetViews>
  <sheetFormatPr defaultColWidth="9" defaultRowHeight="14.25"/>
  <cols>
    <col min="1" max="1" width="37.25" style="1" customWidth="1"/>
    <col min="2" max="9" width="10.625" style="1" customWidth="1"/>
    <col min="10" max="10" width="20.625" style="1" customWidth="1"/>
    <col min="11" max="11" width="10.5" style="1" customWidth="1"/>
    <col min="12" max="16384" width="9" style="1"/>
  </cols>
  <sheetData>
    <row r="1" ht="20" customHeight="1" spans="1:1">
      <c r="A1" s="1" t="s">
        <v>922</v>
      </c>
    </row>
    <row r="2" ht="25" customHeight="1" spans="1:10">
      <c r="A2" s="36" t="s">
        <v>923</v>
      </c>
      <c r="B2" s="36"/>
      <c r="C2" s="36"/>
      <c r="D2" s="36"/>
      <c r="E2" s="36"/>
      <c r="F2" s="36"/>
      <c r="G2" s="36"/>
      <c r="H2" s="36"/>
      <c r="I2" s="36"/>
      <c r="J2" s="36"/>
    </row>
    <row r="3" s="3" customFormat="1" ht="20.1" customHeight="1" spans="10:10">
      <c r="J3" s="201" t="s">
        <v>5</v>
      </c>
    </row>
    <row r="4" s="208" customFormat="1" ht="24.95" customHeight="1" spans="1:10">
      <c r="A4" s="39" t="s">
        <v>6</v>
      </c>
      <c r="B4" s="39" t="s">
        <v>7</v>
      </c>
      <c r="C4" s="39"/>
      <c r="D4" s="39" t="s">
        <v>924</v>
      </c>
      <c r="E4" s="39"/>
      <c r="F4" s="39" t="s">
        <v>9</v>
      </c>
      <c r="G4" s="39"/>
      <c r="H4" s="39" t="s">
        <v>925</v>
      </c>
      <c r="I4" s="39"/>
      <c r="J4" s="39" t="s">
        <v>11</v>
      </c>
    </row>
    <row r="5" s="208" customFormat="1" ht="24.95" customHeight="1" spans="1:10">
      <c r="A5" s="39"/>
      <c r="B5" s="39"/>
      <c r="C5" s="39"/>
      <c r="D5" s="39"/>
      <c r="E5" s="39"/>
      <c r="F5" s="39"/>
      <c r="G5" s="39"/>
      <c r="H5" s="39"/>
      <c r="I5" s="39"/>
      <c r="J5" s="39"/>
    </row>
    <row r="6" s="208" customFormat="1" ht="24.95" customHeight="1" spans="1:10">
      <c r="A6" s="39"/>
      <c r="B6" s="39" t="s">
        <v>12</v>
      </c>
      <c r="C6" s="210" t="s">
        <v>13</v>
      </c>
      <c r="D6" s="39" t="s">
        <v>12</v>
      </c>
      <c r="E6" s="210" t="s">
        <v>13</v>
      </c>
      <c r="F6" s="39" t="s">
        <v>12</v>
      </c>
      <c r="G6" s="210" t="s">
        <v>13</v>
      </c>
      <c r="H6" s="39" t="s">
        <v>12</v>
      </c>
      <c r="I6" s="210" t="s">
        <v>13</v>
      </c>
      <c r="J6" s="39"/>
    </row>
    <row r="7" ht="27" hidden="1" customHeight="1" spans="1:10">
      <c r="A7" s="211" t="s">
        <v>926</v>
      </c>
      <c r="B7" s="212"/>
      <c r="C7" s="212"/>
      <c r="D7" s="212">
        <f>E7</f>
        <v>0</v>
      </c>
      <c r="E7" s="212"/>
      <c r="F7" s="212"/>
      <c r="G7" s="212">
        <f>C7+E7</f>
        <v>0</v>
      </c>
      <c r="H7" s="213"/>
      <c r="I7" s="213">
        <f t="shared" ref="I7:I9" si="0">IF(C7=0,IF(G7=0,0,100),100*(G7/C7-1))</f>
        <v>0</v>
      </c>
      <c r="J7" s="40"/>
    </row>
    <row r="8" ht="27" hidden="1" customHeight="1" spans="1:10">
      <c r="A8" s="211" t="s">
        <v>927</v>
      </c>
      <c r="B8" s="212"/>
      <c r="C8" s="212"/>
      <c r="D8" s="212">
        <f>E8</f>
        <v>0</v>
      </c>
      <c r="E8" s="212"/>
      <c r="F8" s="212">
        <f>B8+D8</f>
        <v>0</v>
      </c>
      <c r="G8" s="212">
        <f>C8+E8</f>
        <v>0</v>
      </c>
      <c r="H8" s="213">
        <f>IF(B8=0,IF(F8=0,0,100),100*(F8/B8-1))</f>
        <v>0</v>
      </c>
      <c r="I8" s="213">
        <f t="shared" si="0"/>
        <v>0</v>
      </c>
      <c r="J8" s="40"/>
    </row>
    <row r="9" s="209" customFormat="1" ht="24.95" customHeight="1" spans="1:10">
      <c r="A9" s="214" t="s">
        <v>928</v>
      </c>
      <c r="B9" s="196">
        <f t="shared" ref="B9:G9" si="1">SUM(B10:B20)</f>
        <v>314066</v>
      </c>
      <c r="C9" s="196">
        <f t="shared" si="1"/>
        <v>314066</v>
      </c>
      <c r="D9" s="196">
        <f t="shared" si="1"/>
        <v>-140300</v>
      </c>
      <c r="E9" s="196">
        <f t="shared" si="1"/>
        <v>-140300</v>
      </c>
      <c r="F9" s="196">
        <f t="shared" si="1"/>
        <v>173766</v>
      </c>
      <c r="G9" s="196">
        <f t="shared" si="1"/>
        <v>173766</v>
      </c>
      <c r="H9" s="215">
        <f>IF(B9=0,IF(F9=0,0,100),100*(F9/B9-1))</f>
        <v>-44.6721389771577</v>
      </c>
      <c r="I9" s="215">
        <f t="shared" si="0"/>
        <v>-44.6721389771577</v>
      </c>
      <c r="J9" s="164"/>
    </row>
    <row r="10" ht="24.95" customHeight="1" spans="1:10">
      <c r="A10" s="211" t="s">
        <v>929</v>
      </c>
      <c r="B10" s="216">
        <v>14400</v>
      </c>
      <c r="C10" s="216">
        <v>14400</v>
      </c>
      <c r="D10" s="216">
        <v>-6743</v>
      </c>
      <c r="E10" s="216">
        <v>-6743</v>
      </c>
      <c r="F10" s="216">
        <f t="shared" ref="F10:F21" si="2">B10+D10</f>
        <v>7657</v>
      </c>
      <c r="G10" s="216">
        <f t="shared" ref="G10:G15" si="3">C10+E10</f>
        <v>7657</v>
      </c>
      <c r="H10" s="217">
        <f t="shared" ref="H10:H20" si="4">IF(B10=0,IF(F10=0,0,100),100*(F10/B10-1))</f>
        <v>-46.8263888888889</v>
      </c>
      <c r="I10" s="217">
        <f t="shared" ref="I10:I32" si="5">IF(C10=0,IF(G10=0,0,100),100*(G10/C10-1))</f>
        <v>-46.8263888888889</v>
      </c>
      <c r="J10" s="153"/>
    </row>
    <row r="11" ht="24.95" customHeight="1" spans="1:10">
      <c r="A11" s="211" t="s">
        <v>930</v>
      </c>
      <c r="B11" s="216">
        <v>810</v>
      </c>
      <c r="C11" s="216">
        <v>810</v>
      </c>
      <c r="D11" s="216">
        <v>-572</v>
      </c>
      <c r="E11" s="216">
        <v>-572</v>
      </c>
      <c r="F11" s="216">
        <f t="shared" si="2"/>
        <v>238</v>
      </c>
      <c r="G11" s="216">
        <f t="shared" si="3"/>
        <v>238</v>
      </c>
      <c r="H11" s="217">
        <f t="shared" si="4"/>
        <v>-70.6172839506173</v>
      </c>
      <c r="I11" s="217">
        <f t="shared" si="5"/>
        <v>-70.6172839506173</v>
      </c>
      <c r="J11" s="153"/>
    </row>
    <row r="12" ht="24.95" customHeight="1" spans="1:10">
      <c r="A12" s="211" t="s">
        <v>931</v>
      </c>
      <c r="B12" s="216">
        <v>287576</v>
      </c>
      <c r="C12" s="216">
        <v>287576</v>
      </c>
      <c r="D12" s="216">
        <f>-141430+5000</f>
        <v>-136430</v>
      </c>
      <c r="E12" s="216">
        <f>-141430+5000</f>
        <v>-136430</v>
      </c>
      <c r="F12" s="216">
        <f t="shared" si="2"/>
        <v>151146</v>
      </c>
      <c r="G12" s="216">
        <f t="shared" si="3"/>
        <v>151146</v>
      </c>
      <c r="H12" s="217">
        <f t="shared" si="4"/>
        <v>-47.4413720199182</v>
      </c>
      <c r="I12" s="217">
        <f t="shared" si="5"/>
        <v>-47.4413720199182</v>
      </c>
      <c r="J12" s="153"/>
    </row>
    <row r="13" ht="24.95" customHeight="1" spans="1:10">
      <c r="A13" s="211" t="s">
        <v>932</v>
      </c>
      <c r="B13" s="216">
        <v>1600</v>
      </c>
      <c r="C13" s="216">
        <v>1600</v>
      </c>
      <c r="D13" s="216">
        <v>126</v>
      </c>
      <c r="E13" s="216">
        <v>126</v>
      </c>
      <c r="F13" s="216">
        <f t="shared" si="2"/>
        <v>1726</v>
      </c>
      <c r="G13" s="216">
        <f t="shared" si="3"/>
        <v>1726</v>
      </c>
      <c r="H13" s="217">
        <f t="shared" si="4"/>
        <v>7.87500000000001</v>
      </c>
      <c r="I13" s="217">
        <f t="shared" si="5"/>
        <v>7.87500000000001</v>
      </c>
      <c r="J13" s="153"/>
    </row>
    <row r="14" ht="24.95" customHeight="1" spans="1:10">
      <c r="A14" s="211" t="s">
        <v>933</v>
      </c>
      <c r="B14" s="216">
        <v>4000</v>
      </c>
      <c r="C14" s="216">
        <v>4000</v>
      </c>
      <c r="D14" s="216">
        <v>938</v>
      </c>
      <c r="E14" s="216">
        <v>938</v>
      </c>
      <c r="F14" s="216">
        <f t="shared" si="2"/>
        <v>4938</v>
      </c>
      <c r="G14" s="216">
        <f t="shared" si="3"/>
        <v>4938</v>
      </c>
      <c r="H14" s="217">
        <f t="shared" si="4"/>
        <v>23.45</v>
      </c>
      <c r="I14" s="217">
        <f t="shared" si="5"/>
        <v>23.45</v>
      </c>
      <c r="J14" s="153"/>
    </row>
    <row r="15" ht="24.95" customHeight="1" spans="1:10">
      <c r="A15" s="211" t="s">
        <v>934</v>
      </c>
      <c r="B15" s="216">
        <v>2230</v>
      </c>
      <c r="C15" s="216">
        <v>2230</v>
      </c>
      <c r="D15" s="216">
        <v>-1537</v>
      </c>
      <c r="E15" s="216">
        <v>-1537</v>
      </c>
      <c r="F15" s="216">
        <f t="shared" si="2"/>
        <v>693</v>
      </c>
      <c r="G15" s="216">
        <f t="shared" si="3"/>
        <v>693</v>
      </c>
      <c r="H15" s="217">
        <f t="shared" si="4"/>
        <v>-68.9237668161435</v>
      </c>
      <c r="I15" s="217">
        <f t="shared" si="5"/>
        <v>-68.9237668161435</v>
      </c>
      <c r="J15" s="153"/>
    </row>
    <row r="16" ht="24.95" hidden="1" customHeight="1" spans="1:10">
      <c r="A16" s="211" t="s">
        <v>935</v>
      </c>
      <c r="B16" s="216"/>
      <c r="C16" s="216"/>
      <c r="D16" s="216"/>
      <c r="E16" s="216"/>
      <c r="F16" s="216">
        <f t="shared" si="2"/>
        <v>0</v>
      </c>
      <c r="G16" s="216"/>
      <c r="H16" s="217">
        <f t="shared" si="4"/>
        <v>0</v>
      </c>
      <c r="I16" s="217">
        <f t="shared" si="5"/>
        <v>0</v>
      </c>
      <c r="J16" s="153"/>
    </row>
    <row r="17" ht="24.95" hidden="1" customHeight="1" spans="1:10">
      <c r="A17" s="211" t="s">
        <v>936</v>
      </c>
      <c r="B17" s="216"/>
      <c r="C17" s="216"/>
      <c r="D17" s="216"/>
      <c r="E17" s="216"/>
      <c r="F17" s="216">
        <f t="shared" si="2"/>
        <v>0</v>
      </c>
      <c r="G17" s="216"/>
      <c r="H17" s="217">
        <f t="shared" si="4"/>
        <v>0</v>
      </c>
      <c r="I17" s="217">
        <f t="shared" si="5"/>
        <v>0</v>
      </c>
      <c r="J17" s="153"/>
    </row>
    <row r="18" ht="24.95" customHeight="1" spans="1:10">
      <c r="A18" s="211" t="s">
        <v>937</v>
      </c>
      <c r="B18" s="216">
        <v>-4610</v>
      </c>
      <c r="C18" s="216">
        <v>-4610</v>
      </c>
      <c r="D18" s="216">
        <v>1018</v>
      </c>
      <c r="E18" s="216">
        <v>1018</v>
      </c>
      <c r="F18" s="216">
        <f t="shared" si="2"/>
        <v>-3592</v>
      </c>
      <c r="G18" s="216">
        <f>C18+E18</f>
        <v>-3592</v>
      </c>
      <c r="H18" s="217">
        <f t="shared" si="4"/>
        <v>-22.0824295010846</v>
      </c>
      <c r="I18" s="217">
        <f t="shared" si="5"/>
        <v>-22.0824295010846</v>
      </c>
      <c r="J18" s="40"/>
    </row>
    <row r="19" ht="24.95" customHeight="1" spans="1:10">
      <c r="A19" s="211" t="s">
        <v>938</v>
      </c>
      <c r="B19" s="216">
        <v>60</v>
      </c>
      <c r="C19" s="216">
        <v>60</v>
      </c>
      <c r="D19" s="216"/>
      <c r="E19" s="216"/>
      <c r="F19" s="216">
        <f t="shared" si="2"/>
        <v>60</v>
      </c>
      <c r="G19" s="216">
        <f>C19+E19</f>
        <v>60</v>
      </c>
      <c r="H19" s="217">
        <f t="shared" si="4"/>
        <v>0</v>
      </c>
      <c r="I19" s="217">
        <f t="shared" si="5"/>
        <v>0</v>
      </c>
      <c r="J19" s="153"/>
    </row>
    <row r="20" ht="24.95" customHeight="1" spans="1:10">
      <c r="A20" s="211" t="s">
        <v>939</v>
      </c>
      <c r="B20" s="216">
        <v>8000</v>
      </c>
      <c r="C20" s="216">
        <v>8000</v>
      </c>
      <c r="D20" s="216">
        <f>2800+50+50</f>
        <v>2900</v>
      </c>
      <c r="E20" s="216">
        <f>2800+50+50</f>
        <v>2900</v>
      </c>
      <c r="F20" s="216">
        <f t="shared" si="2"/>
        <v>10900</v>
      </c>
      <c r="G20" s="216">
        <f>C20+E20</f>
        <v>10900</v>
      </c>
      <c r="H20" s="217">
        <f t="shared" si="4"/>
        <v>36.25</v>
      </c>
      <c r="I20" s="217">
        <f t="shared" si="5"/>
        <v>36.25</v>
      </c>
      <c r="J20" s="153"/>
    </row>
    <row r="21" ht="24.95" customHeight="1" spans="1:10">
      <c r="A21" s="46" t="s">
        <v>43</v>
      </c>
      <c r="B21" s="218">
        <f t="shared" ref="B21:G21" si="6">SUM(B10:B20)</f>
        <v>314066</v>
      </c>
      <c r="C21" s="218">
        <f t="shared" si="6"/>
        <v>314066</v>
      </c>
      <c r="D21" s="218">
        <f t="shared" si="6"/>
        <v>-140300</v>
      </c>
      <c r="E21" s="218">
        <f t="shared" si="6"/>
        <v>-140300</v>
      </c>
      <c r="F21" s="218">
        <f t="shared" si="6"/>
        <v>173766</v>
      </c>
      <c r="G21" s="218">
        <f t="shared" si="6"/>
        <v>173766</v>
      </c>
      <c r="H21" s="215">
        <f t="shared" ref="H21:H27" si="7">IF(B21=0,IF(F21=0,0,100),100*(F21/B21-1))</f>
        <v>-44.6721389771577</v>
      </c>
      <c r="I21" s="215">
        <f t="shared" si="5"/>
        <v>-44.6721389771577</v>
      </c>
      <c r="J21" s="164"/>
    </row>
    <row r="22" ht="24.95" customHeight="1" spans="1:10">
      <c r="A22" s="219" t="s">
        <v>940</v>
      </c>
      <c r="B22" s="218">
        <f t="shared" ref="B22:G22" si="8">SUM(B23:B25)</f>
        <v>190713</v>
      </c>
      <c r="C22" s="218">
        <f t="shared" si="8"/>
        <v>190713</v>
      </c>
      <c r="D22" s="218">
        <f t="shared" si="8"/>
        <v>1993</v>
      </c>
      <c r="E22" s="218">
        <f t="shared" si="8"/>
        <v>1993</v>
      </c>
      <c r="F22" s="218">
        <f t="shared" si="8"/>
        <v>192706</v>
      </c>
      <c r="G22" s="218">
        <f t="shared" si="8"/>
        <v>192706</v>
      </c>
      <c r="H22" s="215">
        <f t="shared" si="7"/>
        <v>1.04502577170933</v>
      </c>
      <c r="I22" s="215">
        <f t="shared" si="5"/>
        <v>1.04502577170933</v>
      </c>
      <c r="J22" s="164"/>
    </row>
    <row r="23" ht="24.95" customHeight="1" spans="1:10">
      <c r="A23" s="211" t="s">
        <v>941</v>
      </c>
      <c r="B23" s="216">
        <v>80718</v>
      </c>
      <c r="C23" s="216">
        <v>80718</v>
      </c>
      <c r="D23" s="216">
        <v>1993</v>
      </c>
      <c r="E23" s="216">
        <v>1993</v>
      </c>
      <c r="F23" s="216">
        <f>B23+D23</f>
        <v>82711</v>
      </c>
      <c r="G23" s="216">
        <f t="shared" ref="G23:G25" si="9">C23+E23</f>
        <v>82711</v>
      </c>
      <c r="H23" s="217">
        <f t="shared" si="7"/>
        <v>2.46908991798607</v>
      </c>
      <c r="I23" s="217">
        <f t="shared" si="5"/>
        <v>2.46908991798607</v>
      </c>
      <c r="J23" s="153"/>
    </row>
    <row r="24" ht="24.95" customHeight="1" spans="1:10">
      <c r="A24" s="211" t="s">
        <v>942</v>
      </c>
      <c r="B24" s="216">
        <v>14995</v>
      </c>
      <c r="C24" s="216">
        <v>14995</v>
      </c>
      <c r="D24" s="216"/>
      <c r="E24" s="216"/>
      <c r="F24" s="216">
        <f>B24+D24</f>
        <v>14995</v>
      </c>
      <c r="G24" s="216">
        <f t="shared" si="9"/>
        <v>14995</v>
      </c>
      <c r="H24" s="217">
        <f t="shared" si="7"/>
        <v>0</v>
      </c>
      <c r="I24" s="217">
        <f t="shared" si="5"/>
        <v>0</v>
      </c>
      <c r="J24" s="153"/>
    </row>
    <row r="25" ht="24.95" customHeight="1" spans="1:10">
      <c r="A25" s="211" t="s">
        <v>943</v>
      </c>
      <c r="B25" s="216">
        <v>95000</v>
      </c>
      <c r="C25" s="216">
        <v>95000</v>
      </c>
      <c r="D25" s="216"/>
      <c r="E25" s="216"/>
      <c r="F25" s="216">
        <f>B25+D25</f>
        <v>95000</v>
      </c>
      <c r="G25" s="216">
        <f t="shared" si="9"/>
        <v>95000</v>
      </c>
      <c r="H25" s="217">
        <f t="shared" si="7"/>
        <v>0</v>
      </c>
      <c r="I25" s="217">
        <f t="shared" si="5"/>
        <v>0</v>
      </c>
      <c r="J25" s="153"/>
    </row>
    <row r="26" ht="24.95" hidden="1" customHeight="1" spans="1:10">
      <c r="A26" s="211" t="s">
        <v>944</v>
      </c>
      <c r="B26" s="216"/>
      <c r="C26" s="216"/>
      <c r="D26" s="216"/>
      <c r="E26" s="216"/>
      <c r="F26" s="216"/>
      <c r="G26" s="216"/>
      <c r="H26" s="217">
        <f t="shared" si="7"/>
        <v>0</v>
      </c>
      <c r="I26" s="217">
        <f t="shared" si="5"/>
        <v>0</v>
      </c>
      <c r="J26" s="153"/>
    </row>
    <row r="27" ht="24.95" customHeight="1" spans="1:10">
      <c r="A27" s="46" t="s">
        <v>54</v>
      </c>
      <c r="B27" s="218">
        <f t="shared" ref="B27:G27" si="10">B21+B22</f>
        <v>504779</v>
      </c>
      <c r="C27" s="218">
        <f t="shared" si="10"/>
        <v>504779</v>
      </c>
      <c r="D27" s="218">
        <f t="shared" si="10"/>
        <v>-138307</v>
      </c>
      <c r="E27" s="218">
        <f t="shared" si="10"/>
        <v>-138307</v>
      </c>
      <c r="F27" s="218">
        <f t="shared" si="10"/>
        <v>366472</v>
      </c>
      <c r="G27" s="218">
        <f t="shared" si="10"/>
        <v>366472</v>
      </c>
      <c r="H27" s="218">
        <f t="shared" si="7"/>
        <v>-27.3995154315057</v>
      </c>
      <c r="I27" s="218">
        <f t="shared" si="5"/>
        <v>-27.3995154315057</v>
      </c>
      <c r="J27" s="164"/>
    </row>
  </sheetData>
  <mergeCells count="7">
    <mergeCell ref="A2:J2"/>
    <mergeCell ref="A4:A6"/>
    <mergeCell ref="J4:J6"/>
    <mergeCell ref="B4:C5"/>
    <mergeCell ref="D4:E5"/>
    <mergeCell ref="F4:G5"/>
    <mergeCell ref="H4:I5"/>
  </mergeCells>
  <printOptions horizontalCentered="1"/>
  <pageMargins left="0.393055555555556" right="0.393055555555556" top="0.393055555555556" bottom="0.393055555555556" header="0.196527777777778" footer="0.196527777777778"/>
  <pageSetup paperSize="9" scale="91" orientation="landscape"/>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workbookViewId="0">
      <pane xSplit="6" ySplit="4" topLeftCell="G5" activePane="bottomRight" state="frozen"/>
      <selection/>
      <selection pane="topRight"/>
      <selection pane="bottomLeft"/>
      <selection pane="bottomRight" activeCell="H14" sqref="G14:H14"/>
    </sheetView>
  </sheetViews>
  <sheetFormatPr defaultColWidth="9" defaultRowHeight="13.5"/>
  <cols>
    <col min="1" max="1" width="7.75" style="166" customWidth="1"/>
    <col min="2" max="2" width="12.875" style="166" customWidth="1"/>
    <col min="3" max="3" width="20.625" style="167" customWidth="1"/>
    <col min="4" max="4" width="20.625" style="168" customWidth="1"/>
    <col min="5" max="5" width="10.625" style="169" customWidth="1"/>
    <col min="6" max="8" width="14.25" style="169" customWidth="1"/>
    <col min="9" max="9" width="13" style="169" customWidth="1"/>
    <col min="10" max="16383" width="9" style="169"/>
  </cols>
  <sheetData>
    <row r="1" s="1" customFormat="1" ht="20" customHeight="1" spans="1:1">
      <c r="A1" s="1" t="s">
        <v>945</v>
      </c>
    </row>
    <row r="2" s="1" customFormat="1" ht="25" customHeight="1" spans="1:10">
      <c r="A2" s="36" t="s">
        <v>946</v>
      </c>
      <c r="B2" s="36"/>
      <c r="C2" s="36"/>
      <c r="D2" s="36"/>
      <c r="E2" s="36"/>
      <c r="F2" s="36"/>
      <c r="G2" s="36"/>
      <c r="H2" s="36"/>
      <c r="I2" s="36"/>
      <c r="J2" s="36"/>
    </row>
    <row r="3" s="3" customFormat="1" ht="20.1" customHeight="1" spans="9:10">
      <c r="I3" s="200" t="s">
        <v>5</v>
      </c>
      <c r="J3" s="201"/>
    </row>
    <row r="4" s="165" customFormat="1" ht="35" customHeight="1" spans="1:9">
      <c r="A4" s="170" t="s">
        <v>947</v>
      </c>
      <c r="B4" s="170" t="s">
        <v>948</v>
      </c>
      <c r="C4" s="170" t="s">
        <v>949</v>
      </c>
      <c r="D4" s="170" t="s">
        <v>950</v>
      </c>
      <c r="E4" s="170" t="s">
        <v>951</v>
      </c>
      <c r="F4" s="171" t="s">
        <v>952</v>
      </c>
      <c r="G4" s="20" t="s">
        <v>924</v>
      </c>
      <c r="H4" s="20" t="s">
        <v>9</v>
      </c>
      <c r="I4" s="202" t="s">
        <v>953</v>
      </c>
    </row>
    <row r="5" s="165" customFormat="1" ht="35" customHeight="1" spans="1:9">
      <c r="A5" s="172">
        <v>1</v>
      </c>
      <c r="B5" s="172" t="s">
        <v>954</v>
      </c>
      <c r="C5" s="173" t="s">
        <v>955</v>
      </c>
      <c r="D5" s="174" t="s">
        <v>956</v>
      </c>
      <c r="E5" s="175">
        <v>120.06</v>
      </c>
      <c r="F5" s="175">
        <v>61400</v>
      </c>
      <c r="G5" s="175">
        <f>H5-F5</f>
        <v>0</v>
      </c>
      <c r="H5" s="175">
        <v>61400</v>
      </c>
      <c r="I5" s="179" t="s">
        <v>957</v>
      </c>
    </row>
    <row r="6" s="165" customFormat="1" ht="35" customHeight="1" spans="1:9">
      <c r="A6" s="172">
        <v>2</v>
      </c>
      <c r="B6" s="172" t="s">
        <v>954</v>
      </c>
      <c r="C6" s="173" t="s">
        <v>958</v>
      </c>
      <c r="D6" s="173" t="s">
        <v>959</v>
      </c>
      <c r="E6" s="176">
        <v>49.1625</v>
      </c>
      <c r="F6" s="175">
        <v>25000</v>
      </c>
      <c r="G6" s="175">
        <f t="shared" ref="G6:G29" si="0">H6-F6</f>
        <v>-25000</v>
      </c>
      <c r="H6" s="175">
        <v>0</v>
      </c>
      <c r="I6" s="179" t="s">
        <v>957</v>
      </c>
    </row>
    <row r="7" s="165" customFormat="1" ht="35" customHeight="1" spans="1:9">
      <c r="A7" s="172">
        <v>3</v>
      </c>
      <c r="B7" s="172" t="s">
        <v>954</v>
      </c>
      <c r="C7" s="173" t="s">
        <v>960</v>
      </c>
      <c r="D7" s="173" t="s">
        <v>961</v>
      </c>
      <c r="E7" s="176">
        <v>96.7605</v>
      </c>
      <c r="F7" s="175">
        <v>40000</v>
      </c>
      <c r="G7" s="175">
        <f t="shared" si="0"/>
        <v>-40000</v>
      </c>
      <c r="H7" s="175">
        <v>0</v>
      </c>
      <c r="I7" s="179" t="s">
        <v>957</v>
      </c>
    </row>
    <row r="8" s="165" customFormat="1" ht="35" customHeight="1" spans="1:9">
      <c r="A8" s="172">
        <v>4</v>
      </c>
      <c r="B8" s="172" t="s">
        <v>954</v>
      </c>
      <c r="C8" s="173" t="s">
        <v>962</v>
      </c>
      <c r="D8" s="173" t="s">
        <v>963</v>
      </c>
      <c r="E8" s="176">
        <v>26.367</v>
      </c>
      <c r="F8" s="176">
        <v>3740</v>
      </c>
      <c r="G8" s="175">
        <f t="shared" si="0"/>
        <v>0</v>
      </c>
      <c r="H8" s="175">
        <v>3740</v>
      </c>
      <c r="I8" s="179" t="s">
        <v>957</v>
      </c>
    </row>
    <row r="9" s="165" customFormat="1" ht="35" customHeight="1" spans="1:9">
      <c r="A9" s="172">
        <v>5</v>
      </c>
      <c r="B9" s="172" t="s">
        <v>954</v>
      </c>
      <c r="C9" s="173" t="s">
        <v>964</v>
      </c>
      <c r="D9" s="173" t="s">
        <v>965</v>
      </c>
      <c r="E9" s="176">
        <v>12.7575</v>
      </c>
      <c r="F9" s="176">
        <v>2904</v>
      </c>
      <c r="G9" s="175">
        <f t="shared" si="0"/>
        <v>0</v>
      </c>
      <c r="H9" s="175">
        <v>2904</v>
      </c>
      <c r="I9" s="179" t="s">
        <v>957</v>
      </c>
    </row>
    <row r="10" s="165" customFormat="1" ht="35" customHeight="1" spans="1:9">
      <c r="A10" s="177" t="s">
        <v>966</v>
      </c>
      <c r="B10" s="177"/>
      <c r="C10" s="177"/>
      <c r="D10" s="177"/>
      <c r="E10" s="178">
        <f t="shared" ref="E10:H10" si="1">SUM(E5:E9)</f>
        <v>305.1075</v>
      </c>
      <c r="F10" s="178">
        <f t="shared" si="1"/>
        <v>133044</v>
      </c>
      <c r="G10" s="178">
        <f t="shared" si="1"/>
        <v>-65000</v>
      </c>
      <c r="H10" s="178">
        <f t="shared" si="1"/>
        <v>68044</v>
      </c>
      <c r="I10" s="203"/>
    </row>
    <row r="11" s="165" customFormat="1" ht="35" customHeight="1" spans="1:9">
      <c r="A11" s="179">
        <v>6</v>
      </c>
      <c r="B11" s="173" t="s">
        <v>967</v>
      </c>
      <c r="C11" s="173" t="s">
        <v>968</v>
      </c>
      <c r="D11" s="180" t="s">
        <v>969</v>
      </c>
      <c r="E11" s="181">
        <v>15.71</v>
      </c>
      <c r="F11" s="182">
        <v>6070</v>
      </c>
      <c r="G11" s="175">
        <f t="shared" si="0"/>
        <v>0</v>
      </c>
      <c r="H11" s="175">
        <v>6070</v>
      </c>
      <c r="I11" s="203" t="s">
        <v>957</v>
      </c>
    </row>
    <row r="12" s="165" customFormat="1" ht="35" customHeight="1" spans="1:9">
      <c r="A12" s="179">
        <v>7</v>
      </c>
      <c r="B12" s="183" t="s">
        <v>970</v>
      </c>
      <c r="C12" s="184" t="s">
        <v>971</v>
      </c>
      <c r="D12" s="184" t="s">
        <v>972</v>
      </c>
      <c r="E12" s="181">
        <v>73.46</v>
      </c>
      <c r="F12" s="185">
        <v>24150</v>
      </c>
      <c r="G12" s="175">
        <f t="shared" si="0"/>
        <v>-21150</v>
      </c>
      <c r="H12" s="175">
        <v>3000</v>
      </c>
      <c r="I12" s="203" t="s">
        <v>957</v>
      </c>
    </row>
    <row r="13" s="165" customFormat="1" ht="35" customHeight="1" spans="1:9">
      <c r="A13" s="179">
        <v>8</v>
      </c>
      <c r="B13" s="183" t="s">
        <v>970</v>
      </c>
      <c r="C13" s="184" t="s">
        <v>973</v>
      </c>
      <c r="D13" s="184" t="s">
        <v>974</v>
      </c>
      <c r="E13" s="181">
        <v>89.56</v>
      </c>
      <c r="F13" s="185">
        <v>36000</v>
      </c>
      <c r="G13" s="175">
        <f t="shared" si="0"/>
        <v>-36000</v>
      </c>
      <c r="H13" s="175">
        <v>0</v>
      </c>
      <c r="I13" s="203" t="s">
        <v>957</v>
      </c>
    </row>
    <row r="14" s="165" customFormat="1" ht="35" customHeight="1" spans="1:9">
      <c r="A14" s="179">
        <v>9</v>
      </c>
      <c r="B14" s="183" t="s">
        <v>970</v>
      </c>
      <c r="C14" s="184" t="s">
        <v>973</v>
      </c>
      <c r="D14" s="184" t="s">
        <v>975</v>
      </c>
      <c r="E14" s="181">
        <v>151.49</v>
      </c>
      <c r="F14" s="185">
        <v>71820</v>
      </c>
      <c r="G14" s="176">
        <f t="shared" si="0"/>
        <v>0</v>
      </c>
      <c r="H14" s="176">
        <f>66820+5000</f>
        <v>71820</v>
      </c>
      <c r="I14" s="203" t="s">
        <v>957</v>
      </c>
    </row>
    <row r="15" s="165" customFormat="1" ht="35" customHeight="1" spans="1:9">
      <c r="A15" s="179">
        <v>10</v>
      </c>
      <c r="B15" s="183" t="s">
        <v>970</v>
      </c>
      <c r="C15" s="184" t="s">
        <v>973</v>
      </c>
      <c r="D15" s="184" t="s">
        <v>976</v>
      </c>
      <c r="E15" s="181">
        <v>200</v>
      </c>
      <c r="F15" s="175">
        <v>17000</v>
      </c>
      <c r="G15" s="175">
        <f t="shared" si="0"/>
        <v>-17000</v>
      </c>
      <c r="H15" s="175">
        <v>0</v>
      </c>
      <c r="I15" s="203" t="s">
        <v>957</v>
      </c>
    </row>
    <row r="16" s="165" customFormat="1" ht="35" customHeight="1" spans="1:9">
      <c r="A16" s="179">
        <v>11</v>
      </c>
      <c r="B16" s="173" t="s">
        <v>967</v>
      </c>
      <c r="C16" s="173" t="s">
        <v>977</v>
      </c>
      <c r="D16" s="186" t="s">
        <v>978</v>
      </c>
      <c r="E16" s="176">
        <v>84.714</v>
      </c>
      <c r="F16" s="181">
        <v>5750</v>
      </c>
      <c r="G16" s="175">
        <f t="shared" si="0"/>
        <v>-5750</v>
      </c>
      <c r="H16" s="175">
        <v>0</v>
      </c>
      <c r="I16" s="174" t="s">
        <v>957</v>
      </c>
    </row>
    <row r="17" s="165" customFormat="1" ht="35" customHeight="1" spans="1:9">
      <c r="A17" s="179">
        <v>12</v>
      </c>
      <c r="B17" s="173" t="s">
        <v>967</v>
      </c>
      <c r="C17" s="173" t="s">
        <v>979</v>
      </c>
      <c r="D17" s="187" t="s">
        <v>980</v>
      </c>
      <c r="E17" s="176">
        <v>14.25</v>
      </c>
      <c r="F17" s="188">
        <v>995</v>
      </c>
      <c r="G17" s="175">
        <f t="shared" si="0"/>
        <v>0</v>
      </c>
      <c r="H17" s="175">
        <v>995</v>
      </c>
      <c r="I17" s="174" t="s">
        <v>957</v>
      </c>
    </row>
    <row r="18" s="165" customFormat="1" ht="35" customHeight="1" spans="1:9">
      <c r="A18" s="179">
        <v>13</v>
      </c>
      <c r="B18" s="173" t="s">
        <v>967</v>
      </c>
      <c r="C18" s="173" t="s">
        <v>979</v>
      </c>
      <c r="D18" s="187" t="s">
        <v>981</v>
      </c>
      <c r="E18" s="176">
        <v>15.14</v>
      </c>
      <c r="F18" s="188">
        <v>1050</v>
      </c>
      <c r="G18" s="175">
        <f t="shared" si="0"/>
        <v>0</v>
      </c>
      <c r="H18" s="175">
        <v>1050</v>
      </c>
      <c r="I18" s="174" t="s">
        <v>957</v>
      </c>
    </row>
    <row r="19" s="165" customFormat="1" ht="35" customHeight="1" spans="1:9">
      <c r="A19" s="179">
        <v>15</v>
      </c>
      <c r="B19" s="173" t="s">
        <v>967</v>
      </c>
      <c r="C19" s="173" t="s">
        <v>982</v>
      </c>
      <c r="D19" s="189" t="s">
        <v>983</v>
      </c>
      <c r="E19" s="181">
        <v>29.261</v>
      </c>
      <c r="F19" s="188">
        <v>2550</v>
      </c>
      <c r="G19" s="175">
        <f t="shared" si="0"/>
        <v>0</v>
      </c>
      <c r="H19" s="175">
        <v>2550</v>
      </c>
      <c r="I19" s="174" t="s">
        <v>957</v>
      </c>
    </row>
    <row r="20" s="165" customFormat="1" ht="35" customHeight="1" spans="1:9">
      <c r="A20" s="179">
        <v>14</v>
      </c>
      <c r="B20" s="173" t="s">
        <v>967</v>
      </c>
      <c r="C20" s="173" t="s">
        <v>984</v>
      </c>
      <c r="D20" s="187" t="s">
        <v>985</v>
      </c>
      <c r="E20" s="176">
        <v>62</v>
      </c>
      <c r="F20" s="188">
        <v>3900</v>
      </c>
      <c r="G20" s="175">
        <f t="shared" si="0"/>
        <v>0</v>
      </c>
      <c r="H20" s="175">
        <v>3900</v>
      </c>
      <c r="I20" s="174" t="s">
        <v>957</v>
      </c>
    </row>
    <row r="21" s="165" customFormat="1" ht="35" customHeight="1" spans="1:9">
      <c r="A21" s="179">
        <v>16</v>
      </c>
      <c r="B21" s="173" t="s">
        <v>967</v>
      </c>
      <c r="C21" s="173" t="s">
        <v>986</v>
      </c>
      <c r="D21" s="187" t="s">
        <v>987</v>
      </c>
      <c r="E21" s="176">
        <v>1.77</v>
      </c>
      <c r="F21" s="188">
        <v>99</v>
      </c>
      <c r="G21" s="175">
        <f t="shared" si="0"/>
        <v>0</v>
      </c>
      <c r="H21" s="175">
        <v>99</v>
      </c>
      <c r="I21" s="174" t="s">
        <v>957</v>
      </c>
    </row>
    <row r="22" s="165" customFormat="1" ht="35" customHeight="1" spans="1:9">
      <c r="A22" s="179">
        <v>17</v>
      </c>
      <c r="B22" s="183" t="s">
        <v>988</v>
      </c>
      <c r="C22" s="174" t="s">
        <v>989</v>
      </c>
      <c r="D22" s="183" t="s">
        <v>990</v>
      </c>
      <c r="E22" s="176">
        <v>10</v>
      </c>
      <c r="F22" s="188">
        <v>720</v>
      </c>
      <c r="G22" s="175">
        <f t="shared" si="0"/>
        <v>0</v>
      </c>
      <c r="H22" s="175">
        <v>720</v>
      </c>
      <c r="I22" s="174" t="s">
        <v>957</v>
      </c>
    </row>
    <row r="23" s="165" customFormat="1" ht="35" customHeight="1" spans="1:9">
      <c r="A23" s="179">
        <v>18</v>
      </c>
      <c r="B23" s="173" t="s">
        <v>967</v>
      </c>
      <c r="C23" s="173" t="s">
        <v>968</v>
      </c>
      <c r="D23" s="180" t="s">
        <v>991</v>
      </c>
      <c r="E23" s="181"/>
      <c r="F23" s="182">
        <v>510</v>
      </c>
      <c r="G23" s="175">
        <f t="shared" si="0"/>
        <v>-0.120000000000005</v>
      </c>
      <c r="H23" s="175">
        <v>509.88</v>
      </c>
      <c r="I23" s="203" t="s">
        <v>992</v>
      </c>
    </row>
    <row r="24" s="165" customFormat="1" ht="35" customHeight="1" spans="1:9">
      <c r="A24" s="179">
        <v>19</v>
      </c>
      <c r="B24" s="174" t="s">
        <v>660</v>
      </c>
      <c r="C24" s="183" t="s">
        <v>993</v>
      </c>
      <c r="D24" s="174" t="s">
        <v>956</v>
      </c>
      <c r="E24" s="188"/>
      <c r="F24" s="175">
        <v>1090.020556</v>
      </c>
      <c r="G24" s="175">
        <f t="shared" si="0"/>
        <v>0</v>
      </c>
      <c r="H24" s="175">
        <v>1090.020556</v>
      </c>
      <c r="I24" s="203" t="s">
        <v>992</v>
      </c>
    </row>
    <row r="25" s="165" customFormat="1" ht="35" customHeight="1" spans="1:9">
      <c r="A25" s="179">
        <v>20</v>
      </c>
      <c r="B25" s="174" t="s">
        <v>660</v>
      </c>
      <c r="C25" s="189" t="s">
        <v>994</v>
      </c>
      <c r="D25" s="187" t="s">
        <v>995</v>
      </c>
      <c r="E25" s="181"/>
      <c r="F25" s="175">
        <v>2708.69</v>
      </c>
      <c r="G25" s="175">
        <f t="shared" si="0"/>
        <v>0</v>
      </c>
      <c r="H25" s="175">
        <v>2708.69</v>
      </c>
      <c r="I25" s="203" t="s">
        <v>996</v>
      </c>
    </row>
    <row r="26" s="165" customFormat="1" ht="35" customHeight="1" spans="1:9">
      <c r="A26" s="179">
        <v>21</v>
      </c>
      <c r="B26" s="174" t="s">
        <v>660</v>
      </c>
      <c r="C26" s="189" t="s">
        <v>994</v>
      </c>
      <c r="D26" s="187" t="s">
        <v>997</v>
      </c>
      <c r="E26" s="181"/>
      <c r="F26" s="175">
        <v>1122</v>
      </c>
      <c r="G26" s="175">
        <f t="shared" si="0"/>
        <v>0</v>
      </c>
      <c r="H26" s="175">
        <v>1122</v>
      </c>
      <c r="I26" s="203" t="s">
        <v>996</v>
      </c>
    </row>
    <row r="27" s="165" customFormat="1" ht="35" customHeight="1" spans="1:9">
      <c r="A27" s="179">
        <v>22</v>
      </c>
      <c r="B27" s="173" t="s">
        <v>967</v>
      </c>
      <c r="C27" s="173" t="s">
        <v>986</v>
      </c>
      <c r="D27" s="187" t="s">
        <v>998</v>
      </c>
      <c r="E27" s="181">
        <v>1.014</v>
      </c>
      <c r="F27" s="175">
        <v>27</v>
      </c>
      <c r="G27" s="175">
        <f t="shared" si="0"/>
        <v>0</v>
      </c>
      <c r="H27" s="175">
        <v>27</v>
      </c>
      <c r="I27" s="174" t="s">
        <v>957</v>
      </c>
    </row>
    <row r="28" s="165" customFormat="1" ht="35" customHeight="1" spans="1:9">
      <c r="A28" s="179">
        <v>23</v>
      </c>
      <c r="B28" s="174" t="s">
        <v>660</v>
      </c>
      <c r="C28" s="183" t="s">
        <v>999</v>
      </c>
      <c r="D28" s="190"/>
      <c r="E28" s="188"/>
      <c r="F28" s="188">
        <v>2400</v>
      </c>
      <c r="G28" s="175">
        <f t="shared" si="0"/>
        <v>400</v>
      </c>
      <c r="H28" s="175">
        <v>2800</v>
      </c>
      <c r="I28" s="203" t="s">
        <v>1000</v>
      </c>
    </row>
    <row r="29" s="165" customFormat="1" ht="35" customHeight="1" spans="1:9">
      <c r="A29" s="179">
        <v>24</v>
      </c>
      <c r="B29" s="183" t="s">
        <v>1001</v>
      </c>
      <c r="C29" s="183" t="s">
        <v>1002</v>
      </c>
      <c r="D29" s="183"/>
      <c r="E29" s="188"/>
      <c r="F29" s="188">
        <v>-5000</v>
      </c>
      <c r="G29" s="175">
        <f t="shared" si="0"/>
        <v>1300</v>
      </c>
      <c r="H29" s="175">
        <v>-3700</v>
      </c>
      <c r="I29" s="203"/>
    </row>
    <row r="30" s="165" customFormat="1" ht="35" customHeight="1" spans="1:9">
      <c r="A30" s="191" t="s">
        <v>1003</v>
      </c>
      <c r="B30" s="191"/>
      <c r="C30" s="191"/>
      <c r="D30" s="177"/>
      <c r="E30" s="192">
        <f>SUM(E11:E29)</f>
        <v>748.369</v>
      </c>
      <c r="F30" s="192">
        <f>SUM(F11:F29)</f>
        <v>172961.710556</v>
      </c>
      <c r="G30" s="193">
        <f t="shared" ref="G30:G35" si="2">H30-F30</f>
        <v>-78200.12</v>
      </c>
      <c r="H30" s="192">
        <f>SUM(H11:H29)</f>
        <v>94761.590556</v>
      </c>
      <c r="I30" s="204"/>
    </row>
    <row r="31" s="165" customFormat="1" ht="35" customHeight="1" spans="1:9">
      <c r="A31" s="191" t="s">
        <v>1004</v>
      </c>
      <c r="B31" s="191"/>
      <c r="C31" s="191"/>
      <c r="D31" s="177"/>
      <c r="E31" s="194">
        <f>E30+E10</f>
        <v>1053.4765</v>
      </c>
      <c r="F31" s="194">
        <f>F30+F10</f>
        <v>306005.710556</v>
      </c>
      <c r="G31" s="193">
        <f t="shared" si="2"/>
        <v>-143200.12</v>
      </c>
      <c r="H31" s="194">
        <f>H30+H10</f>
        <v>162805.590556</v>
      </c>
      <c r="I31" s="205"/>
    </row>
    <row r="32" s="165" customFormat="1" ht="35" customHeight="1" spans="1:9">
      <c r="A32" s="191" t="s">
        <v>1005</v>
      </c>
      <c r="B32" s="191"/>
      <c r="C32" s="191"/>
      <c r="D32" s="177"/>
      <c r="E32" s="194"/>
      <c r="F32" s="195">
        <v>8000</v>
      </c>
      <c r="G32" s="196">
        <f t="shared" si="2"/>
        <v>2900</v>
      </c>
      <c r="H32" s="196">
        <f>10800+50+50</f>
        <v>10900</v>
      </c>
      <c r="I32" s="206"/>
    </row>
    <row r="33" s="165" customFormat="1" ht="35" customHeight="1" spans="1:9">
      <c r="A33" s="191" t="s">
        <v>1006</v>
      </c>
      <c r="B33" s="191"/>
      <c r="C33" s="191"/>
      <c r="D33" s="177"/>
      <c r="E33" s="194"/>
      <c r="F33" s="195">
        <v>60</v>
      </c>
      <c r="G33" s="193">
        <f t="shared" si="2"/>
        <v>0.213002000000003</v>
      </c>
      <c r="H33" s="193">
        <v>60.213002</v>
      </c>
      <c r="I33" s="206"/>
    </row>
    <row r="34" s="165" customFormat="1" ht="35" customHeight="1" spans="1:9">
      <c r="A34" s="191" t="s">
        <v>1007</v>
      </c>
      <c r="B34" s="191"/>
      <c r="C34" s="191"/>
      <c r="D34" s="177"/>
      <c r="E34" s="195"/>
      <c r="F34" s="195">
        <f>F31+F32+F33</f>
        <v>314065.710556</v>
      </c>
      <c r="G34" s="193">
        <f t="shared" si="2"/>
        <v>-140299.906998</v>
      </c>
      <c r="H34" s="195">
        <f>H31+H32+H33</f>
        <v>173765.803558</v>
      </c>
      <c r="I34" s="206"/>
    </row>
    <row r="35" s="165" customFormat="1" ht="35" customHeight="1" spans="1:9">
      <c r="A35" s="191" t="s">
        <v>1008</v>
      </c>
      <c r="B35" s="191"/>
      <c r="C35" s="191"/>
      <c r="D35" s="191"/>
      <c r="E35" s="194"/>
      <c r="F35" s="194">
        <f>F30+F32+F33</f>
        <v>181021.710556</v>
      </c>
      <c r="G35" s="193">
        <f t="shared" si="2"/>
        <v>-75299.906998</v>
      </c>
      <c r="H35" s="194">
        <f>H30+H32+H33</f>
        <v>105721.803558</v>
      </c>
      <c r="I35" s="207"/>
    </row>
    <row r="36" spans="1:4">
      <c r="A36" s="197"/>
      <c r="B36" s="197"/>
      <c r="C36" s="198"/>
      <c r="D36" s="199"/>
    </row>
  </sheetData>
  <autoFilter xmlns:etc="http://www.wps.cn/officeDocument/2017/etCustomData" ref="A4:I35" etc:filterBottomFollowUsedRange="0">
    <extLst/>
  </autoFilter>
  <mergeCells count="9">
    <mergeCell ref="A2:J2"/>
    <mergeCell ref="A10:D10"/>
    <mergeCell ref="C29:D29"/>
    <mergeCell ref="A30:D30"/>
    <mergeCell ref="A31:D31"/>
    <mergeCell ref="A32:D32"/>
    <mergeCell ref="A33:D33"/>
    <mergeCell ref="A34:D34"/>
    <mergeCell ref="A35:D35"/>
  </mergeCells>
  <printOptions horizontalCentered="1"/>
  <pageMargins left="0.393055555555556" right="0.393055555555556" top="0.393055555555556" bottom="0.393055555555556" header="0.196527777777778" footer="0.196527777777778"/>
  <pageSetup paperSize="9" fitToHeight="0" orientation="landscape"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116"/>
  <sheetViews>
    <sheetView zoomScale="90" zoomScaleNormal="90" workbookViewId="0">
      <selection activeCell="G4" sqref="G4:L11"/>
    </sheetView>
  </sheetViews>
  <sheetFormatPr defaultColWidth="9" defaultRowHeight="23.1" customHeight="1"/>
  <cols>
    <col min="1" max="1" width="8" style="133" customWidth="1"/>
    <col min="2" max="2" width="6" style="134" hidden="1" customWidth="1"/>
    <col min="3" max="3" width="49" style="5" customWidth="1"/>
    <col min="4" max="6" width="10.125" style="1" customWidth="1"/>
    <col min="7" max="7" width="11.875" style="1" customWidth="1"/>
    <col min="8" max="10" width="10.125" style="1" hidden="1" customWidth="1"/>
    <col min="11" max="15" width="10.125" style="1" customWidth="1"/>
    <col min="16" max="16" width="7.375" style="135" customWidth="1"/>
    <col min="17" max="17" width="15.75" style="1" customWidth="1"/>
    <col min="18" max="18" width="10.5" style="1" customWidth="1"/>
    <col min="19" max="16384" width="9" style="1"/>
  </cols>
  <sheetData>
    <row r="1" ht="20" customHeight="1" spans="1:16">
      <c r="A1" s="1" t="s">
        <v>1009</v>
      </c>
      <c r="B1" s="1"/>
      <c r="C1" s="1"/>
      <c r="P1" s="1"/>
    </row>
    <row r="2" ht="25" customHeight="1" spans="1:17">
      <c r="A2" s="11" t="s">
        <v>1010</v>
      </c>
      <c r="B2" s="11"/>
      <c r="C2" s="11"/>
      <c r="D2" s="11"/>
      <c r="E2" s="11"/>
      <c r="F2" s="11"/>
      <c r="G2" s="11"/>
      <c r="H2" s="11"/>
      <c r="I2" s="11"/>
      <c r="J2" s="11"/>
      <c r="K2" s="11"/>
      <c r="L2" s="11"/>
      <c r="M2" s="11"/>
      <c r="N2" s="11"/>
      <c r="O2" s="11"/>
      <c r="P2" s="11"/>
      <c r="Q2" s="11"/>
    </row>
    <row r="3" s="132" customFormat="1" ht="20.1" customHeight="1" spans="1:17">
      <c r="A3" s="136"/>
      <c r="B3" s="136"/>
      <c r="C3" s="136"/>
      <c r="D3" s="136"/>
      <c r="E3" s="137"/>
      <c r="F3" s="137"/>
      <c r="G3" s="137"/>
      <c r="H3" s="137"/>
      <c r="I3" s="137"/>
      <c r="J3" s="137"/>
      <c r="K3" s="136"/>
      <c r="L3" s="136"/>
      <c r="Q3" s="152" t="s">
        <v>5</v>
      </c>
    </row>
    <row r="4" s="5" customFormat="1" customHeight="1" spans="1:17">
      <c r="A4" s="138" t="s">
        <v>1011</v>
      </c>
      <c r="B4" s="138"/>
      <c r="C4" s="139" t="s">
        <v>6</v>
      </c>
      <c r="D4" s="139" t="s">
        <v>7</v>
      </c>
      <c r="E4" s="139"/>
      <c r="F4" s="140"/>
      <c r="G4" s="139" t="s">
        <v>8</v>
      </c>
      <c r="H4" s="139"/>
      <c r="I4" s="139"/>
      <c r="J4" s="139"/>
      <c r="K4" s="139"/>
      <c r="L4" s="139"/>
      <c r="M4" s="139" t="s">
        <v>9</v>
      </c>
      <c r="N4" s="139"/>
      <c r="O4" s="139"/>
      <c r="P4" s="150" t="s">
        <v>1012</v>
      </c>
      <c r="Q4" s="139" t="s">
        <v>11</v>
      </c>
    </row>
    <row r="5" s="5" customFormat="1" customHeight="1" spans="1:17">
      <c r="A5" s="138"/>
      <c r="B5" s="138"/>
      <c r="C5" s="139"/>
      <c r="D5" s="141" t="s">
        <v>1013</v>
      </c>
      <c r="E5" s="139" t="s">
        <v>1014</v>
      </c>
      <c r="F5" s="141" t="s">
        <v>470</v>
      </c>
      <c r="G5" s="141" t="s">
        <v>1015</v>
      </c>
      <c r="H5" s="141" t="s">
        <v>1016</v>
      </c>
      <c r="I5" s="141" t="s">
        <v>1017</v>
      </c>
      <c r="J5" s="141" t="s">
        <v>1018</v>
      </c>
      <c r="K5" s="141" t="s">
        <v>1019</v>
      </c>
      <c r="L5" s="141" t="s">
        <v>1014</v>
      </c>
      <c r="M5" s="139" t="s">
        <v>1013</v>
      </c>
      <c r="N5" s="139" t="s">
        <v>1014</v>
      </c>
      <c r="O5" s="139" t="s">
        <v>470</v>
      </c>
      <c r="P5" s="150"/>
      <c r="Q5" s="139"/>
    </row>
    <row r="6" s="5" customFormat="1" ht="24.95" hidden="1" customHeight="1" spans="1:17">
      <c r="A6" s="142" t="s">
        <v>1020</v>
      </c>
      <c r="B6" s="138"/>
      <c r="C6" s="142" t="s">
        <v>1021</v>
      </c>
      <c r="D6" s="143">
        <f t="shared" ref="D6:D11" si="0">D7</f>
        <v>0</v>
      </c>
      <c r="E6" s="143">
        <f t="shared" ref="E6:E11" si="1">E7</f>
        <v>0</v>
      </c>
      <c r="F6" s="143">
        <f t="shared" ref="F6:F69" si="2">D6+E6</f>
        <v>0</v>
      </c>
      <c r="G6" s="143"/>
      <c r="H6" s="143"/>
      <c r="I6" s="143"/>
      <c r="J6" s="143"/>
      <c r="K6" s="143"/>
      <c r="L6" s="143"/>
      <c r="M6" s="143">
        <f>D6+G6+H6+I6+J6+K6</f>
        <v>0</v>
      </c>
      <c r="N6" s="143">
        <f t="shared" ref="N6:N69" si="3">E6+L6</f>
        <v>0</v>
      </c>
      <c r="O6" s="143">
        <f t="shared" ref="O6:O69" si="4">M6+N6</f>
        <v>0</v>
      </c>
      <c r="P6" s="151">
        <f t="shared" ref="P6:P69" si="5">IF(F6=0,IF(O6=0,0,100),100*(O6/F6-1))</f>
        <v>0</v>
      </c>
      <c r="Q6" s="153"/>
    </row>
    <row r="7" s="5" customFormat="1" ht="24.95" hidden="1" customHeight="1" spans="1:17">
      <c r="A7" s="142" t="s">
        <v>1022</v>
      </c>
      <c r="B7" s="138"/>
      <c r="C7" s="142" t="s">
        <v>1023</v>
      </c>
      <c r="D7" s="143">
        <f>D8+D9</f>
        <v>0</v>
      </c>
      <c r="E7" s="143">
        <f>E8+E9</f>
        <v>0</v>
      </c>
      <c r="F7" s="143">
        <f t="shared" si="2"/>
        <v>0</v>
      </c>
      <c r="G7" s="143"/>
      <c r="H7" s="143"/>
      <c r="I7" s="143"/>
      <c r="J7" s="143"/>
      <c r="K7" s="143"/>
      <c r="L7" s="143"/>
      <c r="M7" s="143">
        <f t="shared" ref="M7:M69" si="6">D7+G7+H7+I7+J7+K7</f>
        <v>0</v>
      </c>
      <c r="N7" s="143">
        <f t="shared" si="3"/>
        <v>0</v>
      </c>
      <c r="O7" s="143">
        <f t="shared" si="4"/>
        <v>0</v>
      </c>
      <c r="P7" s="151">
        <f t="shared" si="5"/>
        <v>0</v>
      </c>
      <c r="Q7" s="153"/>
    </row>
    <row r="8" s="5" customFormat="1" ht="24.95" hidden="1" customHeight="1" spans="1:17">
      <c r="A8" s="142" t="s">
        <v>1024</v>
      </c>
      <c r="B8" s="138"/>
      <c r="C8" s="142" t="s">
        <v>1025</v>
      </c>
      <c r="D8" s="143"/>
      <c r="E8" s="143"/>
      <c r="F8" s="143">
        <f t="shared" si="2"/>
        <v>0</v>
      </c>
      <c r="G8" s="143"/>
      <c r="H8" s="143"/>
      <c r="I8" s="143"/>
      <c r="J8" s="143"/>
      <c r="K8" s="143"/>
      <c r="L8" s="143"/>
      <c r="M8" s="143">
        <f t="shared" si="6"/>
        <v>0</v>
      </c>
      <c r="N8" s="143">
        <f t="shared" si="3"/>
        <v>0</v>
      </c>
      <c r="O8" s="143">
        <f t="shared" si="4"/>
        <v>0</v>
      </c>
      <c r="P8" s="151">
        <f t="shared" si="5"/>
        <v>0</v>
      </c>
      <c r="Q8" s="153"/>
    </row>
    <row r="9" s="5" customFormat="1" ht="24.95" hidden="1" customHeight="1" spans="1:17">
      <c r="A9" s="142" t="s">
        <v>1026</v>
      </c>
      <c r="B9" s="138"/>
      <c r="C9" s="142" t="s">
        <v>1027</v>
      </c>
      <c r="D9" s="143"/>
      <c r="E9" s="143"/>
      <c r="F9" s="143">
        <f t="shared" si="2"/>
        <v>0</v>
      </c>
      <c r="G9" s="143"/>
      <c r="H9" s="143"/>
      <c r="I9" s="143"/>
      <c r="J9" s="143"/>
      <c r="K9" s="143"/>
      <c r="L9" s="143"/>
      <c r="M9" s="143">
        <f t="shared" si="6"/>
        <v>0</v>
      </c>
      <c r="N9" s="143">
        <f t="shared" si="3"/>
        <v>0</v>
      </c>
      <c r="O9" s="143">
        <f t="shared" si="4"/>
        <v>0</v>
      </c>
      <c r="P9" s="151">
        <f t="shared" si="5"/>
        <v>0</v>
      </c>
      <c r="Q9" s="153"/>
    </row>
    <row r="10" ht="24.95" customHeight="1" spans="1:17">
      <c r="A10" s="142" t="s">
        <v>1028</v>
      </c>
      <c r="B10" s="144"/>
      <c r="C10" s="145" t="s">
        <v>1029</v>
      </c>
      <c r="D10" s="143">
        <f t="shared" si="0"/>
        <v>0</v>
      </c>
      <c r="E10" s="143">
        <f t="shared" si="1"/>
        <v>3</v>
      </c>
      <c r="F10" s="143">
        <f t="shared" si="2"/>
        <v>3</v>
      </c>
      <c r="G10" s="143"/>
      <c r="H10" s="143"/>
      <c r="I10" s="143"/>
      <c r="J10" s="143"/>
      <c r="K10" s="143"/>
      <c r="L10" s="143"/>
      <c r="M10" s="143">
        <f t="shared" si="6"/>
        <v>0</v>
      </c>
      <c r="N10" s="143">
        <f t="shared" si="3"/>
        <v>3</v>
      </c>
      <c r="O10" s="143">
        <f t="shared" si="4"/>
        <v>3</v>
      </c>
      <c r="P10" s="151">
        <f t="shared" si="5"/>
        <v>0</v>
      </c>
      <c r="Q10" s="40"/>
    </row>
    <row r="11" ht="24.95" customHeight="1" spans="1:17">
      <c r="A11" s="142" t="s">
        <v>1030</v>
      </c>
      <c r="B11" s="144"/>
      <c r="C11" s="145" t="s">
        <v>1031</v>
      </c>
      <c r="D11" s="143">
        <f t="shared" si="0"/>
        <v>0</v>
      </c>
      <c r="E11" s="143">
        <f t="shared" si="1"/>
        <v>3</v>
      </c>
      <c r="F11" s="143">
        <f t="shared" si="2"/>
        <v>3</v>
      </c>
      <c r="G11" s="143"/>
      <c r="H11" s="143"/>
      <c r="I11" s="143"/>
      <c r="J11" s="143"/>
      <c r="K11" s="143"/>
      <c r="L11" s="143"/>
      <c r="M11" s="143">
        <f t="shared" si="6"/>
        <v>0</v>
      </c>
      <c r="N11" s="143">
        <f t="shared" si="3"/>
        <v>3</v>
      </c>
      <c r="O11" s="143">
        <f t="shared" si="4"/>
        <v>3</v>
      </c>
      <c r="P11" s="151">
        <f t="shared" si="5"/>
        <v>0</v>
      </c>
      <c r="Q11" s="40"/>
    </row>
    <row r="12" ht="24.95" customHeight="1" spans="1:17">
      <c r="A12" s="142" t="s">
        <v>1032</v>
      </c>
      <c r="B12" s="144"/>
      <c r="C12" s="145" t="s">
        <v>1033</v>
      </c>
      <c r="D12" s="143">
        <v>0</v>
      </c>
      <c r="E12" s="143">
        <v>3</v>
      </c>
      <c r="F12" s="143">
        <f t="shared" si="2"/>
        <v>3</v>
      </c>
      <c r="G12" s="143"/>
      <c r="H12" s="143"/>
      <c r="I12" s="143"/>
      <c r="J12" s="143"/>
      <c r="K12" s="143"/>
      <c r="L12" s="143"/>
      <c r="M12" s="143">
        <f t="shared" si="6"/>
        <v>0</v>
      </c>
      <c r="N12" s="143">
        <f t="shared" si="3"/>
        <v>3</v>
      </c>
      <c r="O12" s="143">
        <f t="shared" si="4"/>
        <v>3</v>
      </c>
      <c r="P12" s="151">
        <f t="shared" si="5"/>
        <v>0</v>
      </c>
      <c r="Q12" s="40"/>
    </row>
    <row r="13" ht="24.95" hidden="1" customHeight="1" spans="1:17">
      <c r="A13" s="142" t="s">
        <v>1034</v>
      </c>
      <c r="B13" s="144"/>
      <c r="C13" s="145" t="s">
        <v>1035</v>
      </c>
      <c r="D13" s="143">
        <f>D14</f>
        <v>0</v>
      </c>
      <c r="E13" s="143">
        <f>E14</f>
        <v>0</v>
      </c>
      <c r="F13" s="143">
        <f t="shared" si="2"/>
        <v>0</v>
      </c>
      <c r="G13" s="143"/>
      <c r="H13" s="143"/>
      <c r="I13" s="143"/>
      <c r="J13" s="143"/>
      <c r="K13" s="143"/>
      <c r="L13" s="143"/>
      <c r="M13" s="143">
        <f t="shared" si="6"/>
        <v>0</v>
      </c>
      <c r="N13" s="143">
        <f t="shared" si="3"/>
        <v>0</v>
      </c>
      <c r="O13" s="143">
        <f t="shared" si="4"/>
        <v>0</v>
      </c>
      <c r="P13" s="151">
        <f t="shared" si="5"/>
        <v>0</v>
      </c>
      <c r="Q13" s="153"/>
    </row>
    <row r="14" ht="24.95" hidden="1" customHeight="1" spans="1:17">
      <c r="A14" s="142">
        <v>2079901</v>
      </c>
      <c r="B14" s="144"/>
      <c r="C14" s="145" t="s">
        <v>1036</v>
      </c>
      <c r="D14" s="143"/>
      <c r="E14" s="143"/>
      <c r="F14" s="143">
        <f t="shared" si="2"/>
        <v>0</v>
      </c>
      <c r="G14" s="143"/>
      <c r="H14" s="143"/>
      <c r="I14" s="143"/>
      <c r="J14" s="143"/>
      <c r="K14" s="143"/>
      <c r="L14" s="143"/>
      <c r="M14" s="143">
        <f t="shared" si="6"/>
        <v>0</v>
      </c>
      <c r="N14" s="143">
        <f t="shared" si="3"/>
        <v>0</v>
      </c>
      <c r="O14" s="143">
        <f t="shared" si="4"/>
        <v>0</v>
      </c>
      <c r="P14" s="151">
        <f t="shared" si="5"/>
        <v>0</v>
      </c>
      <c r="Q14" s="153"/>
    </row>
    <row r="15" ht="24.95" hidden="1" customHeight="1" spans="1:17">
      <c r="A15" s="142" t="s">
        <v>1037</v>
      </c>
      <c r="B15" s="144"/>
      <c r="C15" s="145" t="s">
        <v>1038</v>
      </c>
      <c r="D15" s="143">
        <f>D16+D19</f>
        <v>0</v>
      </c>
      <c r="E15" s="143">
        <f>E16+E19</f>
        <v>0</v>
      </c>
      <c r="F15" s="143">
        <f t="shared" si="2"/>
        <v>0</v>
      </c>
      <c r="G15" s="143"/>
      <c r="H15" s="143"/>
      <c r="I15" s="143"/>
      <c r="J15" s="143"/>
      <c r="K15" s="143"/>
      <c r="L15" s="143"/>
      <c r="M15" s="143">
        <f t="shared" si="6"/>
        <v>0</v>
      </c>
      <c r="N15" s="143">
        <f t="shared" si="3"/>
        <v>0</v>
      </c>
      <c r="O15" s="143">
        <f t="shared" si="4"/>
        <v>0</v>
      </c>
      <c r="P15" s="151">
        <f t="shared" si="5"/>
        <v>0</v>
      </c>
      <c r="Q15" s="153"/>
    </row>
    <row r="16" ht="24.95" hidden="1" customHeight="1" spans="1:17">
      <c r="A16" s="142" t="s">
        <v>1039</v>
      </c>
      <c r="B16" s="144"/>
      <c r="C16" s="145" t="s">
        <v>1040</v>
      </c>
      <c r="D16" s="143">
        <f>D17+D18</f>
        <v>0</v>
      </c>
      <c r="E16" s="143">
        <f>E17+E18</f>
        <v>0</v>
      </c>
      <c r="F16" s="143">
        <f t="shared" si="2"/>
        <v>0</v>
      </c>
      <c r="G16" s="143"/>
      <c r="H16" s="143"/>
      <c r="I16" s="143"/>
      <c r="J16" s="143"/>
      <c r="K16" s="143"/>
      <c r="L16" s="143"/>
      <c r="M16" s="143">
        <f t="shared" si="6"/>
        <v>0</v>
      </c>
      <c r="N16" s="143">
        <f t="shared" si="3"/>
        <v>0</v>
      </c>
      <c r="O16" s="143">
        <f t="shared" si="4"/>
        <v>0</v>
      </c>
      <c r="P16" s="151">
        <f t="shared" si="5"/>
        <v>0</v>
      </c>
      <c r="Q16" s="153"/>
    </row>
    <row r="17" ht="24.95" hidden="1" customHeight="1" spans="1:17">
      <c r="A17" s="142">
        <v>2081107</v>
      </c>
      <c r="B17" s="144"/>
      <c r="C17" s="145" t="s">
        <v>1041</v>
      </c>
      <c r="D17" s="143"/>
      <c r="E17" s="143"/>
      <c r="F17" s="143">
        <f t="shared" si="2"/>
        <v>0</v>
      </c>
      <c r="G17" s="143"/>
      <c r="H17" s="143"/>
      <c r="I17" s="143"/>
      <c r="J17" s="143"/>
      <c r="K17" s="143"/>
      <c r="L17" s="143"/>
      <c r="M17" s="143">
        <f t="shared" si="6"/>
        <v>0</v>
      </c>
      <c r="N17" s="143">
        <f t="shared" si="3"/>
        <v>0</v>
      </c>
      <c r="O17" s="143">
        <f t="shared" si="4"/>
        <v>0</v>
      </c>
      <c r="P17" s="151">
        <f t="shared" si="5"/>
        <v>0</v>
      </c>
      <c r="Q17" s="153"/>
    </row>
    <row r="18" ht="24.95" hidden="1" customHeight="1" spans="1:17">
      <c r="A18" s="142">
        <v>2081199</v>
      </c>
      <c r="B18" s="144"/>
      <c r="C18" s="145" t="s">
        <v>1042</v>
      </c>
      <c r="D18" s="143"/>
      <c r="E18" s="143"/>
      <c r="F18" s="143">
        <f t="shared" si="2"/>
        <v>0</v>
      </c>
      <c r="G18" s="143"/>
      <c r="H18" s="143"/>
      <c r="I18" s="143"/>
      <c r="J18" s="143"/>
      <c r="K18" s="143"/>
      <c r="L18" s="143"/>
      <c r="M18" s="143">
        <f t="shared" si="6"/>
        <v>0</v>
      </c>
      <c r="N18" s="143">
        <f t="shared" si="3"/>
        <v>0</v>
      </c>
      <c r="O18" s="143">
        <f t="shared" si="4"/>
        <v>0</v>
      </c>
      <c r="P18" s="151">
        <f t="shared" si="5"/>
        <v>0</v>
      </c>
      <c r="Q18" s="153"/>
    </row>
    <row r="19" ht="24.95" hidden="1" customHeight="1" spans="1:17">
      <c r="A19" s="142" t="s">
        <v>1043</v>
      </c>
      <c r="B19" s="144"/>
      <c r="C19" s="145" t="s">
        <v>1044</v>
      </c>
      <c r="D19" s="143">
        <f>D20</f>
        <v>0</v>
      </c>
      <c r="E19" s="143">
        <f>E20</f>
        <v>0</v>
      </c>
      <c r="F19" s="143">
        <f t="shared" si="2"/>
        <v>0</v>
      </c>
      <c r="G19" s="143"/>
      <c r="H19" s="143"/>
      <c r="I19" s="143"/>
      <c r="J19" s="143"/>
      <c r="K19" s="143"/>
      <c r="L19" s="143"/>
      <c r="M19" s="143">
        <f t="shared" si="6"/>
        <v>0</v>
      </c>
      <c r="N19" s="143">
        <f t="shared" si="3"/>
        <v>0</v>
      </c>
      <c r="O19" s="143">
        <f t="shared" si="4"/>
        <v>0</v>
      </c>
      <c r="P19" s="151">
        <f t="shared" si="5"/>
        <v>0</v>
      </c>
      <c r="Q19" s="153"/>
    </row>
    <row r="20" ht="24.95" hidden="1" customHeight="1" spans="1:17">
      <c r="A20" s="142">
        <v>2086099</v>
      </c>
      <c r="B20" s="144"/>
      <c r="C20" s="145" t="s">
        <v>1045</v>
      </c>
      <c r="D20" s="143"/>
      <c r="E20" s="143"/>
      <c r="F20" s="143">
        <f t="shared" si="2"/>
        <v>0</v>
      </c>
      <c r="G20" s="143"/>
      <c r="H20" s="143"/>
      <c r="I20" s="143"/>
      <c r="J20" s="143"/>
      <c r="K20" s="143"/>
      <c r="L20" s="143"/>
      <c r="M20" s="143">
        <f t="shared" si="6"/>
        <v>0</v>
      </c>
      <c r="N20" s="143">
        <f t="shared" si="3"/>
        <v>0</v>
      </c>
      <c r="O20" s="143">
        <f t="shared" si="4"/>
        <v>0</v>
      </c>
      <c r="P20" s="151">
        <f t="shared" si="5"/>
        <v>0</v>
      </c>
      <c r="Q20" s="153"/>
    </row>
    <row r="21" ht="24.95" customHeight="1" spans="1:17">
      <c r="A21" s="142" t="s">
        <v>1046</v>
      </c>
      <c r="B21" s="144"/>
      <c r="C21" s="145" t="s">
        <v>1047</v>
      </c>
      <c r="D21" s="143">
        <f t="shared" ref="D21:G21" si="7">D22+D24+D37+D41+D45+D46+D49</f>
        <v>272493</v>
      </c>
      <c r="E21" s="143">
        <f t="shared" si="7"/>
        <v>42183.5</v>
      </c>
      <c r="F21" s="143">
        <f t="shared" si="2"/>
        <v>314676.5</v>
      </c>
      <c r="G21" s="143">
        <f t="shared" si="7"/>
        <v>-129242.93</v>
      </c>
      <c r="H21" s="143"/>
      <c r="I21" s="143"/>
      <c r="J21" s="143"/>
      <c r="K21" s="143"/>
      <c r="L21" s="143"/>
      <c r="M21" s="143">
        <f t="shared" si="6"/>
        <v>143250.07</v>
      </c>
      <c r="N21" s="143">
        <f t="shared" si="3"/>
        <v>42183.5</v>
      </c>
      <c r="O21" s="143">
        <f t="shared" si="4"/>
        <v>185433.57</v>
      </c>
      <c r="P21" s="151">
        <f t="shared" si="5"/>
        <v>-41.0716815523244</v>
      </c>
      <c r="Q21" s="153"/>
    </row>
    <row r="22" ht="24.95" hidden="1" customHeight="1" spans="1:17">
      <c r="A22" s="142" t="s">
        <v>1048</v>
      </c>
      <c r="B22" s="144"/>
      <c r="C22" s="145" t="s">
        <v>1049</v>
      </c>
      <c r="D22" s="143">
        <f>D23</f>
        <v>0</v>
      </c>
      <c r="E22" s="143">
        <f>E23</f>
        <v>0</v>
      </c>
      <c r="F22" s="143">
        <f t="shared" si="2"/>
        <v>0</v>
      </c>
      <c r="G22" s="143"/>
      <c r="H22" s="143"/>
      <c r="I22" s="143"/>
      <c r="J22" s="143"/>
      <c r="K22" s="143"/>
      <c r="L22" s="143"/>
      <c r="M22" s="143">
        <f t="shared" si="6"/>
        <v>0</v>
      </c>
      <c r="N22" s="143">
        <f t="shared" si="3"/>
        <v>0</v>
      </c>
      <c r="O22" s="143">
        <f t="shared" si="4"/>
        <v>0</v>
      </c>
      <c r="P22" s="151">
        <f t="shared" si="5"/>
        <v>0</v>
      </c>
      <c r="Q22" s="153"/>
    </row>
    <row r="23" ht="24.95" hidden="1" customHeight="1" spans="1:17">
      <c r="A23" s="142">
        <v>2120705</v>
      </c>
      <c r="B23" s="144"/>
      <c r="C23" s="145" t="s">
        <v>1050</v>
      </c>
      <c r="D23" s="143"/>
      <c r="E23" s="143"/>
      <c r="F23" s="143">
        <f t="shared" si="2"/>
        <v>0</v>
      </c>
      <c r="G23" s="143"/>
      <c r="H23" s="143"/>
      <c r="I23" s="143"/>
      <c r="J23" s="143"/>
      <c r="K23" s="143"/>
      <c r="L23" s="143"/>
      <c r="M23" s="143">
        <f t="shared" si="6"/>
        <v>0</v>
      </c>
      <c r="N23" s="143">
        <f t="shared" si="3"/>
        <v>0</v>
      </c>
      <c r="O23" s="143">
        <f t="shared" si="4"/>
        <v>0</v>
      </c>
      <c r="P23" s="151">
        <f t="shared" si="5"/>
        <v>0</v>
      </c>
      <c r="Q23" s="153"/>
    </row>
    <row r="24" ht="24.95" customHeight="1" spans="1:17">
      <c r="A24" s="142" t="s">
        <v>1051</v>
      </c>
      <c r="B24" s="144"/>
      <c r="C24" s="145" t="s">
        <v>1052</v>
      </c>
      <c r="D24" s="143">
        <f t="shared" ref="D24:E24" si="8">SUM(D25:D36)</f>
        <v>251447</v>
      </c>
      <c r="E24" s="143">
        <f t="shared" si="8"/>
        <v>42183.5</v>
      </c>
      <c r="F24" s="143">
        <f t="shared" si="2"/>
        <v>293630.5</v>
      </c>
      <c r="G24" s="143">
        <f>SUM(G25:G36)</f>
        <v>-118793.87</v>
      </c>
      <c r="H24" s="143"/>
      <c r="I24" s="143"/>
      <c r="J24" s="143"/>
      <c r="K24" s="143"/>
      <c r="L24" s="143"/>
      <c r="M24" s="143">
        <f t="shared" si="6"/>
        <v>132653.13</v>
      </c>
      <c r="N24" s="143">
        <f t="shared" si="3"/>
        <v>42183.5</v>
      </c>
      <c r="O24" s="143">
        <f t="shared" si="4"/>
        <v>174836.63</v>
      </c>
      <c r="P24" s="151">
        <f t="shared" si="5"/>
        <v>-40.456924604222</v>
      </c>
      <c r="Q24" s="154"/>
    </row>
    <row r="25" ht="24.95" customHeight="1" spans="1:17">
      <c r="A25" s="142">
        <v>2120801</v>
      </c>
      <c r="B25" s="144"/>
      <c r="C25" s="146" t="s">
        <v>1053</v>
      </c>
      <c r="D25" s="147">
        <v>25339</v>
      </c>
      <c r="E25" s="147">
        <v>1610</v>
      </c>
      <c r="F25" s="143">
        <f t="shared" si="2"/>
        <v>26949</v>
      </c>
      <c r="G25" s="148">
        <v>-7691</v>
      </c>
      <c r="H25" s="143"/>
      <c r="I25" s="143"/>
      <c r="J25" s="143"/>
      <c r="K25" s="143"/>
      <c r="L25" s="143"/>
      <c r="M25" s="143">
        <f t="shared" si="6"/>
        <v>17648</v>
      </c>
      <c r="N25" s="143">
        <f t="shared" si="3"/>
        <v>1610</v>
      </c>
      <c r="O25" s="143">
        <f t="shared" si="4"/>
        <v>19258</v>
      </c>
      <c r="P25" s="151">
        <f t="shared" si="5"/>
        <v>-28.5390923596423</v>
      </c>
      <c r="Q25" s="153"/>
    </row>
    <row r="26" ht="24.95" customHeight="1" spans="1:17">
      <c r="A26" s="142">
        <v>2120802</v>
      </c>
      <c r="B26" s="144"/>
      <c r="C26" s="146" t="s">
        <v>1054</v>
      </c>
      <c r="D26" s="147">
        <v>169659</v>
      </c>
      <c r="E26" s="147"/>
      <c r="F26" s="143">
        <f t="shared" si="2"/>
        <v>169659</v>
      </c>
      <c r="G26" s="149">
        <f>-84619+4445</f>
        <v>-80174</v>
      </c>
      <c r="H26" s="143"/>
      <c r="I26" s="143"/>
      <c r="J26" s="143"/>
      <c r="K26" s="143"/>
      <c r="L26" s="143"/>
      <c r="M26" s="143">
        <f t="shared" si="6"/>
        <v>89485</v>
      </c>
      <c r="N26" s="143">
        <f t="shared" si="3"/>
        <v>0</v>
      </c>
      <c r="O26" s="143">
        <f t="shared" si="4"/>
        <v>89485</v>
      </c>
      <c r="P26" s="151">
        <f t="shared" si="5"/>
        <v>-47.2559663796203</v>
      </c>
      <c r="Q26" s="153"/>
    </row>
    <row r="27" ht="24.95" customHeight="1" spans="1:17">
      <c r="A27" s="142">
        <v>2120803</v>
      </c>
      <c r="B27" s="144"/>
      <c r="C27" s="145" t="s">
        <v>1055</v>
      </c>
      <c r="D27" s="147">
        <v>22926</v>
      </c>
      <c r="E27" s="147">
        <v>4972.72</v>
      </c>
      <c r="F27" s="143">
        <f t="shared" si="2"/>
        <v>27898.72</v>
      </c>
      <c r="G27" s="147">
        <f>-13936+400+50+74.02</f>
        <v>-13411.98</v>
      </c>
      <c r="H27" s="143"/>
      <c r="I27" s="143"/>
      <c r="J27" s="143"/>
      <c r="K27" s="143"/>
      <c r="L27" s="143"/>
      <c r="M27" s="143">
        <f t="shared" si="6"/>
        <v>9514.02</v>
      </c>
      <c r="N27" s="143">
        <f t="shared" si="3"/>
        <v>4972.72</v>
      </c>
      <c r="O27" s="143">
        <f t="shared" si="4"/>
        <v>14486.74</v>
      </c>
      <c r="P27" s="151">
        <f t="shared" si="5"/>
        <v>-48.0738184404159</v>
      </c>
      <c r="Q27" s="153"/>
    </row>
    <row r="28" ht="24.95" customHeight="1" spans="1:17">
      <c r="A28" s="142">
        <v>2120804</v>
      </c>
      <c r="B28" s="144"/>
      <c r="C28" s="146" t="s">
        <v>1056</v>
      </c>
      <c r="D28" s="147">
        <v>2080</v>
      </c>
      <c r="E28" s="147">
        <v>4688.5</v>
      </c>
      <c r="F28" s="143">
        <f t="shared" si="2"/>
        <v>6768.5</v>
      </c>
      <c r="G28" s="147"/>
      <c r="H28" s="143"/>
      <c r="I28" s="143"/>
      <c r="J28" s="143"/>
      <c r="K28" s="143"/>
      <c r="L28" s="143"/>
      <c r="M28" s="143">
        <f t="shared" si="6"/>
        <v>2080</v>
      </c>
      <c r="N28" s="143">
        <f t="shared" si="3"/>
        <v>4688.5</v>
      </c>
      <c r="O28" s="143">
        <f t="shared" si="4"/>
        <v>6768.5</v>
      </c>
      <c r="P28" s="151">
        <f t="shared" si="5"/>
        <v>0</v>
      </c>
      <c r="Q28" s="153"/>
    </row>
    <row r="29" ht="24.95" customHeight="1" spans="1:17">
      <c r="A29" s="142">
        <v>2120805</v>
      </c>
      <c r="B29" s="144"/>
      <c r="C29" s="145" t="s">
        <v>1057</v>
      </c>
      <c r="D29" s="147">
        <v>834</v>
      </c>
      <c r="E29" s="147"/>
      <c r="F29" s="143">
        <f t="shared" si="2"/>
        <v>834</v>
      </c>
      <c r="G29" s="147">
        <v>-77</v>
      </c>
      <c r="H29" s="143"/>
      <c r="I29" s="143"/>
      <c r="J29" s="143"/>
      <c r="K29" s="143"/>
      <c r="L29" s="143"/>
      <c r="M29" s="143">
        <f t="shared" si="6"/>
        <v>757</v>
      </c>
      <c r="N29" s="143">
        <f t="shared" si="3"/>
        <v>0</v>
      </c>
      <c r="O29" s="143">
        <f t="shared" si="4"/>
        <v>757</v>
      </c>
      <c r="P29" s="151">
        <f t="shared" si="5"/>
        <v>-9.2326139088729</v>
      </c>
      <c r="Q29" s="153"/>
    </row>
    <row r="30" ht="24.95" customHeight="1" spans="1:17">
      <c r="A30" s="142">
        <v>2120806</v>
      </c>
      <c r="B30" s="144"/>
      <c r="C30" s="146" t="s">
        <v>1058</v>
      </c>
      <c r="D30" s="147">
        <v>2473</v>
      </c>
      <c r="E30" s="147"/>
      <c r="F30" s="143">
        <f t="shared" si="2"/>
        <v>2473</v>
      </c>
      <c r="G30" s="147">
        <f>-1310+7.11</f>
        <v>-1302.89</v>
      </c>
      <c r="H30" s="143"/>
      <c r="I30" s="143"/>
      <c r="J30" s="143"/>
      <c r="K30" s="143"/>
      <c r="L30" s="143"/>
      <c r="M30" s="143">
        <f t="shared" si="6"/>
        <v>1170.11</v>
      </c>
      <c r="N30" s="143">
        <f t="shared" si="3"/>
        <v>0</v>
      </c>
      <c r="O30" s="143">
        <f t="shared" si="4"/>
        <v>1170.11</v>
      </c>
      <c r="P30" s="151">
        <f t="shared" si="5"/>
        <v>-52.6845936109988</v>
      </c>
      <c r="Q30" s="153"/>
    </row>
    <row r="31" ht="24.95" hidden="1" customHeight="1" spans="1:17">
      <c r="A31" s="142">
        <v>2120807</v>
      </c>
      <c r="B31" s="144"/>
      <c r="C31" s="146" t="s">
        <v>1059</v>
      </c>
      <c r="D31" s="147">
        <v>0</v>
      </c>
      <c r="E31" s="147"/>
      <c r="F31" s="143">
        <f t="shared" si="2"/>
        <v>0</v>
      </c>
      <c r="G31" s="147"/>
      <c r="H31" s="143"/>
      <c r="I31" s="143"/>
      <c r="J31" s="143"/>
      <c r="K31" s="143"/>
      <c r="L31" s="143"/>
      <c r="M31" s="143">
        <f t="shared" si="6"/>
        <v>0</v>
      </c>
      <c r="N31" s="143">
        <f t="shared" si="3"/>
        <v>0</v>
      </c>
      <c r="O31" s="143">
        <f t="shared" si="4"/>
        <v>0</v>
      </c>
      <c r="P31" s="151">
        <f t="shared" si="5"/>
        <v>0</v>
      </c>
      <c r="Q31" s="153"/>
    </row>
    <row r="32" ht="24.95" hidden="1" customHeight="1" spans="1:17">
      <c r="A32" s="142">
        <v>2120808</v>
      </c>
      <c r="B32" s="144"/>
      <c r="C32" s="145" t="s">
        <v>1060</v>
      </c>
      <c r="D32" s="147">
        <v>0</v>
      </c>
      <c r="E32" s="147"/>
      <c r="F32" s="143">
        <f t="shared" si="2"/>
        <v>0</v>
      </c>
      <c r="G32" s="147"/>
      <c r="H32" s="143"/>
      <c r="I32" s="143"/>
      <c r="J32" s="143"/>
      <c r="K32" s="143"/>
      <c r="L32" s="143"/>
      <c r="M32" s="143">
        <f t="shared" si="6"/>
        <v>0</v>
      </c>
      <c r="N32" s="143">
        <f t="shared" si="3"/>
        <v>0</v>
      </c>
      <c r="O32" s="143">
        <f t="shared" si="4"/>
        <v>0</v>
      </c>
      <c r="P32" s="151">
        <f t="shared" si="5"/>
        <v>0</v>
      </c>
      <c r="Q32" s="153"/>
    </row>
    <row r="33" ht="24.95" hidden="1" customHeight="1" spans="1:17">
      <c r="A33" s="142" t="s">
        <v>1061</v>
      </c>
      <c r="B33" s="144"/>
      <c r="C33" s="145" t="s">
        <v>1062</v>
      </c>
      <c r="D33" s="147">
        <v>0</v>
      </c>
      <c r="E33" s="147"/>
      <c r="F33" s="143">
        <f t="shared" si="2"/>
        <v>0</v>
      </c>
      <c r="G33" s="147"/>
      <c r="H33" s="143"/>
      <c r="I33" s="143"/>
      <c r="J33" s="143"/>
      <c r="K33" s="143"/>
      <c r="L33" s="143"/>
      <c r="M33" s="143">
        <f t="shared" si="6"/>
        <v>0</v>
      </c>
      <c r="N33" s="143">
        <f t="shared" si="3"/>
        <v>0</v>
      </c>
      <c r="O33" s="143">
        <f t="shared" si="4"/>
        <v>0</v>
      </c>
      <c r="P33" s="151">
        <f t="shared" si="5"/>
        <v>0</v>
      </c>
      <c r="Q33" s="153"/>
    </row>
    <row r="34" ht="24.95" customHeight="1" spans="1:17">
      <c r="A34" s="142">
        <v>2120811</v>
      </c>
      <c r="B34" s="144"/>
      <c r="C34" s="145" t="s">
        <v>1063</v>
      </c>
      <c r="D34" s="147">
        <v>668</v>
      </c>
      <c r="E34" s="147"/>
      <c r="F34" s="143">
        <f t="shared" si="2"/>
        <v>668</v>
      </c>
      <c r="G34" s="147">
        <v>-591</v>
      </c>
      <c r="H34" s="143"/>
      <c r="I34" s="143"/>
      <c r="J34" s="143"/>
      <c r="K34" s="143"/>
      <c r="L34" s="143"/>
      <c r="M34" s="143">
        <f t="shared" si="6"/>
        <v>77</v>
      </c>
      <c r="N34" s="143">
        <f t="shared" si="3"/>
        <v>0</v>
      </c>
      <c r="O34" s="143">
        <f t="shared" si="4"/>
        <v>77</v>
      </c>
      <c r="P34" s="151">
        <f t="shared" si="5"/>
        <v>-88.4730538922156</v>
      </c>
      <c r="Q34" s="153"/>
    </row>
    <row r="35" ht="24.95" hidden="1" customHeight="1" spans="1:17">
      <c r="A35" s="142">
        <v>2120812</v>
      </c>
      <c r="B35" s="144"/>
      <c r="C35" s="145" t="s">
        <v>1064</v>
      </c>
      <c r="D35" s="147">
        <v>0</v>
      </c>
      <c r="E35" s="147"/>
      <c r="F35" s="143">
        <f t="shared" si="2"/>
        <v>0</v>
      </c>
      <c r="G35" s="147"/>
      <c r="H35" s="143"/>
      <c r="I35" s="143"/>
      <c r="J35" s="143"/>
      <c r="K35" s="143"/>
      <c r="L35" s="143"/>
      <c r="M35" s="143">
        <f t="shared" si="6"/>
        <v>0</v>
      </c>
      <c r="N35" s="143">
        <f t="shared" si="3"/>
        <v>0</v>
      </c>
      <c r="O35" s="143">
        <f t="shared" si="4"/>
        <v>0</v>
      </c>
      <c r="P35" s="151">
        <f t="shared" si="5"/>
        <v>0</v>
      </c>
      <c r="Q35" s="153"/>
    </row>
    <row r="36" ht="24.95" customHeight="1" spans="1:17">
      <c r="A36" s="142">
        <v>2120899</v>
      </c>
      <c r="B36" s="144"/>
      <c r="C36" s="145" t="s">
        <v>1065</v>
      </c>
      <c r="D36" s="147">
        <v>27468</v>
      </c>
      <c r="E36" s="147">
        <v>30912.28</v>
      </c>
      <c r="F36" s="143">
        <f t="shared" si="2"/>
        <v>58380.28</v>
      </c>
      <c r="G36" s="147">
        <v>-15546</v>
      </c>
      <c r="H36" s="143"/>
      <c r="I36" s="143"/>
      <c r="J36" s="143"/>
      <c r="K36" s="143"/>
      <c r="L36" s="143"/>
      <c r="M36" s="143">
        <f t="shared" si="6"/>
        <v>11922</v>
      </c>
      <c r="N36" s="143">
        <f t="shared" si="3"/>
        <v>30912.28</v>
      </c>
      <c r="O36" s="143">
        <f t="shared" si="4"/>
        <v>42834.28</v>
      </c>
      <c r="P36" s="151">
        <f t="shared" si="5"/>
        <v>-26.6288548119331</v>
      </c>
      <c r="Q36" s="153"/>
    </row>
    <row r="37" ht="24.95" hidden="1" customHeight="1" spans="1:17">
      <c r="A37" s="142" t="s">
        <v>1066</v>
      </c>
      <c r="B37" s="144"/>
      <c r="C37" s="145" t="s">
        <v>1067</v>
      </c>
      <c r="D37" s="143">
        <f>D38+D39+D40</f>
        <v>0</v>
      </c>
      <c r="E37" s="143">
        <f>E38+E39+E40</f>
        <v>0</v>
      </c>
      <c r="F37" s="143">
        <f t="shared" si="2"/>
        <v>0</v>
      </c>
      <c r="G37" s="143"/>
      <c r="H37" s="143"/>
      <c r="I37" s="143"/>
      <c r="J37" s="143"/>
      <c r="K37" s="143"/>
      <c r="L37" s="143"/>
      <c r="M37" s="143">
        <f t="shared" si="6"/>
        <v>0</v>
      </c>
      <c r="N37" s="143">
        <f t="shared" si="3"/>
        <v>0</v>
      </c>
      <c r="O37" s="143">
        <f t="shared" si="4"/>
        <v>0</v>
      </c>
      <c r="P37" s="151">
        <f t="shared" si="5"/>
        <v>0</v>
      </c>
      <c r="Q37" s="153"/>
    </row>
    <row r="38" ht="24.95" hidden="1" customHeight="1" spans="1:17">
      <c r="A38" s="142" t="s">
        <v>1068</v>
      </c>
      <c r="B38" s="144"/>
      <c r="C38" s="145" t="s">
        <v>1069</v>
      </c>
      <c r="D38" s="147"/>
      <c r="E38" s="147"/>
      <c r="F38" s="143">
        <f t="shared" si="2"/>
        <v>0</v>
      </c>
      <c r="G38" s="147"/>
      <c r="H38" s="143"/>
      <c r="I38" s="143"/>
      <c r="J38" s="143"/>
      <c r="K38" s="143"/>
      <c r="L38" s="143"/>
      <c r="M38" s="143">
        <f t="shared" si="6"/>
        <v>0</v>
      </c>
      <c r="N38" s="143">
        <f t="shared" si="3"/>
        <v>0</v>
      </c>
      <c r="O38" s="143">
        <f t="shared" si="4"/>
        <v>0</v>
      </c>
      <c r="P38" s="151">
        <f t="shared" si="5"/>
        <v>0</v>
      </c>
      <c r="Q38" s="153"/>
    </row>
    <row r="39" ht="24.95" hidden="1" customHeight="1" spans="1:17">
      <c r="A39" s="142" t="s">
        <v>1070</v>
      </c>
      <c r="B39" s="144"/>
      <c r="C39" s="145" t="s">
        <v>1071</v>
      </c>
      <c r="D39" s="147"/>
      <c r="E39" s="147"/>
      <c r="F39" s="143">
        <f t="shared" si="2"/>
        <v>0</v>
      </c>
      <c r="G39" s="147"/>
      <c r="H39" s="143"/>
      <c r="I39" s="143"/>
      <c r="J39" s="143"/>
      <c r="K39" s="143"/>
      <c r="L39" s="143"/>
      <c r="M39" s="143">
        <f t="shared" si="6"/>
        <v>0</v>
      </c>
      <c r="N39" s="143">
        <f t="shared" si="3"/>
        <v>0</v>
      </c>
      <c r="O39" s="143">
        <f t="shared" si="4"/>
        <v>0</v>
      </c>
      <c r="P39" s="151">
        <f t="shared" si="5"/>
        <v>0</v>
      </c>
      <c r="Q39" s="153"/>
    </row>
    <row r="40" ht="24.95" hidden="1" customHeight="1" spans="1:17">
      <c r="A40" s="142">
        <v>2120999</v>
      </c>
      <c r="B40" s="144"/>
      <c r="C40" s="145" t="s">
        <v>1072</v>
      </c>
      <c r="D40" s="147"/>
      <c r="E40" s="147"/>
      <c r="F40" s="143">
        <f t="shared" si="2"/>
        <v>0</v>
      </c>
      <c r="G40" s="147"/>
      <c r="H40" s="143"/>
      <c r="I40" s="143"/>
      <c r="J40" s="143"/>
      <c r="K40" s="143"/>
      <c r="L40" s="143"/>
      <c r="M40" s="143">
        <f t="shared" si="6"/>
        <v>0</v>
      </c>
      <c r="N40" s="143">
        <f t="shared" si="3"/>
        <v>0</v>
      </c>
      <c r="O40" s="143">
        <f t="shared" si="4"/>
        <v>0</v>
      </c>
      <c r="P40" s="151">
        <f t="shared" si="5"/>
        <v>0</v>
      </c>
      <c r="Q40" s="153"/>
    </row>
    <row r="41" ht="24.95" customHeight="1" spans="1:17">
      <c r="A41" s="142" t="s">
        <v>1073</v>
      </c>
      <c r="B41" s="144"/>
      <c r="C41" s="145" t="s">
        <v>1074</v>
      </c>
      <c r="D41" s="143">
        <f>D42+D43+D44</f>
        <v>14400</v>
      </c>
      <c r="E41" s="143">
        <f>E42+E43+E44</f>
        <v>0</v>
      </c>
      <c r="F41" s="143">
        <f t="shared" si="2"/>
        <v>14400</v>
      </c>
      <c r="G41" s="143">
        <v>-6743</v>
      </c>
      <c r="H41" s="143"/>
      <c r="I41" s="143"/>
      <c r="J41" s="143"/>
      <c r="K41" s="143"/>
      <c r="L41" s="143"/>
      <c r="M41" s="143">
        <f t="shared" si="6"/>
        <v>7657</v>
      </c>
      <c r="N41" s="143">
        <f t="shared" si="3"/>
        <v>0</v>
      </c>
      <c r="O41" s="143">
        <f t="shared" si="4"/>
        <v>7657</v>
      </c>
      <c r="P41" s="151">
        <f t="shared" si="5"/>
        <v>-46.8263888888889</v>
      </c>
      <c r="Q41" s="153"/>
    </row>
    <row r="42" ht="24.95" hidden="1" customHeight="1" spans="1:17">
      <c r="A42" s="142">
        <v>2121001</v>
      </c>
      <c r="B42" s="144"/>
      <c r="C42" s="145" t="s">
        <v>1075</v>
      </c>
      <c r="D42" s="147">
        <v>0</v>
      </c>
      <c r="E42" s="147"/>
      <c r="F42" s="143">
        <f t="shared" si="2"/>
        <v>0</v>
      </c>
      <c r="G42" s="147"/>
      <c r="H42" s="143"/>
      <c r="I42" s="143"/>
      <c r="J42" s="143"/>
      <c r="K42" s="143"/>
      <c r="L42" s="143"/>
      <c r="M42" s="143">
        <f t="shared" si="6"/>
        <v>0</v>
      </c>
      <c r="N42" s="143">
        <f t="shared" si="3"/>
        <v>0</v>
      </c>
      <c r="O42" s="143">
        <f t="shared" si="4"/>
        <v>0</v>
      </c>
      <c r="P42" s="151">
        <f t="shared" si="5"/>
        <v>0</v>
      </c>
      <c r="Q42" s="154"/>
    </row>
    <row r="43" ht="24.95" customHeight="1" spans="1:17">
      <c r="A43" s="142">
        <v>2121002</v>
      </c>
      <c r="B43" s="144"/>
      <c r="C43" s="145" t="s">
        <v>1076</v>
      </c>
      <c r="D43" s="147">
        <v>14400</v>
      </c>
      <c r="E43" s="147"/>
      <c r="F43" s="143">
        <f t="shared" si="2"/>
        <v>14400</v>
      </c>
      <c r="G43" s="147">
        <v>-6743</v>
      </c>
      <c r="H43" s="143"/>
      <c r="I43" s="143"/>
      <c r="J43" s="143"/>
      <c r="K43" s="143"/>
      <c r="L43" s="143"/>
      <c r="M43" s="143">
        <f t="shared" si="6"/>
        <v>7657</v>
      </c>
      <c r="N43" s="143">
        <f t="shared" si="3"/>
        <v>0</v>
      </c>
      <c r="O43" s="143">
        <f t="shared" si="4"/>
        <v>7657</v>
      </c>
      <c r="P43" s="151">
        <f t="shared" si="5"/>
        <v>-46.8263888888889</v>
      </c>
      <c r="Q43" s="154"/>
    </row>
    <row r="44" ht="24.95" hidden="1" customHeight="1" spans="1:17">
      <c r="A44" s="142">
        <v>2121099</v>
      </c>
      <c r="B44" s="144"/>
      <c r="C44" s="145" t="s">
        <v>1077</v>
      </c>
      <c r="D44" s="147">
        <v>0</v>
      </c>
      <c r="E44" s="147"/>
      <c r="F44" s="143">
        <f t="shared" si="2"/>
        <v>0</v>
      </c>
      <c r="G44" s="147"/>
      <c r="H44" s="143"/>
      <c r="I44" s="143"/>
      <c r="J44" s="143"/>
      <c r="K44" s="143"/>
      <c r="L44" s="143"/>
      <c r="M44" s="143">
        <f t="shared" si="6"/>
        <v>0</v>
      </c>
      <c r="N44" s="143">
        <f t="shared" si="3"/>
        <v>0</v>
      </c>
      <c r="O44" s="143">
        <f t="shared" si="4"/>
        <v>0</v>
      </c>
      <c r="P44" s="151">
        <f t="shared" si="5"/>
        <v>0</v>
      </c>
      <c r="Q44" s="153"/>
    </row>
    <row r="45" ht="24.95" customHeight="1" spans="1:17">
      <c r="A45" s="142" t="s">
        <v>1078</v>
      </c>
      <c r="B45" s="144"/>
      <c r="C45" s="145" t="s">
        <v>1079</v>
      </c>
      <c r="D45" s="147">
        <v>820</v>
      </c>
      <c r="E45" s="147"/>
      <c r="F45" s="143">
        <f t="shared" si="2"/>
        <v>820</v>
      </c>
      <c r="G45" s="147">
        <v>-608</v>
      </c>
      <c r="H45" s="143"/>
      <c r="I45" s="143"/>
      <c r="J45" s="143"/>
      <c r="K45" s="143"/>
      <c r="L45" s="143"/>
      <c r="M45" s="143">
        <f t="shared" si="6"/>
        <v>212</v>
      </c>
      <c r="N45" s="143">
        <f t="shared" si="3"/>
        <v>0</v>
      </c>
      <c r="O45" s="143">
        <f t="shared" si="4"/>
        <v>212</v>
      </c>
      <c r="P45" s="151">
        <f t="shared" si="5"/>
        <v>-74.1463414634146</v>
      </c>
      <c r="Q45" s="153"/>
    </row>
    <row r="46" ht="24.95" hidden="1" customHeight="1" spans="1:17">
      <c r="A46" s="142" t="s">
        <v>1080</v>
      </c>
      <c r="B46" s="144"/>
      <c r="C46" s="145" t="s">
        <v>1081</v>
      </c>
      <c r="D46" s="147">
        <f>D47+D48</f>
        <v>0</v>
      </c>
      <c r="E46" s="147">
        <f>E47+E48</f>
        <v>0</v>
      </c>
      <c r="F46" s="143">
        <f t="shared" si="2"/>
        <v>0</v>
      </c>
      <c r="G46" s="147"/>
      <c r="H46" s="143"/>
      <c r="I46" s="143"/>
      <c r="J46" s="143"/>
      <c r="K46" s="143"/>
      <c r="L46" s="143"/>
      <c r="M46" s="143">
        <f t="shared" si="6"/>
        <v>0</v>
      </c>
      <c r="N46" s="143">
        <f t="shared" si="3"/>
        <v>0</v>
      </c>
      <c r="O46" s="143">
        <f t="shared" si="4"/>
        <v>0</v>
      </c>
      <c r="P46" s="151">
        <f t="shared" si="5"/>
        <v>0</v>
      </c>
      <c r="Q46" s="153"/>
    </row>
    <row r="47" ht="24.95" hidden="1" customHeight="1" spans="1:17">
      <c r="A47" s="142">
        <v>2121202</v>
      </c>
      <c r="B47" s="144"/>
      <c r="C47" s="145" t="s">
        <v>1082</v>
      </c>
      <c r="D47" s="147"/>
      <c r="E47" s="147"/>
      <c r="F47" s="143">
        <f t="shared" si="2"/>
        <v>0</v>
      </c>
      <c r="G47" s="147"/>
      <c r="H47" s="143"/>
      <c r="I47" s="143"/>
      <c r="J47" s="143"/>
      <c r="K47" s="143"/>
      <c r="L47" s="143"/>
      <c r="M47" s="143">
        <f t="shared" si="6"/>
        <v>0</v>
      </c>
      <c r="N47" s="143">
        <f t="shared" si="3"/>
        <v>0</v>
      </c>
      <c r="O47" s="143">
        <f t="shared" si="4"/>
        <v>0</v>
      </c>
      <c r="P47" s="151">
        <f t="shared" si="5"/>
        <v>0</v>
      </c>
      <c r="Q47" s="153"/>
    </row>
    <row r="48" ht="24.95" hidden="1" customHeight="1" spans="1:17">
      <c r="A48" s="142">
        <v>2121203</v>
      </c>
      <c r="B48" s="144"/>
      <c r="C48" s="145" t="s">
        <v>1083</v>
      </c>
      <c r="D48" s="147"/>
      <c r="E48" s="143"/>
      <c r="F48" s="143">
        <f t="shared" si="2"/>
        <v>0</v>
      </c>
      <c r="G48" s="147"/>
      <c r="H48" s="143"/>
      <c r="I48" s="143"/>
      <c r="J48" s="143"/>
      <c r="K48" s="143"/>
      <c r="L48" s="143"/>
      <c r="M48" s="143">
        <f t="shared" si="6"/>
        <v>0</v>
      </c>
      <c r="N48" s="143">
        <f t="shared" si="3"/>
        <v>0</v>
      </c>
      <c r="O48" s="143">
        <f t="shared" si="4"/>
        <v>0</v>
      </c>
      <c r="P48" s="151">
        <f t="shared" si="5"/>
        <v>0</v>
      </c>
      <c r="Q48" s="153"/>
    </row>
    <row r="49" ht="24.95" customHeight="1" spans="1:17">
      <c r="A49" s="142" t="s">
        <v>1084</v>
      </c>
      <c r="B49" s="144"/>
      <c r="C49" s="145" t="s">
        <v>1085</v>
      </c>
      <c r="D49" s="143">
        <f t="shared" ref="D49:G49" si="9">SUM(D50:D52)</f>
        <v>5826</v>
      </c>
      <c r="E49" s="143">
        <f t="shared" si="9"/>
        <v>0</v>
      </c>
      <c r="F49" s="143">
        <f t="shared" si="2"/>
        <v>5826</v>
      </c>
      <c r="G49" s="143">
        <f t="shared" si="9"/>
        <v>-3098.06</v>
      </c>
      <c r="H49" s="143"/>
      <c r="I49" s="143"/>
      <c r="J49" s="143"/>
      <c r="K49" s="143"/>
      <c r="L49" s="143"/>
      <c r="M49" s="143">
        <f t="shared" si="6"/>
        <v>2727.94</v>
      </c>
      <c r="N49" s="143">
        <f t="shared" si="3"/>
        <v>0</v>
      </c>
      <c r="O49" s="143">
        <f t="shared" si="4"/>
        <v>2727.94</v>
      </c>
      <c r="P49" s="151">
        <f t="shared" si="5"/>
        <v>-53.176450394782</v>
      </c>
      <c r="Q49" s="153"/>
    </row>
    <row r="50" ht="24.95" customHeight="1" spans="1:17">
      <c r="A50" s="142" t="s">
        <v>1086</v>
      </c>
      <c r="B50" s="144"/>
      <c r="C50" s="145" t="s">
        <v>1069</v>
      </c>
      <c r="D50" s="147">
        <v>605</v>
      </c>
      <c r="E50" s="147"/>
      <c r="F50" s="143">
        <f t="shared" si="2"/>
        <v>605</v>
      </c>
      <c r="G50" s="147">
        <f>-250</f>
        <v>-250</v>
      </c>
      <c r="H50" s="143"/>
      <c r="I50" s="143"/>
      <c r="J50" s="143"/>
      <c r="K50" s="143"/>
      <c r="L50" s="143"/>
      <c r="M50" s="143">
        <f t="shared" si="6"/>
        <v>355</v>
      </c>
      <c r="N50" s="143">
        <f t="shared" si="3"/>
        <v>0</v>
      </c>
      <c r="O50" s="143">
        <f t="shared" si="4"/>
        <v>355</v>
      </c>
      <c r="P50" s="151">
        <f t="shared" si="5"/>
        <v>-41.3223140495868</v>
      </c>
      <c r="Q50" s="153"/>
    </row>
    <row r="51" ht="24.95" customHeight="1" spans="1:40">
      <c r="A51" s="142" t="s">
        <v>1087</v>
      </c>
      <c r="B51" s="144"/>
      <c r="C51" s="145" t="s">
        <v>1088</v>
      </c>
      <c r="D51" s="147">
        <v>3598</v>
      </c>
      <c r="E51" s="147"/>
      <c r="F51" s="143">
        <f t="shared" si="2"/>
        <v>3598</v>
      </c>
      <c r="G51" s="147">
        <v>-1561</v>
      </c>
      <c r="H51" s="143"/>
      <c r="I51" s="143"/>
      <c r="J51" s="143"/>
      <c r="K51" s="143"/>
      <c r="L51" s="143"/>
      <c r="M51" s="143">
        <f t="shared" si="6"/>
        <v>2037</v>
      </c>
      <c r="N51" s="143">
        <f t="shared" si="3"/>
        <v>0</v>
      </c>
      <c r="O51" s="143">
        <f t="shared" si="4"/>
        <v>2037</v>
      </c>
      <c r="P51" s="151">
        <f t="shared" si="5"/>
        <v>-43.3852140077821</v>
      </c>
      <c r="Q51" s="153"/>
      <c r="R51" s="3"/>
      <c r="S51" s="3"/>
      <c r="T51" s="3"/>
      <c r="U51" s="3"/>
      <c r="V51" s="3"/>
      <c r="W51" s="3"/>
      <c r="X51" s="3"/>
      <c r="Y51" s="3"/>
      <c r="Z51" s="3"/>
      <c r="AA51" s="3"/>
      <c r="AB51" s="3"/>
      <c r="AC51" s="3"/>
      <c r="AD51" s="3"/>
      <c r="AE51" s="3"/>
      <c r="AF51" s="3"/>
      <c r="AG51" s="3"/>
      <c r="AH51" s="3"/>
      <c r="AI51" s="3"/>
      <c r="AJ51" s="3"/>
      <c r="AK51" s="3"/>
      <c r="AL51" s="3"/>
      <c r="AM51" s="3"/>
      <c r="AN51" s="3"/>
    </row>
    <row r="52" ht="24.95" customHeight="1" spans="1:40">
      <c r="A52" s="142">
        <v>2121399</v>
      </c>
      <c r="B52" s="144"/>
      <c r="C52" s="145" t="s">
        <v>1089</v>
      </c>
      <c r="D52" s="147">
        <v>1623</v>
      </c>
      <c r="E52" s="147"/>
      <c r="F52" s="143">
        <f t="shared" si="2"/>
        <v>1623</v>
      </c>
      <c r="G52" s="147">
        <f>-1386+98.94</f>
        <v>-1287.06</v>
      </c>
      <c r="H52" s="143"/>
      <c r="I52" s="143"/>
      <c r="J52" s="143"/>
      <c r="K52" s="143"/>
      <c r="L52" s="143"/>
      <c r="M52" s="143">
        <f t="shared" si="6"/>
        <v>335.94</v>
      </c>
      <c r="N52" s="143">
        <f t="shared" si="3"/>
        <v>0</v>
      </c>
      <c r="O52" s="143">
        <f t="shared" si="4"/>
        <v>335.94</v>
      </c>
      <c r="P52" s="151">
        <f t="shared" si="5"/>
        <v>-79.3012939001848</v>
      </c>
      <c r="Q52" s="153"/>
      <c r="R52" s="3"/>
      <c r="S52" s="3"/>
      <c r="T52" s="3"/>
      <c r="U52" s="3"/>
      <c r="V52" s="3"/>
      <c r="W52" s="3"/>
      <c r="X52" s="3"/>
      <c r="Y52" s="3"/>
      <c r="Z52" s="3"/>
      <c r="AA52" s="3"/>
      <c r="AB52" s="3"/>
      <c r="AC52" s="3"/>
      <c r="AD52" s="3"/>
      <c r="AE52" s="3"/>
      <c r="AF52" s="3"/>
      <c r="AG52" s="3"/>
      <c r="AH52" s="3"/>
      <c r="AI52" s="3"/>
      <c r="AJ52" s="3"/>
      <c r="AK52" s="3"/>
      <c r="AL52" s="3"/>
      <c r="AM52" s="3"/>
      <c r="AN52" s="3"/>
    </row>
    <row r="53" ht="24.95" hidden="1" customHeight="1" spans="1:40">
      <c r="A53" s="142" t="s">
        <v>1090</v>
      </c>
      <c r="B53" s="144"/>
      <c r="C53" s="145" t="s">
        <v>1091</v>
      </c>
      <c r="D53" s="143">
        <f>D54+D57+D59+D61</f>
        <v>0</v>
      </c>
      <c r="E53" s="143">
        <f>E54+E57+E59+E61</f>
        <v>0</v>
      </c>
      <c r="F53" s="143">
        <f t="shared" si="2"/>
        <v>0</v>
      </c>
      <c r="G53" s="143"/>
      <c r="H53" s="143"/>
      <c r="I53" s="143"/>
      <c r="J53" s="143"/>
      <c r="K53" s="143"/>
      <c r="L53" s="143"/>
      <c r="M53" s="143">
        <f t="shared" si="6"/>
        <v>0</v>
      </c>
      <c r="N53" s="143">
        <f t="shared" si="3"/>
        <v>0</v>
      </c>
      <c r="O53" s="143">
        <f t="shared" si="4"/>
        <v>0</v>
      </c>
      <c r="P53" s="151">
        <f t="shared" si="5"/>
        <v>0</v>
      </c>
      <c r="Q53" s="153"/>
      <c r="R53" s="3"/>
      <c r="S53" s="3"/>
      <c r="T53" s="3"/>
      <c r="U53" s="3"/>
      <c r="V53" s="3"/>
      <c r="W53" s="3"/>
      <c r="X53" s="3"/>
      <c r="Y53" s="3"/>
      <c r="Z53" s="3"/>
      <c r="AA53" s="3"/>
      <c r="AB53" s="3"/>
      <c r="AC53" s="3"/>
      <c r="AD53" s="3"/>
      <c r="AE53" s="3"/>
      <c r="AF53" s="3"/>
      <c r="AG53" s="3"/>
      <c r="AH53" s="3"/>
      <c r="AI53" s="3"/>
      <c r="AJ53" s="3"/>
      <c r="AK53" s="3"/>
      <c r="AL53" s="3"/>
      <c r="AM53" s="3"/>
      <c r="AN53" s="3"/>
    </row>
    <row r="54" ht="24.95" hidden="1" customHeight="1" spans="1:40">
      <c r="A54" s="142" t="s">
        <v>1092</v>
      </c>
      <c r="B54" s="144"/>
      <c r="C54" s="145" t="s">
        <v>1093</v>
      </c>
      <c r="D54" s="143">
        <f>D55+D56</f>
        <v>0</v>
      </c>
      <c r="E54" s="143">
        <f>E55+E56</f>
        <v>0</v>
      </c>
      <c r="F54" s="143">
        <f t="shared" si="2"/>
        <v>0</v>
      </c>
      <c r="G54" s="143"/>
      <c r="H54" s="143"/>
      <c r="I54" s="143"/>
      <c r="J54" s="143"/>
      <c r="K54" s="143"/>
      <c r="L54" s="143"/>
      <c r="M54" s="143">
        <f t="shared" si="6"/>
        <v>0</v>
      </c>
      <c r="N54" s="143">
        <f t="shared" si="3"/>
        <v>0</v>
      </c>
      <c r="O54" s="143">
        <f t="shared" si="4"/>
        <v>0</v>
      </c>
      <c r="P54" s="151">
        <f t="shared" si="5"/>
        <v>0</v>
      </c>
      <c r="Q54" s="153"/>
      <c r="R54" s="3"/>
      <c r="S54" s="3"/>
      <c r="T54" s="3"/>
      <c r="U54" s="3"/>
      <c r="V54" s="3"/>
      <c r="W54" s="3"/>
      <c r="X54" s="3"/>
      <c r="Y54" s="3"/>
      <c r="Z54" s="3"/>
      <c r="AA54" s="3"/>
      <c r="AB54" s="3"/>
      <c r="AC54" s="3"/>
      <c r="AD54" s="3"/>
      <c r="AE54" s="3"/>
      <c r="AF54" s="3"/>
      <c r="AG54" s="3"/>
      <c r="AH54" s="3"/>
      <c r="AI54" s="3"/>
      <c r="AJ54" s="3"/>
      <c r="AK54" s="3"/>
      <c r="AL54" s="3"/>
      <c r="AM54" s="3"/>
      <c r="AN54" s="3"/>
    </row>
    <row r="55" ht="24.95" hidden="1" customHeight="1" spans="1:40">
      <c r="A55" s="142">
        <v>2136203</v>
      </c>
      <c r="B55" s="144"/>
      <c r="C55" s="145" t="s">
        <v>1094</v>
      </c>
      <c r="D55" s="143"/>
      <c r="E55" s="143"/>
      <c r="F55" s="143">
        <f t="shared" si="2"/>
        <v>0</v>
      </c>
      <c r="G55" s="143"/>
      <c r="H55" s="143"/>
      <c r="I55" s="143"/>
      <c r="J55" s="143"/>
      <c r="K55" s="143"/>
      <c r="L55" s="143"/>
      <c r="M55" s="143">
        <f t="shared" si="6"/>
        <v>0</v>
      </c>
      <c r="N55" s="143">
        <f t="shared" si="3"/>
        <v>0</v>
      </c>
      <c r="O55" s="143">
        <f t="shared" si="4"/>
        <v>0</v>
      </c>
      <c r="P55" s="151">
        <f t="shared" si="5"/>
        <v>0</v>
      </c>
      <c r="Q55" s="153"/>
      <c r="R55" s="3"/>
      <c r="S55" s="3"/>
      <c r="T55" s="3"/>
      <c r="U55" s="3"/>
      <c r="V55" s="3"/>
      <c r="W55" s="3"/>
      <c r="X55" s="3"/>
      <c r="Y55" s="3"/>
      <c r="Z55" s="3"/>
      <c r="AA55" s="3"/>
      <c r="AB55" s="3"/>
      <c r="AC55" s="3"/>
      <c r="AD55" s="3"/>
      <c r="AE55" s="3"/>
      <c r="AF55" s="3"/>
      <c r="AG55" s="3"/>
      <c r="AH55" s="3"/>
      <c r="AI55" s="3"/>
      <c r="AJ55" s="3"/>
      <c r="AK55" s="3"/>
      <c r="AL55" s="3"/>
      <c r="AM55" s="3"/>
      <c r="AN55" s="3"/>
    </row>
    <row r="56" ht="24.95" hidden="1" customHeight="1" spans="1:40">
      <c r="A56" s="142">
        <v>2136299</v>
      </c>
      <c r="B56" s="144"/>
      <c r="C56" s="145" t="s">
        <v>1095</v>
      </c>
      <c r="D56" s="143"/>
      <c r="E56" s="143"/>
      <c r="F56" s="143">
        <f t="shared" si="2"/>
        <v>0</v>
      </c>
      <c r="G56" s="143"/>
      <c r="H56" s="143"/>
      <c r="I56" s="143"/>
      <c r="J56" s="143"/>
      <c r="K56" s="143"/>
      <c r="L56" s="143"/>
      <c r="M56" s="143">
        <f t="shared" si="6"/>
        <v>0</v>
      </c>
      <c r="N56" s="143">
        <f t="shared" si="3"/>
        <v>0</v>
      </c>
      <c r="O56" s="143">
        <f t="shared" si="4"/>
        <v>0</v>
      </c>
      <c r="P56" s="151">
        <f t="shared" si="5"/>
        <v>0</v>
      </c>
      <c r="Q56" s="153"/>
      <c r="R56" s="3"/>
      <c r="S56" s="3"/>
      <c r="T56" s="3"/>
      <c r="U56" s="3"/>
      <c r="V56" s="3"/>
      <c r="W56" s="3"/>
      <c r="X56" s="3"/>
      <c r="Y56" s="3"/>
      <c r="Z56" s="3"/>
      <c r="AA56" s="3"/>
      <c r="AB56" s="3"/>
      <c r="AC56" s="3"/>
      <c r="AD56" s="3"/>
      <c r="AE56" s="3"/>
      <c r="AF56" s="3"/>
      <c r="AG56" s="3"/>
      <c r="AH56" s="3"/>
      <c r="AI56" s="3"/>
      <c r="AJ56" s="3"/>
      <c r="AK56" s="3"/>
      <c r="AL56" s="3"/>
      <c r="AM56" s="3"/>
      <c r="AN56" s="3"/>
    </row>
    <row r="57" ht="24.95" hidden="1" customHeight="1" spans="1:40">
      <c r="A57" s="142" t="s">
        <v>1096</v>
      </c>
      <c r="B57" s="144"/>
      <c r="C57" s="145" t="s">
        <v>1097</v>
      </c>
      <c r="D57" s="143">
        <f t="shared" ref="D57:D61" si="10">D58</f>
        <v>0</v>
      </c>
      <c r="E57" s="143">
        <f t="shared" ref="E57:E61" si="11">E58</f>
        <v>0</v>
      </c>
      <c r="F57" s="143">
        <f t="shared" si="2"/>
        <v>0</v>
      </c>
      <c r="G57" s="143"/>
      <c r="H57" s="143"/>
      <c r="I57" s="143"/>
      <c r="J57" s="143"/>
      <c r="K57" s="143"/>
      <c r="L57" s="143"/>
      <c r="M57" s="143">
        <f t="shared" si="6"/>
        <v>0</v>
      </c>
      <c r="N57" s="143">
        <f t="shared" si="3"/>
        <v>0</v>
      </c>
      <c r="O57" s="143">
        <f t="shared" si="4"/>
        <v>0</v>
      </c>
      <c r="P57" s="151">
        <f t="shared" si="5"/>
        <v>0</v>
      </c>
      <c r="Q57" s="153"/>
      <c r="R57" s="3"/>
      <c r="S57" s="3"/>
      <c r="T57" s="3"/>
      <c r="U57" s="3"/>
      <c r="V57" s="3"/>
      <c r="W57" s="3"/>
      <c r="X57" s="3"/>
      <c r="Y57" s="3"/>
      <c r="Z57" s="3"/>
      <c r="AA57" s="3"/>
      <c r="AB57" s="3"/>
      <c r="AC57" s="3"/>
      <c r="AD57" s="3"/>
      <c r="AE57" s="3"/>
      <c r="AF57" s="3"/>
      <c r="AG57" s="3"/>
      <c r="AH57" s="3"/>
      <c r="AI57" s="3"/>
      <c r="AJ57" s="3"/>
      <c r="AK57" s="3"/>
      <c r="AL57" s="3"/>
      <c r="AM57" s="3"/>
      <c r="AN57" s="3"/>
    </row>
    <row r="58" ht="24.95" hidden="1" customHeight="1" spans="1:40">
      <c r="A58" s="142">
        <v>2136499</v>
      </c>
      <c r="B58" s="144"/>
      <c r="C58" s="145" t="s">
        <v>1098</v>
      </c>
      <c r="D58" s="143"/>
      <c r="E58" s="143"/>
      <c r="F58" s="143">
        <f t="shared" si="2"/>
        <v>0</v>
      </c>
      <c r="G58" s="143"/>
      <c r="H58" s="143"/>
      <c r="I58" s="143"/>
      <c r="J58" s="143"/>
      <c r="K58" s="143"/>
      <c r="L58" s="143"/>
      <c r="M58" s="143">
        <f t="shared" si="6"/>
        <v>0</v>
      </c>
      <c r="N58" s="143">
        <f t="shared" si="3"/>
        <v>0</v>
      </c>
      <c r="O58" s="143">
        <f t="shared" si="4"/>
        <v>0</v>
      </c>
      <c r="P58" s="151">
        <f t="shared" si="5"/>
        <v>0</v>
      </c>
      <c r="Q58" s="153"/>
      <c r="R58" s="3"/>
      <c r="S58" s="3"/>
      <c r="T58" s="3"/>
      <c r="U58" s="3"/>
      <c r="V58" s="3"/>
      <c r="W58" s="3"/>
      <c r="X58" s="3"/>
      <c r="Y58" s="3"/>
      <c r="Z58" s="3"/>
      <c r="AA58" s="3"/>
      <c r="AB58" s="3"/>
      <c r="AC58" s="3"/>
      <c r="AD58" s="3"/>
      <c r="AE58" s="3"/>
      <c r="AF58" s="3"/>
      <c r="AG58" s="3"/>
      <c r="AH58" s="3"/>
      <c r="AI58" s="3"/>
      <c r="AJ58" s="3"/>
      <c r="AK58" s="3"/>
      <c r="AL58" s="3"/>
      <c r="AM58" s="3"/>
      <c r="AN58" s="3"/>
    </row>
    <row r="59" ht="24.95" hidden="1" customHeight="1" spans="1:40">
      <c r="A59" s="142" t="s">
        <v>1099</v>
      </c>
      <c r="B59" s="144"/>
      <c r="C59" s="145" t="s">
        <v>1100</v>
      </c>
      <c r="D59" s="143">
        <f t="shared" si="10"/>
        <v>0</v>
      </c>
      <c r="E59" s="143">
        <f t="shared" si="11"/>
        <v>0</v>
      </c>
      <c r="F59" s="143">
        <f t="shared" si="2"/>
        <v>0</v>
      </c>
      <c r="G59" s="143"/>
      <c r="H59" s="143"/>
      <c r="I59" s="143"/>
      <c r="J59" s="143"/>
      <c r="K59" s="143"/>
      <c r="L59" s="143"/>
      <c r="M59" s="143">
        <f t="shared" si="6"/>
        <v>0</v>
      </c>
      <c r="N59" s="143">
        <f t="shared" si="3"/>
        <v>0</v>
      </c>
      <c r="O59" s="143">
        <f t="shared" si="4"/>
        <v>0</v>
      </c>
      <c r="P59" s="151">
        <f t="shared" si="5"/>
        <v>0</v>
      </c>
      <c r="Q59" s="153"/>
      <c r="R59" s="3"/>
      <c r="S59" s="3"/>
      <c r="T59" s="3"/>
      <c r="U59" s="3"/>
      <c r="V59" s="3"/>
      <c r="W59" s="3"/>
      <c r="X59" s="3"/>
      <c r="Y59" s="3"/>
      <c r="Z59" s="3"/>
      <c r="AA59" s="3"/>
      <c r="AB59" s="3"/>
      <c r="AC59" s="3"/>
      <c r="AD59" s="3"/>
      <c r="AE59" s="3"/>
      <c r="AF59" s="3"/>
      <c r="AG59" s="3"/>
      <c r="AH59" s="3"/>
      <c r="AI59" s="3"/>
      <c r="AJ59" s="3"/>
      <c r="AK59" s="3"/>
      <c r="AL59" s="3"/>
      <c r="AM59" s="3"/>
      <c r="AN59" s="3"/>
    </row>
    <row r="60" ht="24.95" hidden="1" customHeight="1" spans="1:40">
      <c r="A60" s="142" t="s">
        <v>1101</v>
      </c>
      <c r="B60" s="144"/>
      <c r="C60" s="145" t="s">
        <v>1102</v>
      </c>
      <c r="D60" s="143"/>
      <c r="E60" s="143"/>
      <c r="F60" s="143">
        <f t="shared" si="2"/>
        <v>0</v>
      </c>
      <c r="G60" s="143"/>
      <c r="H60" s="143"/>
      <c r="I60" s="143"/>
      <c r="J60" s="143"/>
      <c r="K60" s="143"/>
      <c r="L60" s="143"/>
      <c r="M60" s="143">
        <f t="shared" si="6"/>
        <v>0</v>
      </c>
      <c r="N60" s="143">
        <f t="shared" si="3"/>
        <v>0</v>
      </c>
      <c r="O60" s="143">
        <f t="shared" si="4"/>
        <v>0</v>
      </c>
      <c r="P60" s="151">
        <f t="shared" si="5"/>
        <v>0</v>
      </c>
      <c r="Q60" s="153"/>
      <c r="R60" s="3"/>
      <c r="S60" s="3"/>
      <c r="T60" s="3"/>
      <c r="U60" s="3"/>
      <c r="V60" s="3"/>
      <c r="W60" s="3"/>
      <c r="X60" s="3"/>
      <c r="Y60" s="3"/>
      <c r="Z60" s="3"/>
      <c r="AA60" s="3"/>
      <c r="AB60" s="3"/>
      <c r="AC60" s="3"/>
      <c r="AD60" s="3"/>
      <c r="AE60" s="3"/>
      <c r="AF60" s="3"/>
      <c r="AG60" s="3"/>
      <c r="AH60" s="3"/>
      <c r="AI60" s="3"/>
      <c r="AJ60" s="3"/>
      <c r="AK60" s="3"/>
      <c r="AL60" s="3"/>
      <c r="AM60" s="3"/>
      <c r="AN60" s="3"/>
    </row>
    <row r="61" ht="24.95" hidden="1" customHeight="1" spans="1:40">
      <c r="A61" s="142" t="s">
        <v>1103</v>
      </c>
      <c r="B61" s="144"/>
      <c r="C61" s="145"/>
      <c r="D61" s="143">
        <f t="shared" si="10"/>
        <v>0</v>
      </c>
      <c r="E61" s="143">
        <f t="shared" si="11"/>
        <v>0</v>
      </c>
      <c r="F61" s="143">
        <f t="shared" si="2"/>
        <v>0</v>
      </c>
      <c r="G61" s="143"/>
      <c r="H61" s="143"/>
      <c r="I61" s="143"/>
      <c r="J61" s="143"/>
      <c r="K61" s="143"/>
      <c r="L61" s="143"/>
      <c r="M61" s="143">
        <f t="shared" si="6"/>
        <v>0</v>
      </c>
      <c r="N61" s="143">
        <f t="shared" si="3"/>
        <v>0</v>
      </c>
      <c r="O61" s="143">
        <f t="shared" si="4"/>
        <v>0</v>
      </c>
      <c r="P61" s="151">
        <f t="shared" si="5"/>
        <v>0</v>
      </c>
      <c r="Q61" s="153"/>
      <c r="R61" s="3"/>
      <c r="S61" s="3"/>
      <c r="T61" s="3"/>
      <c r="U61" s="3"/>
      <c r="V61" s="3"/>
      <c r="W61" s="3"/>
      <c r="X61" s="3"/>
      <c r="Y61" s="3"/>
      <c r="Z61" s="3"/>
      <c r="AA61" s="3"/>
      <c r="AB61" s="3"/>
      <c r="AC61" s="3"/>
      <c r="AD61" s="3"/>
      <c r="AE61" s="3"/>
      <c r="AF61" s="3"/>
      <c r="AG61" s="3"/>
      <c r="AH61" s="3"/>
      <c r="AI61" s="3"/>
      <c r="AJ61" s="3"/>
      <c r="AK61" s="3"/>
      <c r="AL61" s="3"/>
      <c r="AM61" s="3"/>
      <c r="AN61" s="3"/>
    </row>
    <row r="62" ht="24.95" hidden="1" customHeight="1" spans="1:40">
      <c r="A62" s="142" t="s">
        <v>572</v>
      </c>
      <c r="B62" s="144"/>
      <c r="C62" s="145"/>
      <c r="D62" s="143"/>
      <c r="E62" s="143"/>
      <c r="F62" s="143">
        <f t="shared" si="2"/>
        <v>0</v>
      </c>
      <c r="G62" s="143"/>
      <c r="H62" s="143"/>
      <c r="I62" s="143"/>
      <c r="J62" s="143"/>
      <c r="K62" s="143"/>
      <c r="L62" s="143"/>
      <c r="M62" s="143">
        <f t="shared" si="6"/>
        <v>0</v>
      </c>
      <c r="N62" s="143">
        <f t="shared" si="3"/>
        <v>0</v>
      </c>
      <c r="O62" s="143">
        <f t="shared" si="4"/>
        <v>0</v>
      </c>
      <c r="P62" s="151">
        <f t="shared" si="5"/>
        <v>0</v>
      </c>
      <c r="Q62" s="153"/>
      <c r="R62" s="3"/>
      <c r="S62" s="3"/>
      <c r="T62" s="3"/>
      <c r="U62" s="3"/>
      <c r="V62" s="3"/>
      <c r="W62" s="3"/>
      <c r="X62" s="3"/>
      <c r="Y62" s="3"/>
      <c r="Z62" s="3"/>
      <c r="AA62" s="3"/>
      <c r="AB62" s="3"/>
      <c r="AC62" s="3"/>
      <c r="AD62" s="3"/>
      <c r="AE62" s="3"/>
      <c r="AF62" s="3"/>
      <c r="AG62" s="3"/>
      <c r="AH62" s="3"/>
      <c r="AI62" s="3"/>
      <c r="AJ62" s="3"/>
      <c r="AK62" s="3"/>
      <c r="AL62" s="3"/>
      <c r="AM62" s="3"/>
      <c r="AN62" s="3"/>
    </row>
    <row r="63" ht="24.95" hidden="1" customHeight="1" spans="1:40">
      <c r="A63" s="142" t="s">
        <v>1104</v>
      </c>
      <c r="B63" s="144"/>
      <c r="C63" s="145" t="s">
        <v>1105</v>
      </c>
      <c r="D63" s="143">
        <f>D64+D66</f>
        <v>0</v>
      </c>
      <c r="E63" s="143">
        <f>E64+E66</f>
        <v>0</v>
      </c>
      <c r="F63" s="143">
        <f t="shared" si="2"/>
        <v>0</v>
      </c>
      <c r="G63" s="143"/>
      <c r="H63" s="143"/>
      <c r="I63" s="143"/>
      <c r="J63" s="143"/>
      <c r="K63" s="143"/>
      <c r="L63" s="143"/>
      <c r="M63" s="143">
        <f t="shared" si="6"/>
        <v>0</v>
      </c>
      <c r="N63" s="143">
        <f t="shared" si="3"/>
        <v>0</v>
      </c>
      <c r="O63" s="143">
        <f t="shared" si="4"/>
        <v>0</v>
      </c>
      <c r="P63" s="151">
        <f t="shared" si="5"/>
        <v>0</v>
      </c>
      <c r="Q63" s="153"/>
      <c r="R63" s="3"/>
      <c r="S63" s="3"/>
      <c r="T63" s="3"/>
      <c r="U63" s="3"/>
      <c r="V63" s="3"/>
      <c r="W63" s="3"/>
      <c r="X63" s="3"/>
      <c r="Y63" s="3"/>
      <c r="Z63" s="3"/>
      <c r="AA63" s="3"/>
      <c r="AB63" s="3"/>
      <c r="AC63" s="3"/>
      <c r="AD63" s="3"/>
      <c r="AE63" s="3"/>
      <c r="AF63" s="3"/>
      <c r="AG63" s="3"/>
      <c r="AH63" s="3"/>
      <c r="AI63" s="3"/>
      <c r="AJ63" s="3"/>
      <c r="AK63" s="3"/>
      <c r="AL63" s="3"/>
      <c r="AM63" s="3"/>
      <c r="AN63" s="3"/>
    </row>
    <row r="64" ht="24.95" hidden="1" customHeight="1" spans="1:40">
      <c r="A64" s="142" t="s">
        <v>1106</v>
      </c>
      <c r="B64" s="144"/>
      <c r="C64" s="145" t="s">
        <v>1107</v>
      </c>
      <c r="D64" s="143">
        <f t="shared" ref="D64:D69" si="12">D65</f>
        <v>0</v>
      </c>
      <c r="E64" s="143">
        <f t="shared" ref="E64:E69" si="13">E65</f>
        <v>0</v>
      </c>
      <c r="F64" s="143">
        <f t="shared" si="2"/>
        <v>0</v>
      </c>
      <c r="G64" s="143"/>
      <c r="H64" s="143"/>
      <c r="I64" s="143"/>
      <c r="J64" s="143"/>
      <c r="K64" s="143"/>
      <c r="L64" s="143"/>
      <c r="M64" s="143">
        <f t="shared" si="6"/>
        <v>0</v>
      </c>
      <c r="N64" s="143">
        <f t="shared" si="3"/>
        <v>0</v>
      </c>
      <c r="O64" s="143">
        <f t="shared" si="4"/>
        <v>0</v>
      </c>
      <c r="P64" s="151">
        <f t="shared" si="5"/>
        <v>0</v>
      </c>
      <c r="Q64" s="153"/>
      <c r="R64" s="3"/>
      <c r="S64" s="3"/>
      <c r="T64" s="3"/>
      <c r="U64" s="3"/>
      <c r="V64" s="3"/>
      <c r="W64" s="3"/>
      <c r="X64" s="3"/>
      <c r="Y64" s="3"/>
      <c r="Z64" s="3"/>
      <c r="AA64" s="3"/>
      <c r="AB64" s="3"/>
      <c r="AC64" s="3"/>
      <c r="AD64" s="3"/>
      <c r="AE64" s="3"/>
      <c r="AF64" s="3"/>
      <c r="AG64" s="3"/>
      <c r="AH64" s="3"/>
      <c r="AI64" s="3"/>
      <c r="AJ64" s="3"/>
      <c r="AK64" s="3"/>
      <c r="AL64" s="3"/>
      <c r="AM64" s="3"/>
      <c r="AN64" s="3"/>
    </row>
    <row r="65" ht="24.95" hidden="1" customHeight="1" spans="1:40">
      <c r="A65" s="142">
        <v>2140190</v>
      </c>
      <c r="B65" s="144"/>
      <c r="C65" s="145" t="s">
        <v>1108</v>
      </c>
      <c r="D65" s="143"/>
      <c r="E65" s="143"/>
      <c r="F65" s="143">
        <f t="shared" si="2"/>
        <v>0</v>
      </c>
      <c r="G65" s="143"/>
      <c r="H65" s="143"/>
      <c r="I65" s="143"/>
      <c r="J65" s="143"/>
      <c r="K65" s="143"/>
      <c r="L65" s="143"/>
      <c r="M65" s="143">
        <f t="shared" si="6"/>
        <v>0</v>
      </c>
      <c r="N65" s="143">
        <f t="shared" si="3"/>
        <v>0</v>
      </c>
      <c r="O65" s="143">
        <f t="shared" si="4"/>
        <v>0</v>
      </c>
      <c r="P65" s="151">
        <f t="shared" si="5"/>
        <v>0</v>
      </c>
      <c r="Q65" s="153"/>
      <c r="R65" s="3"/>
      <c r="S65" s="3"/>
      <c r="T65" s="3"/>
      <c r="U65" s="3"/>
      <c r="V65" s="3"/>
      <c r="W65" s="3"/>
      <c r="X65" s="3"/>
      <c r="Y65" s="3"/>
      <c r="Z65" s="3"/>
      <c r="AA65" s="3"/>
      <c r="AB65" s="3"/>
      <c r="AC65" s="3"/>
      <c r="AD65" s="3"/>
      <c r="AE65" s="3"/>
      <c r="AF65" s="3"/>
      <c r="AG65" s="3"/>
      <c r="AH65" s="3"/>
      <c r="AI65" s="3"/>
      <c r="AJ65" s="3"/>
      <c r="AK65" s="3"/>
      <c r="AL65" s="3"/>
      <c r="AM65" s="3"/>
      <c r="AN65" s="3"/>
    </row>
    <row r="66" ht="24.95" hidden="1" customHeight="1" spans="1:40">
      <c r="A66" s="142" t="s">
        <v>1109</v>
      </c>
      <c r="B66" s="144"/>
      <c r="C66" s="145" t="s">
        <v>1110</v>
      </c>
      <c r="D66" s="143">
        <f t="shared" si="12"/>
        <v>0</v>
      </c>
      <c r="E66" s="143">
        <f t="shared" si="13"/>
        <v>0</v>
      </c>
      <c r="F66" s="143">
        <f t="shared" si="2"/>
        <v>0</v>
      </c>
      <c r="G66" s="143"/>
      <c r="H66" s="143"/>
      <c r="I66" s="143"/>
      <c r="J66" s="143"/>
      <c r="K66" s="143"/>
      <c r="L66" s="143"/>
      <c r="M66" s="143">
        <f t="shared" si="6"/>
        <v>0</v>
      </c>
      <c r="N66" s="143">
        <f t="shared" si="3"/>
        <v>0</v>
      </c>
      <c r="O66" s="143">
        <f t="shared" si="4"/>
        <v>0</v>
      </c>
      <c r="P66" s="151">
        <f t="shared" si="5"/>
        <v>0</v>
      </c>
      <c r="Q66" s="153"/>
      <c r="R66" s="3"/>
      <c r="S66" s="3"/>
      <c r="T66" s="3"/>
      <c r="U66" s="3"/>
      <c r="V66" s="3"/>
      <c r="W66" s="3"/>
      <c r="X66" s="3"/>
      <c r="Y66" s="3"/>
      <c r="Z66" s="3"/>
      <c r="AA66" s="3"/>
      <c r="AB66" s="3"/>
      <c r="AC66" s="3"/>
      <c r="AD66" s="3"/>
      <c r="AE66" s="3"/>
      <c r="AF66" s="3"/>
      <c r="AG66" s="3"/>
      <c r="AH66" s="3"/>
      <c r="AI66" s="3"/>
      <c r="AJ66" s="3"/>
      <c r="AK66" s="3"/>
      <c r="AL66" s="3"/>
      <c r="AM66" s="3"/>
      <c r="AN66" s="3"/>
    </row>
    <row r="67" ht="24.95" hidden="1" customHeight="1" spans="1:40">
      <c r="A67" s="142" t="s">
        <v>1111</v>
      </c>
      <c r="B67" s="144"/>
      <c r="C67" s="145" t="s">
        <v>1112</v>
      </c>
      <c r="D67" s="143"/>
      <c r="E67" s="143"/>
      <c r="F67" s="143">
        <f t="shared" si="2"/>
        <v>0</v>
      </c>
      <c r="G67" s="143"/>
      <c r="H67" s="143"/>
      <c r="I67" s="143"/>
      <c r="J67" s="143"/>
      <c r="K67" s="143"/>
      <c r="L67" s="143"/>
      <c r="M67" s="143">
        <f t="shared" si="6"/>
        <v>0</v>
      </c>
      <c r="N67" s="143">
        <f t="shared" si="3"/>
        <v>0</v>
      </c>
      <c r="O67" s="143">
        <f t="shared" si="4"/>
        <v>0</v>
      </c>
      <c r="P67" s="151">
        <f t="shared" si="5"/>
        <v>0</v>
      </c>
      <c r="Q67" s="153"/>
      <c r="R67" s="3"/>
      <c r="S67" s="3"/>
      <c r="T67" s="3"/>
      <c r="U67" s="3"/>
      <c r="V67" s="3"/>
      <c r="W67" s="3"/>
      <c r="X67" s="3"/>
      <c r="Y67" s="3"/>
      <c r="Z67" s="3"/>
      <c r="AA67" s="3"/>
      <c r="AB67" s="3"/>
      <c r="AC67" s="3"/>
      <c r="AD67" s="3"/>
      <c r="AE67" s="3"/>
      <c r="AF67" s="3"/>
      <c r="AG67" s="3"/>
      <c r="AH67" s="3"/>
      <c r="AI67" s="3"/>
      <c r="AJ67" s="3"/>
      <c r="AK67" s="3"/>
      <c r="AL67" s="3"/>
      <c r="AM67" s="3"/>
      <c r="AN67" s="3"/>
    </row>
    <row r="68" ht="24.95" hidden="1" customHeight="1" spans="1:40">
      <c r="A68" s="145" t="s">
        <v>1113</v>
      </c>
      <c r="B68" s="145"/>
      <c r="C68" s="145" t="s">
        <v>1114</v>
      </c>
      <c r="D68" s="143">
        <f>D69+D71</f>
        <v>0</v>
      </c>
      <c r="E68" s="143">
        <f>E69+E71</f>
        <v>0</v>
      </c>
      <c r="F68" s="143">
        <f t="shared" si="2"/>
        <v>0</v>
      </c>
      <c r="G68" s="143"/>
      <c r="H68" s="143"/>
      <c r="I68" s="143"/>
      <c r="J68" s="143"/>
      <c r="K68" s="143"/>
      <c r="L68" s="143"/>
      <c r="M68" s="143">
        <f t="shared" si="6"/>
        <v>0</v>
      </c>
      <c r="N68" s="143">
        <f t="shared" si="3"/>
        <v>0</v>
      </c>
      <c r="O68" s="143">
        <f t="shared" si="4"/>
        <v>0</v>
      </c>
      <c r="P68" s="151">
        <f t="shared" si="5"/>
        <v>0</v>
      </c>
      <c r="Q68" s="153"/>
      <c r="R68" s="3"/>
      <c r="S68" s="3"/>
      <c r="T68" s="3"/>
      <c r="U68" s="3"/>
      <c r="V68" s="3"/>
      <c r="W68" s="3"/>
      <c r="X68" s="3"/>
      <c r="Y68" s="3"/>
      <c r="Z68" s="3"/>
      <c r="AA68" s="3"/>
      <c r="AB68" s="3"/>
      <c r="AC68" s="3"/>
      <c r="AD68" s="3"/>
      <c r="AE68" s="3"/>
      <c r="AF68" s="3"/>
      <c r="AG68" s="3"/>
      <c r="AH68" s="3"/>
      <c r="AI68" s="3"/>
      <c r="AJ68" s="3"/>
      <c r="AK68" s="3"/>
      <c r="AL68" s="3"/>
      <c r="AM68" s="3"/>
      <c r="AN68" s="3"/>
    </row>
    <row r="69" ht="24.95" hidden="1" customHeight="1" spans="1:40">
      <c r="A69" s="145" t="s">
        <v>1115</v>
      </c>
      <c r="B69" s="145"/>
      <c r="C69" s="145" t="s">
        <v>1116</v>
      </c>
      <c r="D69" s="143">
        <f t="shared" si="12"/>
        <v>0</v>
      </c>
      <c r="E69" s="143">
        <f t="shared" si="13"/>
        <v>0</v>
      </c>
      <c r="F69" s="143">
        <f t="shared" si="2"/>
        <v>0</v>
      </c>
      <c r="G69" s="143"/>
      <c r="H69" s="143"/>
      <c r="I69" s="143"/>
      <c r="J69" s="143"/>
      <c r="K69" s="143"/>
      <c r="L69" s="143"/>
      <c r="M69" s="143">
        <f t="shared" si="6"/>
        <v>0</v>
      </c>
      <c r="N69" s="143">
        <f t="shared" si="3"/>
        <v>0</v>
      </c>
      <c r="O69" s="143">
        <f t="shared" si="4"/>
        <v>0</v>
      </c>
      <c r="P69" s="151">
        <f t="shared" si="5"/>
        <v>0</v>
      </c>
      <c r="Q69" s="153"/>
      <c r="R69" s="3"/>
      <c r="S69" s="3"/>
      <c r="T69" s="3"/>
      <c r="U69" s="3"/>
      <c r="V69" s="3"/>
      <c r="W69" s="3"/>
      <c r="X69" s="3"/>
      <c r="Y69" s="3"/>
      <c r="Z69" s="3"/>
      <c r="AA69" s="3"/>
      <c r="AB69" s="3"/>
      <c r="AC69" s="3"/>
      <c r="AD69" s="3"/>
      <c r="AE69" s="3"/>
      <c r="AF69" s="3"/>
      <c r="AG69" s="3"/>
      <c r="AH69" s="3"/>
      <c r="AI69" s="3"/>
      <c r="AJ69" s="3"/>
      <c r="AK69" s="3"/>
      <c r="AL69" s="3"/>
      <c r="AM69" s="3"/>
      <c r="AN69" s="3"/>
    </row>
    <row r="70" ht="24.95" hidden="1" customHeight="1" spans="1:40">
      <c r="A70" s="145" t="s">
        <v>1117</v>
      </c>
      <c r="B70" s="145"/>
      <c r="C70" s="145" t="s">
        <v>1118</v>
      </c>
      <c r="D70" s="143"/>
      <c r="E70" s="143"/>
      <c r="F70" s="143">
        <f t="shared" ref="F70:F92" si="14">D70+E70</f>
        <v>0</v>
      </c>
      <c r="G70" s="143"/>
      <c r="H70" s="143"/>
      <c r="I70" s="143"/>
      <c r="J70" s="143"/>
      <c r="K70" s="143"/>
      <c r="L70" s="143"/>
      <c r="M70" s="143">
        <f t="shared" ref="M70:M109" si="15">D70+G70+H70+I70+J70+K70</f>
        <v>0</v>
      </c>
      <c r="N70" s="143">
        <f t="shared" ref="N70:N111" si="16">E70+L70</f>
        <v>0</v>
      </c>
      <c r="O70" s="143">
        <f t="shared" ref="O70:O111" si="17">M70+N70</f>
        <v>0</v>
      </c>
      <c r="P70" s="151">
        <f t="shared" ref="P70:P93" si="18">IF(F70=0,IF(O70=0,0,100),100*(O70/F70-1))</f>
        <v>0</v>
      </c>
      <c r="Q70" s="153"/>
      <c r="R70" s="3"/>
      <c r="S70" s="3"/>
      <c r="T70" s="3"/>
      <c r="U70" s="3"/>
      <c r="V70" s="3"/>
      <c r="W70" s="3"/>
      <c r="X70" s="3"/>
      <c r="Y70" s="3"/>
      <c r="Z70" s="3"/>
      <c r="AA70" s="3"/>
      <c r="AB70" s="3"/>
      <c r="AC70" s="3"/>
      <c r="AD70" s="3"/>
      <c r="AE70" s="3"/>
      <c r="AF70" s="3"/>
      <c r="AG70" s="3"/>
      <c r="AH70" s="3"/>
      <c r="AI70" s="3"/>
      <c r="AJ70" s="3"/>
      <c r="AK70" s="3"/>
      <c r="AL70" s="3"/>
      <c r="AM70" s="3"/>
      <c r="AN70" s="3"/>
    </row>
    <row r="71" ht="24.95" hidden="1" customHeight="1" spans="1:40">
      <c r="A71" s="145" t="s">
        <v>1119</v>
      </c>
      <c r="B71" s="145"/>
      <c r="C71" s="145" t="s">
        <v>1120</v>
      </c>
      <c r="D71" s="143">
        <f t="shared" ref="D71:D74" si="19">D72</f>
        <v>0</v>
      </c>
      <c r="E71" s="143">
        <f t="shared" ref="E71:E74" si="20">E72</f>
        <v>0</v>
      </c>
      <c r="F71" s="143">
        <f t="shared" si="14"/>
        <v>0</v>
      </c>
      <c r="G71" s="143"/>
      <c r="H71" s="143"/>
      <c r="I71" s="143"/>
      <c r="J71" s="143"/>
      <c r="K71" s="143"/>
      <c r="L71" s="143"/>
      <c r="M71" s="143">
        <f t="shared" si="15"/>
        <v>0</v>
      </c>
      <c r="N71" s="143">
        <f t="shared" si="16"/>
        <v>0</v>
      </c>
      <c r="O71" s="143">
        <f t="shared" si="17"/>
        <v>0</v>
      </c>
      <c r="P71" s="151">
        <f t="shared" si="18"/>
        <v>0</v>
      </c>
      <c r="Q71" s="153"/>
      <c r="R71" s="3"/>
      <c r="S71" s="3"/>
      <c r="T71" s="3"/>
      <c r="U71" s="3"/>
      <c r="V71" s="3"/>
      <c r="W71" s="3"/>
      <c r="X71" s="3"/>
      <c r="Y71" s="3"/>
      <c r="Z71" s="3"/>
      <c r="AA71" s="3"/>
      <c r="AB71" s="3"/>
      <c r="AC71" s="3"/>
      <c r="AD71" s="3"/>
      <c r="AE71" s="3"/>
      <c r="AF71" s="3"/>
      <c r="AG71" s="3"/>
      <c r="AH71" s="3"/>
      <c r="AI71" s="3"/>
      <c r="AJ71" s="3"/>
      <c r="AK71" s="3"/>
      <c r="AL71" s="3"/>
      <c r="AM71" s="3"/>
      <c r="AN71" s="3"/>
    </row>
    <row r="72" ht="24.95" hidden="1" customHeight="1" spans="1:40">
      <c r="A72" s="145" t="s">
        <v>1121</v>
      </c>
      <c r="B72" s="145"/>
      <c r="C72" s="145" t="s">
        <v>1122</v>
      </c>
      <c r="D72" s="143"/>
      <c r="E72" s="143"/>
      <c r="F72" s="143">
        <f t="shared" si="14"/>
        <v>0</v>
      </c>
      <c r="G72" s="143"/>
      <c r="H72" s="143"/>
      <c r="I72" s="143"/>
      <c r="J72" s="143"/>
      <c r="K72" s="143"/>
      <c r="L72" s="143"/>
      <c r="M72" s="143">
        <f t="shared" si="15"/>
        <v>0</v>
      </c>
      <c r="N72" s="143">
        <f t="shared" si="16"/>
        <v>0</v>
      </c>
      <c r="O72" s="143">
        <f t="shared" si="17"/>
        <v>0</v>
      </c>
      <c r="P72" s="151">
        <f t="shared" si="18"/>
        <v>0</v>
      </c>
      <c r="Q72" s="153"/>
      <c r="R72" s="3"/>
      <c r="S72" s="3"/>
      <c r="T72" s="3"/>
      <c r="U72" s="3"/>
      <c r="V72" s="3"/>
      <c r="W72" s="3"/>
      <c r="X72" s="3"/>
      <c r="Y72" s="3"/>
      <c r="Z72" s="3"/>
      <c r="AA72" s="3"/>
      <c r="AB72" s="3"/>
      <c r="AC72" s="3"/>
      <c r="AD72" s="3"/>
      <c r="AE72" s="3"/>
      <c r="AF72" s="3"/>
      <c r="AG72" s="3"/>
      <c r="AH72" s="3"/>
      <c r="AI72" s="3"/>
      <c r="AJ72" s="3"/>
      <c r="AK72" s="3"/>
      <c r="AL72" s="3"/>
      <c r="AM72" s="3"/>
      <c r="AN72" s="3"/>
    </row>
    <row r="73" s="9" customFormat="1" ht="24.95" hidden="1" customHeight="1" spans="1:40">
      <c r="A73" s="145" t="s">
        <v>1123</v>
      </c>
      <c r="B73" s="145"/>
      <c r="C73" s="145" t="s">
        <v>409</v>
      </c>
      <c r="D73" s="143">
        <f t="shared" si="19"/>
        <v>0</v>
      </c>
      <c r="E73" s="143">
        <f t="shared" si="20"/>
        <v>0</v>
      </c>
      <c r="F73" s="143">
        <f t="shared" si="14"/>
        <v>0</v>
      </c>
      <c r="G73" s="143"/>
      <c r="H73" s="143"/>
      <c r="I73" s="143"/>
      <c r="J73" s="143"/>
      <c r="K73" s="143"/>
      <c r="L73" s="143"/>
      <c r="M73" s="143">
        <f t="shared" si="15"/>
        <v>0</v>
      </c>
      <c r="N73" s="143">
        <f t="shared" si="16"/>
        <v>0</v>
      </c>
      <c r="O73" s="143">
        <f t="shared" si="17"/>
        <v>0</v>
      </c>
      <c r="P73" s="151">
        <f t="shared" si="18"/>
        <v>0</v>
      </c>
      <c r="Q73" s="153"/>
      <c r="R73" s="3"/>
      <c r="S73" s="3"/>
      <c r="T73" s="3"/>
      <c r="U73" s="3"/>
      <c r="V73" s="3"/>
      <c r="W73" s="3"/>
      <c r="X73" s="3"/>
      <c r="Y73" s="3"/>
      <c r="Z73" s="3"/>
      <c r="AA73" s="3"/>
      <c r="AB73" s="3"/>
      <c r="AC73" s="3"/>
      <c r="AD73" s="3"/>
      <c r="AE73" s="3"/>
      <c r="AF73" s="3"/>
      <c r="AG73" s="3"/>
      <c r="AH73" s="3"/>
      <c r="AI73" s="3"/>
      <c r="AJ73" s="3"/>
      <c r="AK73" s="3"/>
      <c r="AL73" s="3"/>
      <c r="AM73" s="3"/>
      <c r="AN73" s="3"/>
    </row>
    <row r="74" s="9" customFormat="1" ht="24.95" hidden="1" customHeight="1" spans="1:40">
      <c r="A74" s="145" t="s">
        <v>1124</v>
      </c>
      <c r="B74" s="145"/>
      <c r="C74" s="145" t="s">
        <v>1125</v>
      </c>
      <c r="D74" s="143">
        <f t="shared" si="19"/>
        <v>0</v>
      </c>
      <c r="E74" s="143">
        <f t="shared" si="20"/>
        <v>0</v>
      </c>
      <c r="F74" s="143">
        <f t="shared" si="14"/>
        <v>0</v>
      </c>
      <c r="G74" s="143"/>
      <c r="H74" s="143"/>
      <c r="I74" s="143"/>
      <c r="J74" s="143"/>
      <c r="K74" s="143"/>
      <c r="L74" s="143"/>
      <c r="M74" s="143">
        <f t="shared" si="15"/>
        <v>0</v>
      </c>
      <c r="N74" s="143">
        <f t="shared" si="16"/>
        <v>0</v>
      </c>
      <c r="O74" s="143">
        <f t="shared" si="17"/>
        <v>0</v>
      </c>
      <c r="P74" s="151">
        <f t="shared" si="18"/>
        <v>0</v>
      </c>
      <c r="Q74" s="153"/>
      <c r="R74" s="3"/>
      <c r="S74" s="3"/>
      <c r="T74" s="3"/>
      <c r="U74" s="3"/>
      <c r="V74" s="3"/>
      <c r="W74" s="3"/>
      <c r="X74" s="3"/>
      <c r="Y74" s="3"/>
      <c r="Z74" s="3"/>
      <c r="AA74" s="3"/>
      <c r="AB74" s="3"/>
      <c r="AC74" s="3"/>
      <c r="AD74" s="3"/>
      <c r="AE74" s="3"/>
      <c r="AF74" s="3"/>
      <c r="AG74" s="3"/>
      <c r="AH74" s="3"/>
      <c r="AI74" s="3"/>
      <c r="AJ74" s="3"/>
      <c r="AK74" s="3"/>
      <c r="AL74" s="3"/>
      <c r="AM74" s="3"/>
      <c r="AN74" s="3"/>
    </row>
    <row r="75" s="9" customFormat="1" ht="24.95" hidden="1" customHeight="1" spans="1:40">
      <c r="A75" s="145" t="s">
        <v>1126</v>
      </c>
      <c r="B75" s="145"/>
      <c r="C75" s="145" t="s">
        <v>1127</v>
      </c>
      <c r="D75" s="143"/>
      <c r="E75" s="143"/>
      <c r="F75" s="143">
        <f t="shared" si="14"/>
        <v>0</v>
      </c>
      <c r="G75" s="143"/>
      <c r="H75" s="143"/>
      <c r="I75" s="143"/>
      <c r="J75" s="143"/>
      <c r="K75" s="143"/>
      <c r="L75" s="143"/>
      <c r="M75" s="143">
        <f t="shared" si="15"/>
        <v>0</v>
      </c>
      <c r="N75" s="143">
        <f t="shared" si="16"/>
        <v>0</v>
      </c>
      <c r="O75" s="143">
        <f t="shared" si="17"/>
        <v>0</v>
      </c>
      <c r="P75" s="151">
        <f t="shared" si="18"/>
        <v>0</v>
      </c>
      <c r="Q75" s="153"/>
      <c r="R75" s="3"/>
      <c r="S75" s="3"/>
      <c r="T75" s="3"/>
      <c r="U75" s="3"/>
      <c r="V75" s="3"/>
      <c r="W75" s="3"/>
      <c r="X75" s="3"/>
      <c r="Y75" s="3"/>
      <c r="Z75" s="3"/>
      <c r="AA75" s="3"/>
      <c r="AB75" s="3"/>
      <c r="AC75" s="3"/>
      <c r="AD75" s="3"/>
      <c r="AE75" s="3"/>
      <c r="AF75" s="3"/>
      <c r="AG75" s="3"/>
      <c r="AH75" s="3"/>
      <c r="AI75" s="3"/>
      <c r="AJ75" s="3"/>
      <c r="AK75" s="3"/>
      <c r="AL75" s="3"/>
      <c r="AM75" s="3"/>
      <c r="AN75" s="3"/>
    </row>
    <row r="76" s="5" customFormat="1" ht="24.95" customHeight="1" spans="1:40">
      <c r="A76" s="142" t="s">
        <v>1128</v>
      </c>
      <c r="B76" s="155"/>
      <c r="C76" s="142" t="s">
        <v>457</v>
      </c>
      <c r="D76" s="143">
        <f>D77+D79</f>
        <v>95060</v>
      </c>
      <c r="E76" s="143">
        <f>E77+E79</f>
        <v>30181.43</v>
      </c>
      <c r="F76" s="143">
        <f t="shared" si="14"/>
        <v>125241.43</v>
      </c>
      <c r="G76" s="143"/>
      <c r="H76" s="143"/>
      <c r="I76" s="143"/>
      <c r="J76" s="143"/>
      <c r="K76" s="143"/>
      <c r="L76" s="143">
        <f>L77+L79</f>
        <v>2.7</v>
      </c>
      <c r="M76" s="143">
        <f t="shared" si="15"/>
        <v>95060</v>
      </c>
      <c r="N76" s="143">
        <f t="shared" si="16"/>
        <v>30184.13</v>
      </c>
      <c r="O76" s="143">
        <f t="shared" si="17"/>
        <v>125244.13</v>
      </c>
      <c r="P76" s="151">
        <f t="shared" si="18"/>
        <v>0.00215583613187853</v>
      </c>
      <c r="Q76" s="40"/>
      <c r="R76" s="3"/>
      <c r="S76" s="3"/>
      <c r="T76" s="3"/>
      <c r="U76" s="3"/>
      <c r="V76" s="3"/>
      <c r="W76" s="3"/>
      <c r="X76" s="3"/>
      <c r="Y76" s="3"/>
      <c r="Z76" s="3"/>
      <c r="AA76" s="3"/>
      <c r="AB76" s="3"/>
      <c r="AC76" s="3"/>
      <c r="AD76" s="3"/>
      <c r="AE76" s="3"/>
      <c r="AF76" s="3"/>
      <c r="AG76" s="3"/>
      <c r="AH76" s="3"/>
      <c r="AI76" s="3"/>
      <c r="AJ76" s="3"/>
      <c r="AK76" s="3"/>
      <c r="AL76" s="3"/>
      <c r="AM76" s="3"/>
      <c r="AN76" s="3"/>
    </row>
    <row r="77" s="5" customFormat="1" ht="24.95" customHeight="1" spans="1:40">
      <c r="A77" s="142" t="s">
        <v>1129</v>
      </c>
      <c r="B77" s="155"/>
      <c r="C77" s="142" t="s">
        <v>1130</v>
      </c>
      <c r="D77" s="143">
        <f>D78</f>
        <v>95000</v>
      </c>
      <c r="E77" s="143">
        <f>E78</f>
        <v>30000</v>
      </c>
      <c r="F77" s="143">
        <f t="shared" si="14"/>
        <v>125000</v>
      </c>
      <c r="G77" s="143"/>
      <c r="H77" s="143"/>
      <c r="I77" s="143"/>
      <c r="J77" s="143"/>
      <c r="K77" s="143"/>
      <c r="L77" s="143"/>
      <c r="M77" s="143">
        <f t="shared" si="15"/>
        <v>95000</v>
      </c>
      <c r="N77" s="143">
        <f t="shared" si="16"/>
        <v>30000</v>
      </c>
      <c r="O77" s="143">
        <f t="shared" si="17"/>
        <v>125000</v>
      </c>
      <c r="P77" s="151">
        <f t="shared" si="18"/>
        <v>0</v>
      </c>
      <c r="Q77" s="40"/>
      <c r="R77" s="3"/>
      <c r="S77" s="3"/>
      <c r="T77" s="3"/>
      <c r="U77" s="3"/>
      <c r="V77" s="3"/>
      <c r="W77" s="3"/>
      <c r="X77" s="3"/>
      <c r="Y77" s="3"/>
      <c r="Z77" s="3"/>
      <c r="AA77" s="3"/>
      <c r="AB77" s="3"/>
      <c r="AC77" s="3"/>
      <c r="AD77" s="3"/>
      <c r="AE77" s="3"/>
      <c r="AF77" s="3"/>
      <c r="AG77" s="3"/>
      <c r="AH77" s="3"/>
      <c r="AI77" s="3"/>
      <c r="AJ77" s="3"/>
      <c r="AK77" s="3"/>
      <c r="AL77" s="3"/>
      <c r="AM77" s="3"/>
      <c r="AN77" s="3"/>
    </row>
    <row r="78" s="5" customFormat="1" ht="24.95" customHeight="1" spans="1:40">
      <c r="A78" s="142" t="s">
        <v>1131</v>
      </c>
      <c r="B78" s="155"/>
      <c r="C78" s="142" t="s">
        <v>1132</v>
      </c>
      <c r="D78" s="143">
        <v>95000</v>
      </c>
      <c r="E78" s="143">
        <v>30000</v>
      </c>
      <c r="F78" s="143">
        <f t="shared" si="14"/>
        <v>125000</v>
      </c>
      <c r="G78" s="143"/>
      <c r="H78" s="143"/>
      <c r="I78" s="143"/>
      <c r="J78" s="143"/>
      <c r="K78" s="143"/>
      <c r="L78" s="143"/>
      <c r="M78" s="143">
        <f t="shared" si="15"/>
        <v>95000</v>
      </c>
      <c r="N78" s="143">
        <f t="shared" si="16"/>
        <v>30000</v>
      </c>
      <c r="O78" s="143">
        <f t="shared" si="17"/>
        <v>125000</v>
      </c>
      <c r="P78" s="151">
        <f t="shared" si="18"/>
        <v>0</v>
      </c>
      <c r="Q78" s="40"/>
      <c r="R78" s="3"/>
      <c r="S78" s="3"/>
      <c r="T78" s="3"/>
      <c r="U78" s="3"/>
      <c r="V78" s="3"/>
      <c r="W78" s="3"/>
      <c r="X78" s="3"/>
      <c r="Y78" s="3"/>
      <c r="Z78" s="3"/>
      <c r="AA78" s="3"/>
      <c r="AB78" s="3"/>
      <c r="AC78" s="3"/>
      <c r="AD78" s="3"/>
      <c r="AE78" s="3"/>
      <c r="AF78" s="3"/>
      <c r="AG78" s="3"/>
      <c r="AH78" s="3"/>
      <c r="AI78" s="3"/>
      <c r="AJ78" s="3"/>
      <c r="AK78" s="3"/>
      <c r="AL78" s="3"/>
      <c r="AM78" s="3"/>
      <c r="AN78" s="3"/>
    </row>
    <row r="79" s="5" customFormat="1" ht="24.95" customHeight="1" spans="1:40">
      <c r="A79" s="142" t="s">
        <v>1133</v>
      </c>
      <c r="B79" s="138"/>
      <c r="C79" s="156" t="s">
        <v>1134</v>
      </c>
      <c r="D79" s="143">
        <f t="shared" ref="D79:E79" si="21">SUM(D80:D89)</f>
        <v>60</v>
      </c>
      <c r="E79" s="143">
        <f t="shared" si="21"/>
        <v>181.43</v>
      </c>
      <c r="F79" s="143">
        <f t="shared" si="14"/>
        <v>241.43</v>
      </c>
      <c r="G79" s="143"/>
      <c r="H79" s="143"/>
      <c r="I79" s="143"/>
      <c r="J79" s="143"/>
      <c r="K79" s="143"/>
      <c r="L79" s="143">
        <f>SUM(L80:L89)</f>
        <v>2.7</v>
      </c>
      <c r="M79" s="143">
        <f t="shared" si="15"/>
        <v>60</v>
      </c>
      <c r="N79" s="143">
        <f t="shared" si="16"/>
        <v>184.13</v>
      </c>
      <c r="O79" s="143">
        <f t="shared" si="17"/>
        <v>244.13</v>
      </c>
      <c r="P79" s="151">
        <f t="shared" si="18"/>
        <v>1.11833657789007</v>
      </c>
      <c r="Q79" s="153"/>
      <c r="R79" s="3"/>
      <c r="S79" s="3"/>
      <c r="T79" s="3"/>
      <c r="U79" s="3"/>
      <c r="V79" s="3"/>
      <c r="W79" s="3"/>
      <c r="X79" s="3"/>
      <c r="Y79" s="3"/>
      <c r="Z79" s="3"/>
      <c r="AA79" s="3"/>
      <c r="AB79" s="3"/>
      <c r="AC79" s="3"/>
      <c r="AD79" s="3"/>
      <c r="AE79" s="3"/>
      <c r="AF79" s="3"/>
      <c r="AG79" s="3"/>
      <c r="AH79" s="3"/>
      <c r="AI79" s="3"/>
      <c r="AJ79" s="3"/>
      <c r="AK79" s="3"/>
      <c r="AL79" s="3"/>
      <c r="AM79" s="3"/>
      <c r="AN79" s="3"/>
    </row>
    <row r="80" s="5" customFormat="1" ht="24.95" hidden="1" customHeight="1" spans="1:40">
      <c r="A80" s="142" t="s">
        <v>1135</v>
      </c>
      <c r="B80" s="138"/>
      <c r="C80" s="156" t="s">
        <v>1136</v>
      </c>
      <c r="D80" s="147">
        <v>0</v>
      </c>
      <c r="E80" s="147"/>
      <c r="F80" s="143">
        <f t="shared" si="14"/>
        <v>0</v>
      </c>
      <c r="G80" s="147"/>
      <c r="H80" s="143"/>
      <c r="I80" s="143"/>
      <c r="J80" s="143"/>
      <c r="K80" s="143"/>
      <c r="L80" s="143"/>
      <c r="M80" s="143">
        <f t="shared" si="15"/>
        <v>0</v>
      </c>
      <c r="N80" s="143">
        <f t="shared" si="16"/>
        <v>0</v>
      </c>
      <c r="O80" s="143">
        <f t="shared" si="17"/>
        <v>0</v>
      </c>
      <c r="P80" s="151">
        <f t="shared" si="18"/>
        <v>0</v>
      </c>
      <c r="Q80" s="153"/>
      <c r="R80" s="3"/>
      <c r="S80" s="3"/>
      <c r="T80" s="3"/>
      <c r="U80" s="3"/>
      <c r="V80" s="3"/>
      <c r="W80" s="3"/>
      <c r="X80" s="3"/>
      <c r="Y80" s="3"/>
      <c r="Z80" s="3"/>
      <c r="AA80" s="3"/>
      <c r="AB80" s="3"/>
      <c r="AC80" s="3"/>
      <c r="AD80" s="3"/>
      <c r="AE80" s="3"/>
      <c r="AF80" s="3"/>
      <c r="AG80" s="3"/>
      <c r="AH80" s="3"/>
      <c r="AI80" s="3"/>
      <c r="AJ80" s="3"/>
      <c r="AK80" s="3"/>
      <c r="AL80" s="3"/>
      <c r="AM80" s="3"/>
      <c r="AN80" s="3"/>
    </row>
    <row r="81" s="5" customFormat="1" ht="24.95" customHeight="1" spans="1:40">
      <c r="A81" s="142" t="s">
        <v>1137</v>
      </c>
      <c r="B81" s="138"/>
      <c r="C81" s="156" t="s">
        <v>1138</v>
      </c>
      <c r="D81" s="147">
        <v>0</v>
      </c>
      <c r="E81" s="147">
        <v>170.43</v>
      </c>
      <c r="F81" s="143">
        <f t="shared" si="14"/>
        <v>170.43</v>
      </c>
      <c r="G81" s="147"/>
      <c r="H81" s="143"/>
      <c r="I81" s="143"/>
      <c r="J81" s="143"/>
      <c r="K81" s="143"/>
      <c r="L81" s="143">
        <v>2.7</v>
      </c>
      <c r="M81" s="143">
        <f t="shared" si="15"/>
        <v>0</v>
      </c>
      <c r="N81" s="143">
        <f t="shared" si="16"/>
        <v>173.13</v>
      </c>
      <c r="O81" s="143">
        <f t="shared" si="17"/>
        <v>173.13</v>
      </c>
      <c r="P81" s="151">
        <f t="shared" si="18"/>
        <v>1.58422812885055</v>
      </c>
      <c r="Q81" s="153"/>
      <c r="R81" s="3"/>
      <c r="S81" s="3"/>
      <c r="T81" s="3"/>
      <c r="U81" s="3"/>
      <c r="V81" s="3"/>
      <c r="W81" s="3"/>
      <c r="X81" s="3"/>
      <c r="Y81" s="3"/>
      <c r="Z81" s="3"/>
      <c r="AA81" s="3"/>
      <c r="AB81" s="3"/>
      <c r="AC81" s="3"/>
      <c r="AD81" s="3"/>
      <c r="AE81" s="3"/>
      <c r="AF81" s="3"/>
      <c r="AG81" s="3"/>
      <c r="AH81" s="3"/>
      <c r="AI81" s="3"/>
      <c r="AJ81" s="3"/>
      <c r="AK81" s="3"/>
      <c r="AL81" s="3"/>
      <c r="AM81" s="3"/>
      <c r="AN81" s="3"/>
    </row>
    <row r="82" s="5" customFormat="1" ht="24.95" hidden="1" customHeight="1" spans="1:40">
      <c r="A82" s="142" t="s">
        <v>1139</v>
      </c>
      <c r="B82" s="138"/>
      <c r="C82" s="156" t="s">
        <v>1140</v>
      </c>
      <c r="D82" s="147">
        <v>0</v>
      </c>
      <c r="E82" s="147"/>
      <c r="F82" s="143">
        <f t="shared" si="14"/>
        <v>0</v>
      </c>
      <c r="G82" s="147"/>
      <c r="H82" s="143"/>
      <c r="I82" s="143"/>
      <c r="J82" s="143"/>
      <c r="K82" s="143"/>
      <c r="L82" s="143"/>
      <c r="M82" s="143">
        <f t="shared" si="15"/>
        <v>0</v>
      </c>
      <c r="N82" s="143">
        <f t="shared" si="16"/>
        <v>0</v>
      </c>
      <c r="O82" s="143">
        <f t="shared" si="17"/>
        <v>0</v>
      </c>
      <c r="P82" s="151">
        <f t="shared" si="18"/>
        <v>0</v>
      </c>
      <c r="Q82" s="153"/>
      <c r="R82" s="3"/>
      <c r="S82" s="3"/>
      <c r="T82" s="3"/>
      <c r="U82" s="3"/>
      <c r="V82" s="3"/>
      <c r="W82" s="3"/>
      <c r="X82" s="3"/>
      <c r="Y82" s="3"/>
      <c r="Z82" s="3"/>
      <c r="AA82" s="3"/>
      <c r="AB82" s="3"/>
      <c r="AC82" s="3"/>
      <c r="AD82" s="3"/>
      <c r="AE82" s="3"/>
      <c r="AF82" s="3"/>
      <c r="AG82" s="3"/>
      <c r="AH82" s="3"/>
      <c r="AI82" s="3"/>
      <c r="AJ82" s="3"/>
      <c r="AK82" s="3"/>
      <c r="AL82" s="3"/>
      <c r="AM82" s="3"/>
      <c r="AN82" s="3"/>
    </row>
    <row r="83" s="5" customFormat="1" ht="24.95" customHeight="1" spans="1:40">
      <c r="A83" s="142" t="s">
        <v>1141</v>
      </c>
      <c r="B83" s="138"/>
      <c r="C83" s="156" t="s">
        <v>1142</v>
      </c>
      <c r="D83" s="147">
        <v>0</v>
      </c>
      <c r="E83" s="147">
        <v>11</v>
      </c>
      <c r="F83" s="143">
        <f t="shared" si="14"/>
        <v>11</v>
      </c>
      <c r="G83" s="147"/>
      <c r="H83" s="143"/>
      <c r="I83" s="143"/>
      <c r="J83" s="143"/>
      <c r="K83" s="143"/>
      <c r="L83" s="143"/>
      <c r="M83" s="143">
        <f t="shared" si="15"/>
        <v>0</v>
      </c>
      <c r="N83" s="143">
        <f t="shared" si="16"/>
        <v>11</v>
      </c>
      <c r="O83" s="143">
        <f t="shared" si="17"/>
        <v>11</v>
      </c>
      <c r="P83" s="151">
        <f t="shared" si="18"/>
        <v>0</v>
      </c>
      <c r="Q83" s="153"/>
      <c r="R83" s="3"/>
      <c r="S83" s="3"/>
      <c r="T83" s="3"/>
      <c r="U83" s="3"/>
      <c r="V83" s="3"/>
      <c r="W83" s="3"/>
      <c r="X83" s="3"/>
      <c r="Y83" s="3"/>
      <c r="Z83" s="3"/>
      <c r="AA83" s="3"/>
      <c r="AB83" s="3"/>
      <c r="AC83" s="3"/>
      <c r="AD83" s="3"/>
      <c r="AE83" s="3"/>
      <c r="AF83" s="3"/>
      <c r="AG83" s="3"/>
      <c r="AH83" s="3"/>
      <c r="AI83" s="3"/>
      <c r="AJ83" s="3"/>
      <c r="AK83" s="3"/>
      <c r="AL83" s="3"/>
      <c r="AM83" s="3"/>
      <c r="AN83" s="3"/>
    </row>
    <row r="84" s="5" customFormat="1" ht="24.95" hidden="1" customHeight="1" spans="1:40">
      <c r="A84" s="142" t="s">
        <v>1143</v>
      </c>
      <c r="B84" s="138"/>
      <c r="C84" s="156" t="s">
        <v>1144</v>
      </c>
      <c r="D84" s="147">
        <v>0</v>
      </c>
      <c r="E84" s="147"/>
      <c r="F84" s="143">
        <f t="shared" si="14"/>
        <v>0</v>
      </c>
      <c r="G84" s="147"/>
      <c r="H84" s="143"/>
      <c r="I84" s="143"/>
      <c r="J84" s="143"/>
      <c r="K84" s="143"/>
      <c r="L84" s="143"/>
      <c r="M84" s="143">
        <f t="shared" si="15"/>
        <v>0</v>
      </c>
      <c r="N84" s="143">
        <f t="shared" si="16"/>
        <v>0</v>
      </c>
      <c r="O84" s="143">
        <f t="shared" si="17"/>
        <v>0</v>
      </c>
      <c r="P84" s="151">
        <f t="shared" si="18"/>
        <v>0</v>
      </c>
      <c r="Q84" s="153"/>
      <c r="R84" s="3"/>
      <c r="S84" s="3"/>
      <c r="T84" s="3"/>
      <c r="U84" s="3"/>
      <c r="V84" s="3"/>
      <c r="W84" s="3"/>
      <c r="X84" s="3"/>
      <c r="Y84" s="3"/>
      <c r="Z84" s="3"/>
      <c r="AA84" s="3"/>
      <c r="AB84" s="3"/>
      <c r="AC84" s="3"/>
      <c r="AD84" s="3"/>
      <c r="AE84" s="3"/>
      <c r="AF84" s="3"/>
      <c r="AG84" s="3"/>
      <c r="AH84" s="3"/>
      <c r="AI84" s="3"/>
      <c r="AJ84" s="3"/>
      <c r="AK84" s="3"/>
      <c r="AL84" s="3"/>
      <c r="AM84" s="3"/>
      <c r="AN84" s="3"/>
    </row>
    <row r="85" s="5" customFormat="1" ht="24.95" hidden="1" customHeight="1" spans="1:40">
      <c r="A85" s="142" t="s">
        <v>1145</v>
      </c>
      <c r="B85" s="138"/>
      <c r="C85" s="156" t="s">
        <v>1146</v>
      </c>
      <c r="D85" s="147">
        <v>0</v>
      </c>
      <c r="E85" s="147"/>
      <c r="F85" s="143">
        <f t="shared" si="14"/>
        <v>0</v>
      </c>
      <c r="G85" s="147"/>
      <c r="H85" s="143"/>
      <c r="I85" s="143"/>
      <c r="J85" s="143"/>
      <c r="K85" s="143"/>
      <c r="L85" s="143"/>
      <c r="M85" s="143">
        <f t="shared" si="15"/>
        <v>0</v>
      </c>
      <c r="N85" s="143">
        <f t="shared" si="16"/>
        <v>0</v>
      </c>
      <c r="O85" s="143">
        <f t="shared" si="17"/>
        <v>0</v>
      </c>
      <c r="P85" s="151">
        <f t="shared" si="18"/>
        <v>0</v>
      </c>
      <c r="Q85" s="153"/>
      <c r="R85" s="3"/>
      <c r="S85" s="3"/>
      <c r="T85" s="3"/>
      <c r="U85" s="3"/>
      <c r="V85" s="3"/>
      <c r="W85" s="3"/>
      <c r="X85" s="3"/>
      <c r="Y85" s="3"/>
      <c r="Z85" s="3"/>
      <c r="AA85" s="3"/>
      <c r="AB85" s="3"/>
      <c r="AC85" s="3"/>
      <c r="AD85" s="3"/>
      <c r="AE85" s="3"/>
      <c r="AF85" s="3"/>
      <c r="AG85" s="3"/>
      <c r="AH85" s="3"/>
      <c r="AI85" s="3"/>
      <c r="AJ85" s="3"/>
      <c r="AK85" s="3"/>
      <c r="AL85" s="3"/>
      <c r="AM85" s="3"/>
      <c r="AN85" s="3"/>
    </row>
    <row r="86" s="5" customFormat="1" ht="24.95" hidden="1" customHeight="1" spans="1:40">
      <c r="A86" s="142" t="s">
        <v>1147</v>
      </c>
      <c r="B86" s="138"/>
      <c r="C86" s="156" t="s">
        <v>1148</v>
      </c>
      <c r="D86" s="147">
        <v>0</v>
      </c>
      <c r="E86" s="147"/>
      <c r="F86" s="143">
        <f t="shared" si="14"/>
        <v>0</v>
      </c>
      <c r="G86" s="147"/>
      <c r="H86" s="143"/>
      <c r="I86" s="143"/>
      <c r="J86" s="143"/>
      <c r="K86" s="143"/>
      <c r="L86" s="143"/>
      <c r="M86" s="143">
        <f t="shared" si="15"/>
        <v>0</v>
      </c>
      <c r="N86" s="143">
        <f t="shared" si="16"/>
        <v>0</v>
      </c>
      <c r="O86" s="143">
        <f t="shared" si="17"/>
        <v>0</v>
      </c>
      <c r="P86" s="151">
        <f t="shared" si="18"/>
        <v>0</v>
      </c>
      <c r="Q86" s="153"/>
      <c r="R86" s="3"/>
      <c r="S86" s="3"/>
      <c r="T86" s="3"/>
      <c r="U86" s="3"/>
      <c r="V86" s="3"/>
      <c r="W86" s="3"/>
      <c r="X86" s="3"/>
      <c r="Y86" s="3"/>
      <c r="Z86" s="3"/>
      <c r="AA86" s="3"/>
      <c r="AB86" s="3"/>
      <c r="AC86" s="3"/>
      <c r="AD86" s="3"/>
      <c r="AE86" s="3"/>
      <c r="AF86" s="3"/>
      <c r="AG86" s="3"/>
      <c r="AH86" s="3"/>
      <c r="AI86" s="3"/>
      <c r="AJ86" s="3"/>
      <c r="AK86" s="3"/>
      <c r="AL86" s="3"/>
      <c r="AM86" s="3"/>
      <c r="AN86" s="3"/>
    </row>
    <row r="87" s="5" customFormat="1" ht="24.95" hidden="1" customHeight="1" spans="1:40">
      <c r="A87" s="142" t="s">
        <v>1149</v>
      </c>
      <c r="B87" s="138"/>
      <c r="C87" s="156" t="s">
        <v>1150</v>
      </c>
      <c r="D87" s="147">
        <v>0</v>
      </c>
      <c r="E87" s="147"/>
      <c r="F87" s="143">
        <f t="shared" si="14"/>
        <v>0</v>
      </c>
      <c r="G87" s="147"/>
      <c r="H87" s="143"/>
      <c r="I87" s="143"/>
      <c r="J87" s="143"/>
      <c r="K87" s="143"/>
      <c r="L87" s="143"/>
      <c r="M87" s="143">
        <f t="shared" si="15"/>
        <v>0</v>
      </c>
      <c r="N87" s="143">
        <f t="shared" si="16"/>
        <v>0</v>
      </c>
      <c r="O87" s="143">
        <f t="shared" si="17"/>
        <v>0</v>
      </c>
      <c r="P87" s="151">
        <f t="shared" si="18"/>
        <v>0</v>
      </c>
      <c r="Q87" s="153"/>
      <c r="R87" s="3"/>
      <c r="S87" s="3"/>
      <c r="T87" s="3"/>
      <c r="U87" s="3"/>
      <c r="V87" s="3"/>
      <c r="W87" s="3"/>
      <c r="X87" s="3"/>
      <c r="Y87" s="3"/>
      <c r="Z87" s="3"/>
      <c r="AA87" s="3"/>
      <c r="AB87" s="3"/>
      <c r="AC87" s="3"/>
      <c r="AD87" s="3"/>
      <c r="AE87" s="3"/>
      <c r="AF87" s="3"/>
      <c r="AG87" s="3"/>
      <c r="AH87" s="3"/>
      <c r="AI87" s="3"/>
      <c r="AJ87" s="3"/>
      <c r="AK87" s="3"/>
      <c r="AL87" s="3"/>
      <c r="AM87" s="3"/>
      <c r="AN87" s="3"/>
    </row>
    <row r="88" s="5" customFormat="1" ht="24.95" hidden="1" customHeight="1" spans="1:40">
      <c r="A88" s="142" t="s">
        <v>1151</v>
      </c>
      <c r="B88" s="138"/>
      <c r="C88" s="156" t="s">
        <v>1152</v>
      </c>
      <c r="D88" s="147">
        <v>0</v>
      </c>
      <c r="E88" s="147"/>
      <c r="F88" s="143">
        <f t="shared" si="14"/>
        <v>0</v>
      </c>
      <c r="G88" s="147"/>
      <c r="H88" s="143"/>
      <c r="I88" s="143"/>
      <c r="J88" s="143"/>
      <c r="K88" s="143"/>
      <c r="L88" s="143"/>
      <c r="M88" s="143">
        <f t="shared" si="15"/>
        <v>0</v>
      </c>
      <c r="N88" s="143">
        <f t="shared" si="16"/>
        <v>0</v>
      </c>
      <c r="O88" s="143">
        <f t="shared" si="17"/>
        <v>0</v>
      </c>
      <c r="P88" s="151">
        <f t="shared" si="18"/>
        <v>0</v>
      </c>
      <c r="Q88" s="153"/>
      <c r="R88" s="3"/>
      <c r="S88" s="3"/>
      <c r="T88" s="3"/>
      <c r="U88" s="3"/>
      <c r="V88" s="3"/>
      <c r="W88" s="3"/>
      <c r="X88" s="3"/>
      <c r="Y88" s="3"/>
      <c r="Z88" s="3"/>
      <c r="AA88" s="3"/>
      <c r="AB88" s="3"/>
      <c r="AC88" s="3"/>
      <c r="AD88" s="3"/>
      <c r="AE88" s="3"/>
      <c r="AF88" s="3"/>
      <c r="AG88" s="3"/>
      <c r="AH88" s="3"/>
      <c r="AI88" s="3"/>
      <c r="AJ88" s="3"/>
      <c r="AK88" s="3"/>
      <c r="AL88" s="3"/>
      <c r="AM88" s="3"/>
      <c r="AN88" s="3"/>
    </row>
    <row r="89" s="5" customFormat="1" ht="24.95" customHeight="1" spans="1:40">
      <c r="A89" s="142" t="s">
        <v>1153</v>
      </c>
      <c r="B89" s="138"/>
      <c r="C89" s="156" t="s">
        <v>1154</v>
      </c>
      <c r="D89" s="147">
        <v>60</v>
      </c>
      <c r="E89" s="147"/>
      <c r="F89" s="143">
        <f t="shared" si="14"/>
        <v>60</v>
      </c>
      <c r="G89" s="147"/>
      <c r="H89" s="143"/>
      <c r="I89" s="143"/>
      <c r="J89" s="143"/>
      <c r="K89" s="143"/>
      <c r="L89" s="143"/>
      <c r="M89" s="143">
        <f t="shared" si="15"/>
        <v>60</v>
      </c>
      <c r="N89" s="143">
        <f t="shared" si="16"/>
        <v>0</v>
      </c>
      <c r="O89" s="143">
        <f t="shared" si="17"/>
        <v>60</v>
      </c>
      <c r="P89" s="151">
        <f t="shared" si="18"/>
        <v>0</v>
      </c>
      <c r="Q89" s="153"/>
      <c r="R89" s="3"/>
      <c r="S89" s="3"/>
      <c r="T89" s="3"/>
      <c r="U89" s="3"/>
      <c r="V89" s="3"/>
      <c r="W89" s="3"/>
      <c r="X89" s="3"/>
      <c r="Y89" s="3"/>
      <c r="Z89" s="3"/>
      <c r="AA89" s="3"/>
      <c r="AB89" s="3"/>
      <c r="AC89" s="3"/>
      <c r="AD89" s="3"/>
      <c r="AE89" s="3"/>
      <c r="AF89" s="3"/>
      <c r="AG89" s="3"/>
      <c r="AH89" s="3"/>
      <c r="AI89" s="3"/>
      <c r="AJ89" s="3"/>
      <c r="AK89" s="3"/>
      <c r="AL89" s="3"/>
      <c r="AM89" s="3"/>
      <c r="AN89" s="3"/>
    </row>
    <row r="90" ht="24.95" customHeight="1" spans="1:17">
      <c r="A90" s="142" t="s">
        <v>1155</v>
      </c>
      <c r="B90" s="144"/>
      <c r="C90" s="157" t="s">
        <v>459</v>
      </c>
      <c r="D90" s="143">
        <f t="shared" ref="D90:G90" si="22">D91+D94+D95</f>
        <v>48231</v>
      </c>
      <c r="E90" s="143">
        <f t="shared" si="22"/>
        <v>0</v>
      </c>
      <c r="F90" s="143">
        <f t="shared" si="14"/>
        <v>48231</v>
      </c>
      <c r="G90" s="143">
        <f>G91+G94+G95</f>
        <v>-11057.14</v>
      </c>
      <c r="H90" s="143"/>
      <c r="I90" s="143"/>
      <c r="J90" s="143"/>
      <c r="K90" s="143"/>
      <c r="L90" s="143"/>
      <c r="M90" s="143">
        <f t="shared" si="15"/>
        <v>37173.86</v>
      </c>
      <c r="N90" s="143">
        <f t="shared" si="16"/>
        <v>0</v>
      </c>
      <c r="O90" s="143">
        <f t="shared" si="17"/>
        <v>37173.86</v>
      </c>
      <c r="P90" s="151">
        <f t="shared" si="18"/>
        <v>-22.9253799423607</v>
      </c>
      <c r="Q90" s="153"/>
    </row>
    <row r="91" ht="24.95" customHeight="1" spans="1:17">
      <c r="A91" s="142" t="s">
        <v>1156</v>
      </c>
      <c r="B91" s="144"/>
      <c r="C91" s="516" t="s">
        <v>1157</v>
      </c>
      <c r="D91" s="147">
        <f t="shared" ref="D91:G91" si="23">D92+D93</f>
        <v>0</v>
      </c>
      <c r="E91" s="147">
        <f t="shared" si="23"/>
        <v>0</v>
      </c>
      <c r="F91" s="143">
        <f t="shared" si="14"/>
        <v>0</v>
      </c>
      <c r="G91" s="147">
        <f t="shared" si="23"/>
        <v>1524.86</v>
      </c>
      <c r="H91" s="143"/>
      <c r="I91" s="143"/>
      <c r="J91" s="143"/>
      <c r="K91" s="143"/>
      <c r="L91" s="143"/>
      <c r="M91" s="143">
        <f t="shared" si="15"/>
        <v>1524.86</v>
      </c>
      <c r="N91" s="143">
        <f t="shared" si="16"/>
        <v>0</v>
      </c>
      <c r="O91" s="143">
        <f t="shared" si="17"/>
        <v>1524.86</v>
      </c>
      <c r="P91" s="151">
        <f t="shared" si="18"/>
        <v>100</v>
      </c>
      <c r="Q91" s="153"/>
    </row>
    <row r="92" ht="24.95" hidden="1" customHeight="1" spans="1:19">
      <c r="A92" s="40">
        <v>2300401</v>
      </c>
      <c r="B92" s="40"/>
      <c r="C92" s="157" t="s">
        <v>1158</v>
      </c>
      <c r="D92" s="147"/>
      <c r="E92" s="147"/>
      <c r="F92" s="143">
        <f t="shared" si="14"/>
        <v>0</v>
      </c>
      <c r="G92" s="147"/>
      <c r="H92" s="143"/>
      <c r="I92" s="143"/>
      <c r="J92" s="143"/>
      <c r="K92" s="143"/>
      <c r="L92" s="143"/>
      <c r="M92" s="143">
        <f t="shared" si="15"/>
        <v>0</v>
      </c>
      <c r="N92" s="143">
        <f t="shared" si="16"/>
        <v>0</v>
      </c>
      <c r="O92" s="143">
        <f t="shared" si="17"/>
        <v>0</v>
      </c>
      <c r="P92" s="151">
        <f t="shared" si="18"/>
        <v>0</v>
      </c>
      <c r="Q92" s="153"/>
      <c r="S92" s="3"/>
    </row>
    <row r="93" ht="24.95" customHeight="1" spans="1:19">
      <c r="A93" s="40">
        <v>2300402</v>
      </c>
      <c r="B93" s="40"/>
      <c r="C93" s="40" t="s">
        <v>1159</v>
      </c>
      <c r="D93" s="147"/>
      <c r="E93" s="147"/>
      <c r="F93" s="143"/>
      <c r="G93" s="158">
        <v>1524.86</v>
      </c>
      <c r="H93" s="143"/>
      <c r="I93" s="143"/>
      <c r="J93" s="143"/>
      <c r="K93" s="143"/>
      <c r="L93" s="143"/>
      <c r="M93" s="143">
        <f t="shared" si="15"/>
        <v>1524.86</v>
      </c>
      <c r="N93" s="143">
        <f t="shared" si="16"/>
        <v>0</v>
      </c>
      <c r="O93" s="143">
        <f t="shared" si="17"/>
        <v>1524.86</v>
      </c>
      <c r="P93" s="151">
        <f t="shared" si="18"/>
        <v>100</v>
      </c>
      <c r="Q93" s="153"/>
      <c r="S93" s="3"/>
    </row>
    <row r="94" ht="24.95" customHeight="1" spans="1:19">
      <c r="A94" s="142" t="s">
        <v>1160</v>
      </c>
      <c r="B94" s="144"/>
      <c r="C94" s="516" t="s">
        <v>1161</v>
      </c>
      <c r="D94" s="147">
        <v>47900</v>
      </c>
      <c r="E94" s="147"/>
      <c r="F94" s="143">
        <f t="shared" ref="F94:F111" si="24">D94+E94</f>
        <v>47900</v>
      </c>
      <c r="G94" s="147">
        <f>-15100-400+3224</f>
        <v>-12276</v>
      </c>
      <c r="H94" s="143"/>
      <c r="I94" s="143"/>
      <c r="J94" s="143"/>
      <c r="K94" s="143"/>
      <c r="L94" s="143"/>
      <c r="M94" s="143">
        <f t="shared" si="15"/>
        <v>35624</v>
      </c>
      <c r="N94" s="143">
        <f t="shared" si="16"/>
        <v>0</v>
      </c>
      <c r="O94" s="143">
        <f t="shared" si="17"/>
        <v>35624</v>
      </c>
      <c r="P94" s="151">
        <f t="shared" ref="P94:P112" si="25">IF(F94=0,IF(O94=0,0,100),100*(O94/F94-1))</f>
        <v>-25.6283924843424</v>
      </c>
      <c r="Q94" s="153"/>
      <c r="S94" s="3"/>
    </row>
    <row r="95" ht="24.95" customHeight="1" spans="1:17">
      <c r="A95" s="142" t="s">
        <v>1162</v>
      </c>
      <c r="B95" s="144"/>
      <c r="C95" s="516" t="s">
        <v>1163</v>
      </c>
      <c r="D95" s="147">
        <v>331</v>
      </c>
      <c r="E95" s="147"/>
      <c r="F95" s="143">
        <f t="shared" si="24"/>
        <v>331</v>
      </c>
      <c r="G95" s="147">
        <v>-306</v>
      </c>
      <c r="H95" s="143"/>
      <c r="I95" s="143"/>
      <c r="J95" s="143"/>
      <c r="K95" s="143"/>
      <c r="L95" s="143"/>
      <c r="M95" s="143">
        <f t="shared" si="15"/>
        <v>25</v>
      </c>
      <c r="N95" s="143">
        <f t="shared" si="16"/>
        <v>0</v>
      </c>
      <c r="O95" s="143">
        <f t="shared" si="17"/>
        <v>25</v>
      </c>
      <c r="P95" s="151">
        <f t="shared" si="25"/>
        <v>-92.4471299093656</v>
      </c>
      <c r="Q95" s="153"/>
    </row>
    <row r="96" ht="24.95" customHeight="1" spans="1:17">
      <c r="A96" s="142" t="s">
        <v>1164</v>
      </c>
      <c r="B96" s="144"/>
      <c r="C96" s="516" t="s">
        <v>465</v>
      </c>
      <c r="D96" s="143">
        <f>D97</f>
        <v>8174</v>
      </c>
      <c r="E96" s="143">
        <f>E97</f>
        <v>0</v>
      </c>
      <c r="F96" s="143">
        <f t="shared" si="24"/>
        <v>8174</v>
      </c>
      <c r="G96" s="143"/>
      <c r="H96" s="143"/>
      <c r="I96" s="143"/>
      <c r="J96" s="143"/>
      <c r="K96" s="143"/>
      <c r="L96" s="143"/>
      <c r="M96" s="143">
        <f t="shared" si="15"/>
        <v>8174</v>
      </c>
      <c r="N96" s="143">
        <f t="shared" si="16"/>
        <v>0</v>
      </c>
      <c r="O96" s="143">
        <f t="shared" si="17"/>
        <v>8174</v>
      </c>
      <c r="P96" s="151">
        <f t="shared" si="25"/>
        <v>0</v>
      </c>
      <c r="Q96" s="153"/>
    </row>
    <row r="97" ht="24.95" customHeight="1" spans="1:17">
      <c r="A97" s="142" t="s">
        <v>1165</v>
      </c>
      <c r="B97" s="144"/>
      <c r="C97" s="157" t="s">
        <v>1166</v>
      </c>
      <c r="D97" s="143">
        <f>SUM(D98:D100)</f>
        <v>8174</v>
      </c>
      <c r="E97" s="143">
        <f>SUM(E98:E100)</f>
        <v>0</v>
      </c>
      <c r="F97" s="143">
        <f t="shared" si="24"/>
        <v>8174</v>
      </c>
      <c r="G97" s="143"/>
      <c r="H97" s="143"/>
      <c r="I97" s="143"/>
      <c r="J97" s="143"/>
      <c r="K97" s="143"/>
      <c r="L97" s="143"/>
      <c r="M97" s="143">
        <f t="shared" si="15"/>
        <v>8174</v>
      </c>
      <c r="N97" s="143">
        <f t="shared" si="16"/>
        <v>0</v>
      </c>
      <c r="O97" s="143">
        <f t="shared" si="17"/>
        <v>8174</v>
      </c>
      <c r="P97" s="151">
        <f t="shared" si="25"/>
        <v>0</v>
      </c>
      <c r="Q97" s="153"/>
    </row>
    <row r="98" ht="24.95" customHeight="1" spans="1:17">
      <c r="A98" s="142" t="s">
        <v>1167</v>
      </c>
      <c r="B98" s="144"/>
      <c r="C98" s="157" t="s">
        <v>1168</v>
      </c>
      <c r="D98" s="147">
        <v>3539</v>
      </c>
      <c r="E98" s="147"/>
      <c r="F98" s="143">
        <f t="shared" si="24"/>
        <v>3539</v>
      </c>
      <c r="G98" s="147"/>
      <c r="H98" s="143"/>
      <c r="I98" s="143"/>
      <c r="J98" s="143"/>
      <c r="K98" s="143"/>
      <c r="L98" s="143"/>
      <c r="M98" s="143">
        <f t="shared" si="15"/>
        <v>3539</v>
      </c>
      <c r="N98" s="143">
        <f t="shared" si="16"/>
        <v>0</v>
      </c>
      <c r="O98" s="143">
        <f t="shared" si="17"/>
        <v>3539</v>
      </c>
      <c r="P98" s="151">
        <f t="shared" si="25"/>
        <v>0</v>
      </c>
      <c r="Q98" s="153"/>
    </row>
    <row r="99" ht="24.95" customHeight="1" spans="1:17">
      <c r="A99" s="142" t="s">
        <v>1169</v>
      </c>
      <c r="B99" s="144"/>
      <c r="C99" s="157" t="s">
        <v>1170</v>
      </c>
      <c r="D99" s="147">
        <v>1038</v>
      </c>
      <c r="E99" s="147"/>
      <c r="F99" s="143">
        <f t="shared" si="24"/>
        <v>1038</v>
      </c>
      <c r="G99" s="147"/>
      <c r="H99" s="143"/>
      <c r="I99" s="143"/>
      <c r="J99" s="143"/>
      <c r="K99" s="143"/>
      <c r="L99" s="143"/>
      <c r="M99" s="143">
        <f t="shared" si="15"/>
        <v>1038</v>
      </c>
      <c r="N99" s="143">
        <f t="shared" si="16"/>
        <v>0</v>
      </c>
      <c r="O99" s="143">
        <f t="shared" si="17"/>
        <v>1038</v>
      </c>
      <c r="P99" s="151">
        <f t="shared" si="25"/>
        <v>0</v>
      </c>
      <c r="Q99" s="153"/>
    </row>
    <row r="100" ht="24.95" customHeight="1" spans="1:17">
      <c r="A100" s="142" t="s">
        <v>1171</v>
      </c>
      <c r="B100" s="144"/>
      <c r="C100" s="157" t="s">
        <v>1172</v>
      </c>
      <c r="D100" s="147">
        <v>3597</v>
      </c>
      <c r="E100" s="147"/>
      <c r="F100" s="143">
        <f t="shared" si="24"/>
        <v>3597</v>
      </c>
      <c r="G100" s="147"/>
      <c r="H100" s="143"/>
      <c r="I100" s="143"/>
      <c r="J100" s="143"/>
      <c r="K100" s="143"/>
      <c r="L100" s="143"/>
      <c r="M100" s="143">
        <f t="shared" si="15"/>
        <v>3597</v>
      </c>
      <c r="N100" s="143">
        <f t="shared" si="16"/>
        <v>0</v>
      </c>
      <c r="O100" s="143">
        <f t="shared" si="17"/>
        <v>3597</v>
      </c>
      <c r="P100" s="151">
        <f t="shared" si="25"/>
        <v>0</v>
      </c>
      <c r="Q100" s="153"/>
    </row>
    <row r="101" ht="24.95" customHeight="1" spans="1:17">
      <c r="A101" s="142" t="s">
        <v>1173</v>
      </c>
      <c r="B101" s="144"/>
      <c r="C101" s="157" t="s">
        <v>468</v>
      </c>
      <c r="D101" s="143">
        <f>D102</f>
        <v>103</v>
      </c>
      <c r="E101" s="143">
        <f>E102</f>
        <v>0</v>
      </c>
      <c r="F101" s="143">
        <f t="shared" si="24"/>
        <v>103</v>
      </c>
      <c r="G101" s="143"/>
      <c r="H101" s="143"/>
      <c r="I101" s="143"/>
      <c r="J101" s="143"/>
      <c r="K101" s="143"/>
      <c r="L101" s="143"/>
      <c r="M101" s="143">
        <f t="shared" si="15"/>
        <v>103</v>
      </c>
      <c r="N101" s="143">
        <f t="shared" si="16"/>
        <v>0</v>
      </c>
      <c r="O101" s="143">
        <f t="shared" si="17"/>
        <v>103</v>
      </c>
      <c r="P101" s="151">
        <f t="shared" si="25"/>
        <v>0</v>
      </c>
      <c r="Q101" s="153"/>
    </row>
    <row r="102" ht="24.95" customHeight="1" spans="1:17">
      <c r="A102" s="142" t="s">
        <v>1174</v>
      </c>
      <c r="B102" s="144"/>
      <c r="C102" s="157" t="s">
        <v>1175</v>
      </c>
      <c r="D102" s="143">
        <f>SUM(D103:D105)</f>
        <v>103</v>
      </c>
      <c r="E102" s="143">
        <f>SUM(E103:E105)</f>
        <v>0</v>
      </c>
      <c r="F102" s="143">
        <f t="shared" si="24"/>
        <v>103</v>
      </c>
      <c r="G102" s="143"/>
      <c r="H102" s="143"/>
      <c r="I102" s="143"/>
      <c r="J102" s="143"/>
      <c r="K102" s="143"/>
      <c r="L102" s="143"/>
      <c r="M102" s="143">
        <f t="shared" si="15"/>
        <v>103</v>
      </c>
      <c r="N102" s="143">
        <f t="shared" si="16"/>
        <v>0</v>
      </c>
      <c r="O102" s="143">
        <f t="shared" si="17"/>
        <v>103</v>
      </c>
      <c r="P102" s="151">
        <f t="shared" si="25"/>
        <v>0</v>
      </c>
      <c r="Q102" s="153"/>
    </row>
    <row r="103" ht="24.95" hidden="1" customHeight="1" spans="1:17">
      <c r="A103" s="142" t="s">
        <v>1176</v>
      </c>
      <c r="B103" s="144"/>
      <c r="C103" s="157" t="s">
        <v>1177</v>
      </c>
      <c r="D103" s="147">
        <v>0</v>
      </c>
      <c r="E103" s="147"/>
      <c r="F103" s="143">
        <f t="shared" si="24"/>
        <v>0</v>
      </c>
      <c r="G103" s="147"/>
      <c r="H103" s="143"/>
      <c r="I103" s="143"/>
      <c r="J103" s="143"/>
      <c r="K103" s="143"/>
      <c r="L103" s="143"/>
      <c r="M103" s="143">
        <f t="shared" si="15"/>
        <v>0</v>
      </c>
      <c r="N103" s="143">
        <f t="shared" si="16"/>
        <v>0</v>
      </c>
      <c r="O103" s="143">
        <f t="shared" si="17"/>
        <v>0</v>
      </c>
      <c r="P103" s="151">
        <f t="shared" si="25"/>
        <v>0</v>
      </c>
      <c r="Q103" s="153"/>
    </row>
    <row r="104" ht="24.95" hidden="1" customHeight="1" spans="1:17">
      <c r="A104" s="142" t="s">
        <v>1178</v>
      </c>
      <c r="B104" s="144"/>
      <c r="C104" s="157" t="s">
        <v>1179</v>
      </c>
      <c r="D104" s="143">
        <v>0</v>
      </c>
      <c r="E104" s="143"/>
      <c r="F104" s="143">
        <f t="shared" si="24"/>
        <v>0</v>
      </c>
      <c r="G104" s="143"/>
      <c r="H104" s="143"/>
      <c r="I104" s="143"/>
      <c r="J104" s="143"/>
      <c r="K104" s="143"/>
      <c r="L104" s="143"/>
      <c r="M104" s="143">
        <f t="shared" si="15"/>
        <v>0</v>
      </c>
      <c r="N104" s="143">
        <f t="shared" si="16"/>
        <v>0</v>
      </c>
      <c r="O104" s="143">
        <f t="shared" si="17"/>
        <v>0</v>
      </c>
      <c r="P104" s="151">
        <f t="shared" si="25"/>
        <v>0</v>
      </c>
      <c r="Q104" s="153"/>
    </row>
    <row r="105" ht="24.95" customHeight="1" spans="1:17">
      <c r="A105" s="142" t="s">
        <v>1180</v>
      </c>
      <c r="B105" s="144"/>
      <c r="C105" s="157" t="s">
        <v>1181</v>
      </c>
      <c r="D105" s="147">
        <v>103</v>
      </c>
      <c r="E105" s="147"/>
      <c r="F105" s="143">
        <f t="shared" si="24"/>
        <v>103</v>
      </c>
      <c r="G105" s="147"/>
      <c r="H105" s="143"/>
      <c r="I105" s="143"/>
      <c r="J105" s="143"/>
      <c r="K105" s="143"/>
      <c r="L105" s="143"/>
      <c r="M105" s="143">
        <f t="shared" si="15"/>
        <v>103</v>
      </c>
      <c r="N105" s="143">
        <f t="shared" si="16"/>
        <v>0</v>
      </c>
      <c r="O105" s="143">
        <f t="shared" si="17"/>
        <v>103</v>
      </c>
      <c r="P105" s="151">
        <f t="shared" si="25"/>
        <v>0</v>
      </c>
      <c r="Q105" s="153"/>
    </row>
    <row r="106" ht="24.95" customHeight="1" spans="1:17">
      <c r="A106" s="142" t="s">
        <v>1182</v>
      </c>
      <c r="B106" s="144"/>
      <c r="C106" s="157" t="s">
        <v>1183</v>
      </c>
      <c r="D106" s="147">
        <f t="shared" ref="D106:L106" si="26">D107+D110</f>
        <v>0</v>
      </c>
      <c r="E106" s="147">
        <f t="shared" si="26"/>
        <v>8350</v>
      </c>
      <c r="F106" s="143">
        <f t="shared" si="24"/>
        <v>8350</v>
      </c>
      <c r="G106" s="147">
        <f t="shared" si="26"/>
        <v>0</v>
      </c>
      <c r="H106" s="147">
        <f t="shared" si="26"/>
        <v>0</v>
      </c>
      <c r="I106" s="147">
        <f t="shared" si="26"/>
        <v>0</v>
      </c>
      <c r="J106" s="147">
        <f t="shared" si="26"/>
        <v>0</v>
      </c>
      <c r="K106" s="147">
        <f t="shared" si="26"/>
        <v>0</v>
      </c>
      <c r="L106" s="147">
        <f t="shared" si="26"/>
        <v>1990.08</v>
      </c>
      <c r="M106" s="143">
        <f t="shared" si="15"/>
        <v>0</v>
      </c>
      <c r="N106" s="143">
        <f t="shared" si="16"/>
        <v>10340.08</v>
      </c>
      <c r="O106" s="143">
        <f t="shared" si="17"/>
        <v>10340.08</v>
      </c>
      <c r="P106" s="151">
        <f t="shared" si="25"/>
        <v>23.8332934131737</v>
      </c>
      <c r="Q106" s="153"/>
    </row>
    <row r="107" ht="24.95" customHeight="1" spans="1:17">
      <c r="A107" s="142" t="s">
        <v>1184</v>
      </c>
      <c r="B107" s="144"/>
      <c r="C107" s="157" t="s">
        <v>1185</v>
      </c>
      <c r="D107" s="147">
        <f>D108+D109</f>
        <v>0</v>
      </c>
      <c r="E107" s="147">
        <f>E108+E109</f>
        <v>8350</v>
      </c>
      <c r="F107" s="143">
        <f t="shared" si="24"/>
        <v>8350</v>
      </c>
      <c r="G107" s="147"/>
      <c r="H107" s="143"/>
      <c r="I107" s="143"/>
      <c r="J107" s="143"/>
      <c r="K107" s="143"/>
      <c r="L107" s="143"/>
      <c r="M107" s="143">
        <f t="shared" si="15"/>
        <v>0</v>
      </c>
      <c r="N107" s="143">
        <f t="shared" si="16"/>
        <v>8350</v>
      </c>
      <c r="O107" s="143">
        <f t="shared" si="17"/>
        <v>8350</v>
      </c>
      <c r="P107" s="151">
        <f t="shared" si="25"/>
        <v>0</v>
      </c>
      <c r="Q107" s="153"/>
    </row>
    <row r="108" ht="24.95" customHeight="1" spans="1:17">
      <c r="A108" s="142" t="s">
        <v>1186</v>
      </c>
      <c r="B108" s="144"/>
      <c r="C108" s="157" t="s">
        <v>1187</v>
      </c>
      <c r="D108" s="147"/>
      <c r="E108" s="147">
        <v>850</v>
      </c>
      <c r="F108" s="143">
        <f t="shared" si="24"/>
        <v>850</v>
      </c>
      <c r="G108" s="147"/>
      <c r="H108" s="143"/>
      <c r="I108" s="143"/>
      <c r="J108" s="143"/>
      <c r="K108" s="143"/>
      <c r="L108" s="143"/>
      <c r="M108" s="143">
        <f t="shared" si="15"/>
        <v>0</v>
      </c>
      <c r="N108" s="143">
        <f t="shared" si="16"/>
        <v>850</v>
      </c>
      <c r="O108" s="143">
        <f t="shared" si="17"/>
        <v>850</v>
      </c>
      <c r="P108" s="151">
        <f t="shared" si="25"/>
        <v>0</v>
      </c>
      <c r="Q108" s="153"/>
    </row>
    <row r="109" ht="24.95" customHeight="1" spans="1:17">
      <c r="A109" s="142" t="s">
        <v>1188</v>
      </c>
      <c r="B109" s="144"/>
      <c r="C109" s="157" t="s">
        <v>1189</v>
      </c>
      <c r="D109" s="147"/>
      <c r="E109" s="147">
        <v>7500</v>
      </c>
      <c r="F109" s="143">
        <f t="shared" si="24"/>
        <v>7500</v>
      </c>
      <c r="G109" s="147"/>
      <c r="H109" s="143"/>
      <c r="I109" s="143"/>
      <c r="J109" s="143"/>
      <c r="K109" s="143"/>
      <c r="L109" s="143"/>
      <c r="M109" s="143">
        <f t="shared" si="15"/>
        <v>0</v>
      </c>
      <c r="N109" s="143">
        <f t="shared" si="16"/>
        <v>7500</v>
      </c>
      <c r="O109" s="143">
        <f t="shared" si="17"/>
        <v>7500</v>
      </c>
      <c r="P109" s="151">
        <f t="shared" si="25"/>
        <v>0</v>
      </c>
      <c r="Q109" s="153"/>
    </row>
    <row r="110" ht="24.95" customHeight="1" spans="1:17">
      <c r="A110" s="142" t="s">
        <v>1190</v>
      </c>
      <c r="B110" s="144"/>
      <c r="C110" s="157" t="s">
        <v>1191</v>
      </c>
      <c r="D110" s="147">
        <f t="shared" ref="D110:G110" si="27">D111</f>
        <v>0</v>
      </c>
      <c r="E110" s="147">
        <f t="shared" si="27"/>
        <v>0</v>
      </c>
      <c r="F110" s="143">
        <f t="shared" si="24"/>
        <v>0</v>
      </c>
      <c r="G110" s="147">
        <f t="shared" si="27"/>
        <v>0</v>
      </c>
      <c r="H110" s="147">
        <f t="shared" ref="H110:M110" si="28">H111</f>
        <v>0</v>
      </c>
      <c r="I110" s="147">
        <f t="shared" si="28"/>
        <v>0</v>
      </c>
      <c r="J110" s="147">
        <f t="shared" si="28"/>
        <v>0</v>
      </c>
      <c r="K110" s="147">
        <f t="shared" si="28"/>
        <v>0</v>
      </c>
      <c r="L110" s="147">
        <f t="shared" si="28"/>
        <v>1990.08</v>
      </c>
      <c r="M110" s="147">
        <f t="shared" si="28"/>
        <v>0</v>
      </c>
      <c r="N110" s="143">
        <f t="shared" si="16"/>
        <v>1990.08</v>
      </c>
      <c r="O110" s="143">
        <f t="shared" si="17"/>
        <v>1990.08</v>
      </c>
      <c r="P110" s="151">
        <f t="shared" si="25"/>
        <v>100</v>
      </c>
      <c r="Q110" s="153"/>
    </row>
    <row r="111" ht="24.95" customHeight="1" spans="1:17">
      <c r="A111" s="142" t="s">
        <v>1192</v>
      </c>
      <c r="B111" s="144"/>
      <c r="C111" s="157" t="s">
        <v>1193</v>
      </c>
      <c r="D111" s="147"/>
      <c r="E111" s="147"/>
      <c r="F111" s="143">
        <f t="shared" si="24"/>
        <v>0</v>
      </c>
      <c r="G111" s="147"/>
      <c r="H111" s="143"/>
      <c r="I111" s="143"/>
      <c r="J111" s="143"/>
      <c r="K111" s="143"/>
      <c r="L111" s="143">
        <v>1990.08</v>
      </c>
      <c r="M111" s="143">
        <f>D111+G111+H111+I111+J111+K111</f>
        <v>0</v>
      </c>
      <c r="N111" s="143">
        <f t="shared" si="16"/>
        <v>1990.08</v>
      </c>
      <c r="O111" s="143">
        <f t="shared" si="17"/>
        <v>1990.08</v>
      </c>
      <c r="P111" s="151">
        <f t="shared" si="25"/>
        <v>100</v>
      </c>
      <c r="Q111" s="153"/>
    </row>
    <row r="112" s="6" customFormat="1" ht="24.95" customHeight="1" spans="1:17">
      <c r="A112" s="159"/>
      <c r="B112" s="160"/>
      <c r="C112" s="159" t="s">
        <v>1194</v>
      </c>
      <c r="D112" s="161">
        <f>D6+D10+D15+D21+D53+D63+D68+D76+D90+D96+D101+D106+D73</f>
        <v>424061</v>
      </c>
      <c r="E112" s="161">
        <f t="shared" ref="E112:O112" si="29">E6+E10+E15+E21+E53+E63+E68+E76+E90+E96+E101+E106+E73</f>
        <v>80717.93</v>
      </c>
      <c r="F112" s="161">
        <f t="shared" si="29"/>
        <v>504778.93</v>
      </c>
      <c r="G112" s="161">
        <f t="shared" si="29"/>
        <v>-140300.07</v>
      </c>
      <c r="H112" s="161">
        <f t="shared" si="29"/>
        <v>0</v>
      </c>
      <c r="I112" s="161">
        <f t="shared" si="29"/>
        <v>0</v>
      </c>
      <c r="J112" s="161">
        <f t="shared" si="29"/>
        <v>0</v>
      </c>
      <c r="K112" s="161">
        <f t="shared" si="29"/>
        <v>0</v>
      </c>
      <c r="L112" s="161">
        <f t="shared" si="29"/>
        <v>1992.78</v>
      </c>
      <c r="M112" s="161">
        <f t="shared" si="29"/>
        <v>283760.93</v>
      </c>
      <c r="N112" s="161">
        <f t="shared" si="29"/>
        <v>82710.71</v>
      </c>
      <c r="O112" s="161">
        <f t="shared" si="29"/>
        <v>366471.64</v>
      </c>
      <c r="P112" s="163">
        <f t="shared" si="25"/>
        <v>-27.399576682014</v>
      </c>
      <c r="Q112" s="164"/>
    </row>
    <row r="116" customHeight="1" spans="7:7">
      <c r="G116" s="162"/>
    </row>
  </sheetData>
  <mergeCells count="8">
    <mergeCell ref="A2:Q2"/>
    <mergeCell ref="D4:F4"/>
    <mergeCell ref="G4:L4"/>
    <mergeCell ref="M4:O4"/>
    <mergeCell ref="C4:C5"/>
    <mergeCell ref="P4:P5"/>
    <mergeCell ref="Q4:Q5"/>
    <mergeCell ref="A4:B5"/>
  </mergeCells>
  <printOptions horizontalCentered="1"/>
  <pageMargins left="0.393055555555556" right="0.393055555555556" top="0.196527777777778" bottom="0.393055555555556" header="0.196527777777778" footer="0.0388888888888889"/>
  <pageSetup paperSize="9" scale="75" fitToHeight="0"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7"/>
  <sheetViews>
    <sheetView workbookViewId="0">
      <pane xSplit="4" ySplit="5" topLeftCell="E11" activePane="bottomRight" state="frozen"/>
      <selection/>
      <selection pane="topRight"/>
      <selection pane="bottomLeft"/>
      <selection pane="bottomRight" activeCell="G6" sqref="G6"/>
    </sheetView>
  </sheetViews>
  <sheetFormatPr defaultColWidth="9" defaultRowHeight="12.75"/>
  <cols>
    <col min="1" max="1" width="6.625" style="86" customWidth="1"/>
    <col min="2" max="2" width="13.375" style="84" hidden="1" customWidth="1"/>
    <col min="3" max="3" width="23.625" style="84" customWidth="1"/>
    <col min="4" max="4" width="50.625" style="84" customWidth="1"/>
    <col min="5" max="7" width="12.625" style="84" customWidth="1"/>
    <col min="8" max="8" width="45.625" style="87" customWidth="1"/>
    <col min="9" max="9" width="8.5" style="85" hidden="1" customWidth="1"/>
    <col min="10" max="10" width="9.75" style="85" hidden="1" customWidth="1"/>
    <col min="11" max="11" width="24.875" style="85" hidden="1" customWidth="1"/>
    <col min="12" max="13" width="5.875" style="85" hidden="1" customWidth="1"/>
    <col min="14" max="14" width="4.125" style="85" hidden="1" customWidth="1"/>
    <col min="15" max="15" width="8" style="85" customWidth="1"/>
    <col min="16" max="17" width="16.625" style="85" customWidth="1"/>
    <col min="18" max="16383" width="9" style="85"/>
    <col min="16384" max="16384" width="9" style="88"/>
  </cols>
  <sheetData>
    <row r="1" s="82" customFormat="1" ht="20" customHeight="1" spans="1:8">
      <c r="A1" s="89" t="s">
        <v>1195</v>
      </c>
      <c r="H1" s="89"/>
    </row>
    <row r="2" s="82" customFormat="1" ht="25" customHeight="1" spans="1:17">
      <c r="A2" s="90" t="s">
        <v>1196</v>
      </c>
      <c r="B2" s="90"/>
      <c r="C2" s="90"/>
      <c r="D2" s="90"/>
      <c r="E2" s="90"/>
      <c r="F2" s="90"/>
      <c r="G2" s="90"/>
      <c r="H2" s="91"/>
      <c r="I2" s="90"/>
      <c r="J2" s="90"/>
      <c r="K2" s="90"/>
      <c r="L2" s="90"/>
      <c r="M2" s="90"/>
      <c r="N2" s="90"/>
      <c r="O2" s="90"/>
      <c r="P2" s="90"/>
      <c r="Q2" s="90"/>
    </row>
    <row r="3" s="83" customFormat="1" ht="20.1" customHeight="1" spans="1:17">
      <c r="A3" s="92"/>
      <c r="B3" s="92" t="s">
        <v>1197</v>
      </c>
      <c r="C3" s="92" t="s">
        <v>1197</v>
      </c>
      <c r="D3" s="92" t="s">
        <v>1197</v>
      </c>
      <c r="E3" s="93"/>
      <c r="F3" s="93"/>
      <c r="G3" s="93"/>
      <c r="H3" s="94" t="s">
        <v>5</v>
      </c>
      <c r="I3" s="93"/>
      <c r="J3" s="93"/>
      <c r="K3" s="92"/>
      <c r="L3" s="92"/>
      <c r="Q3" s="118"/>
    </row>
    <row r="4" s="84" customFormat="1" ht="15" customHeight="1" spans="1:11">
      <c r="A4" s="95" t="s">
        <v>947</v>
      </c>
      <c r="B4" s="95" t="s">
        <v>1198</v>
      </c>
      <c r="C4" s="95" t="s">
        <v>1199</v>
      </c>
      <c r="D4" s="96" t="s">
        <v>1200</v>
      </c>
      <c r="E4" s="95" t="s">
        <v>1201</v>
      </c>
      <c r="F4" s="97" t="s">
        <v>924</v>
      </c>
      <c r="G4" s="95" t="s">
        <v>9</v>
      </c>
      <c r="H4" s="95" t="s">
        <v>11</v>
      </c>
      <c r="I4" s="114" t="s">
        <v>1202</v>
      </c>
      <c r="J4" s="114" t="s">
        <v>1203</v>
      </c>
      <c r="K4" s="114" t="s">
        <v>1204</v>
      </c>
    </row>
    <row r="5" s="84" customFormat="1" ht="15" customHeight="1" spans="1:11">
      <c r="A5" s="96"/>
      <c r="B5" s="95"/>
      <c r="C5" s="95"/>
      <c r="D5" s="96"/>
      <c r="E5" s="95"/>
      <c r="F5" s="97"/>
      <c r="G5" s="95"/>
      <c r="H5" s="95"/>
      <c r="I5" s="115"/>
      <c r="J5" s="115"/>
      <c r="K5" s="115"/>
    </row>
    <row r="6" s="84" customFormat="1" ht="26.1" customHeight="1" spans="1:11">
      <c r="A6" s="98">
        <v>1</v>
      </c>
      <c r="B6" s="98" t="s">
        <v>1205</v>
      </c>
      <c r="C6" s="98" t="s">
        <v>1206</v>
      </c>
      <c r="D6" s="99" t="s">
        <v>1207</v>
      </c>
      <c r="E6" s="100">
        <v>111300</v>
      </c>
      <c r="F6" s="100">
        <f>G6-E6</f>
        <v>-52955.9954</v>
      </c>
      <c r="G6" s="100">
        <f>53899.0046+4445</f>
        <v>58344.0046</v>
      </c>
      <c r="H6" s="101"/>
      <c r="I6" s="98" t="s">
        <v>1208</v>
      </c>
      <c r="J6" s="98" t="s">
        <v>1209</v>
      </c>
      <c r="K6" s="98">
        <v>2120802</v>
      </c>
    </row>
    <row r="7" s="84" customFormat="1" ht="26.1" customHeight="1" spans="1:13">
      <c r="A7" s="98">
        <v>2</v>
      </c>
      <c r="B7" s="98" t="s">
        <v>1205</v>
      </c>
      <c r="C7" s="98" t="s">
        <v>1206</v>
      </c>
      <c r="D7" s="99" t="s">
        <v>1210</v>
      </c>
      <c r="E7" s="100">
        <v>30000</v>
      </c>
      <c r="F7" s="100">
        <f t="shared" ref="F7:F38" si="0">G7-E7</f>
        <v>-23799.0046</v>
      </c>
      <c r="G7" s="100">
        <v>6200.9954</v>
      </c>
      <c r="H7" s="101"/>
      <c r="I7" s="98" t="s">
        <v>1208</v>
      </c>
      <c r="J7" s="98" t="s">
        <v>1209</v>
      </c>
      <c r="K7" s="98" t="s">
        <v>1211</v>
      </c>
      <c r="L7" s="84">
        <v>52443</v>
      </c>
      <c r="M7" s="84">
        <v>7657</v>
      </c>
    </row>
    <row r="8" s="84" customFormat="1" ht="26.1" customHeight="1" spans="1:11">
      <c r="A8" s="102" t="s">
        <v>966</v>
      </c>
      <c r="B8" s="102"/>
      <c r="C8" s="102"/>
      <c r="D8" s="102"/>
      <c r="E8" s="103">
        <f>(SUM(E6:E7))</f>
        <v>141300</v>
      </c>
      <c r="F8" s="103">
        <f t="shared" si="0"/>
        <v>-76755</v>
      </c>
      <c r="G8" s="103">
        <f>(SUM(G6:G7))</f>
        <v>64545</v>
      </c>
      <c r="H8" s="104"/>
      <c r="I8" s="102"/>
      <c r="J8" s="102"/>
      <c r="K8" s="102"/>
    </row>
    <row r="9" s="84" customFormat="1" ht="26.1" customHeight="1" spans="1:11">
      <c r="A9" s="98">
        <v>3</v>
      </c>
      <c r="B9" s="98" t="s">
        <v>1205</v>
      </c>
      <c r="C9" s="98" t="s">
        <v>1206</v>
      </c>
      <c r="D9" s="99" t="s">
        <v>1212</v>
      </c>
      <c r="E9" s="100">
        <v>237.8</v>
      </c>
      <c r="F9" s="100">
        <f t="shared" si="0"/>
        <v>-237.8</v>
      </c>
      <c r="G9" s="100">
        <v>0</v>
      </c>
      <c r="H9" s="101"/>
      <c r="I9" s="98" t="s">
        <v>1213</v>
      </c>
      <c r="J9" s="98" t="s">
        <v>1209</v>
      </c>
      <c r="K9" s="98">
        <v>2120801</v>
      </c>
    </row>
    <row r="10" s="84" customFormat="1" ht="39.95" customHeight="1" spans="1:11">
      <c r="A10" s="98">
        <v>4</v>
      </c>
      <c r="B10" s="98" t="s">
        <v>1205</v>
      </c>
      <c r="C10" s="98" t="s">
        <v>1206</v>
      </c>
      <c r="D10" s="99" t="s">
        <v>1214</v>
      </c>
      <c r="E10" s="100">
        <v>10.67</v>
      </c>
      <c r="F10" s="100">
        <f t="shared" si="0"/>
        <v>-10.67</v>
      </c>
      <c r="G10" s="100">
        <v>0</v>
      </c>
      <c r="H10" s="101" t="s">
        <v>1215</v>
      </c>
      <c r="I10" s="98" t="s">
        <v>1213</v>
      </c>
      <c r="J10" s="98" t="s">
        <v>1209</v>
      </c>
      <c r="K10" s="98">
        <v>2120801</v>
      </c>
    </row>
    <row r="11" s="84" customFormat="1" ht="54.95" customHeight="1" spans="1:11">
      <c r="A11" s="98">
        <v>5</v>
      </c>
      <c r="B11" s="98" t="s">
        <v>1205</v>
      </c>
      <c r="C11" s="98" t="s">
        <v>1206</v>
      </c>
      <c r="D11" s="99" t="s">
        <v>1216</v>
      </c>
      <c r="E11" s="100">
        <v>57.17</v>
      </c>
      <c r="F11" s="100">
        <f t="shared" si="0"/>
        <v>-57.17</v>
      </c>
      <c r="G11" s="100">
        <v>0</v>
      </c>
      <c r="H11" s="101" t="s">
        <v>1217</v>
      </c>
      <c r="I11" s="98" t="s">
        <v>1213</v>
      </c>
      <c r="J11" s="98" t="s">
        <v>1209</v>
      </c>
      <c r="K11" s="98">
        <v>2120802</v>
      </c>
    </row>
    <row r="12" s="84" customFormat="1" ht="26.1" customHeight="1" spans="1:11">
      <c r="A12" s="98">
        <v>6</v>
      </c>
      <c r="B12" s="98" t="s">
        <v>1205</v>
      </c>
      <c r="C12" s="98" t="s">
        <v>1206</v>
      </c>
      <c r="D12" s="99" t="s">
        <v>1218</v>
      </c>
      <c r="E12" s="100">
        <v>51.9</v>
      </c>
      <c r="F12" s="100">
        <f t="shared" si="0"/>
        <v>-51.9</v>
      </c>
      <c r="G12" s="100">
        <v>0</v>
      </c>
      <c r="H12" s="101"/>
      <c r="I12" s="98" t="s">
        <v>1213</v>
      </c>
      <c r="J12" s="98" t="s">
        <v>1209</v>
      </c>
      <c r="K12" s="98">
        <v>2120801</v>
      </c>
    </row>
    <row r="13" s="84" customFormat="1" ht="39.95" customHeight="1" spans="1:11">
      <c r="A13" s="98">
        <v>7</v>
      </c>
      <c r="B13" s="98" t="s">
        <v>1205</v>
      </c>
      <c r="C13" s="98" t="s">
        <v>1206</v>
      </c>
      <c r="D13" s="99" t="s">
        <v>1219</v>
      </c>
      <c r="E13" s="100">
        <v>500</v>
      </c>
      <c r="F13" s="100">
        <f t="shared" si="0"/>
        <v>0</v>
      </c>
      <c r="G13" s="100">
        <v>500</v>
      </c>
      <c r="H13" s="101" t="s">
        <v>1220</v>
      </c>
      <c r="I13" s="98" t="s">
        <v>1213</v>
      </c>
      <c r="J13" s="98" t="s">
        <v>1209</v>
      </c>
      <c r="K13" s="98">
        <v>2120802</v>
      </c>
    </row>
    <row r="14" s="84" customFormat="1" ht="54.95" customHeight="1" spans="1:11">
      <c r="A14" s="98">
        <v>8</v>
      </c>
      <c r="B14" s="98" t="s">
        <v>1205</v>
      </c>
      <c r="C14" s="98" t="s">
        <v>1206</v>
      </c>
      <c r="D14" s="99" t="s">
        <v>1221</v>
      </c>
      <c r="E14" s="100">
        <v>330</v>
      </c>
      <c r="F14" s="100">
        <f t="shared" si="0"/>
        <v>-4.87156299999998</v>
      </c>
      <c r="G14" s="100">
        <v>325.128437</v>
      </c>
      <c r="H14" s="101" t="s">
        <v>1222</v>
      </c>
      <c r="I14" s="98" t="s">
        <v>1213</v>
      </c>
      <c r="J14" s="98" t="s">
        <v>1209</v>
      </c>
      <c r="K14" s="98">
        <v>2120802</v>
      </c>
    </row>
    <row r="15" s="84" customFormat="1" ht="39.95" customHeight="1" spans="1:11">
      <c r="A15" s="98">
        <v>9</v>
      </c>
      <c r="B15" s="98" t="s">
        <v>1205</v>
      </c>
      <c r="C15" s="98" t="s">
        <v>1206</v>
      </c>
      <c r="D15" s="99" t="s">
        <v>1223</v>
      </c>
      <c r="E15" s="100">
        <v>5838.5</v>
      </c>
      <c r="F15" s="100">
        <f t="shared" si="0"/>
        <v>-5383.1</v>
      </c>
      <c r="G15" s="105">
        <v>455.4</v>
      </c>
      <c r="H15" s="106" t="s">
        <v>1224</v>
      </c>
      <c r="I15" s="98" t="s">
        <v>1213</v>
      </c>
      <c r="J15" s="98" t="s">
        <v>1209</v>
      </c>
      <c r="K15" s="98">
        <v>2120805</v>
      </c>
    </row>
    <row r="16" s="84" customFormat="1" ht="26.1" customHeight="1" spans="1:11">
      <c r="A16" s="98">
        <v>10</v>
      </c>
      <c r="B16" s="98" t="s">
        <v>1205</v>
      </c>
      <c r="C16" s="98" t="s">
        <v>1206</v>
      </c>
      <c r="D16" s="99" t="s">
        <v>1225</v>
      </c>
      <c r="E16" s="100">
        <v>19</v>
      </c>
      <c r="F16" s="100">
        <f t="shared" si="0"/>
        <v>0</v>
      </c>
      <c r="G16" s="100">
        <v>19</v>
      </c>
      <c r="H16" s="101"/>
      <c r="I16" s="98" t="s">
        <v>1213</v>
      </c>
      <c r="J16" s="98" t="s">
        <v>1209</v>
      </c>
      <c r="K16" s="98">
        <v>2120802</v>
      </c>
    </row>
    <row r="17" s="84" customFormat="1" ht="26.1" customHeight="1" spans="1:13">
      <c r="A17" s="98">
        <v>11</v>
      </c>
      <c r="B17" s="98" t="s">
        <v>1205</v>
      </c>
      <c r="C17" s="98" t="s">
        <v>1206</v>
      </c>
      <c r="D17" s="99" t="s">
        <v>1226</v>
      </c>
      <c r="E17" s="100">
        <v>224.9</v>
      </c>
      <c r="F17" s="100">
        <f t="shared" si="0"/>
        <v>-4.12880000000001</v>
      </c>
      <c r="G17" s="100">
        <v>220.7712</v>
      </c>
      <c r="H17" s="101"/>
      <c r="I17" s="98" t="s">
        <v>1213</v>
      </c>
      <c r="J17" s="98" t="s">
        <v>1209</v>
      </c>
      <c r="K17" s="98" t="s">
        <v>1227</v>
      </c>
      <c r="L17" s="84">
        <v>90.5</v>
      </c>
      <c r="M17" s="84">
        <v>134.4</v>
      </c>
    </row>
    <row r="18" s="84" customFormat="1" ht="26.1" customHeight="1" spans="1:11">
      <c r="A18" s="98">
        <v>12</v>
      </c>
      <c r="B18" s="98" t="s">
        <v>1205</v>
      </c>
      <c r="C18" s="107" t="s">
        <v>1206</v>
      </c>
      <c r="D18" s="108" t="s">
        <v>1228</v>
      </c>
      <c r="E18" s="100">
        <v>5955.19</v>
      </c>
      <c r="F18" s="100">
        <f t="shared" si="0"/>
        <v>-2898.88716</v>
      </c>
      <c r="G18" s="100">
        <v>3056.30284</v>
      </c>
      <c r="H18" s="101" t="s">
        <v>1229</v>
      </c>
      <c r="I18" s="116" t="s">
        <v>1213</v>
      </c>
      <c r="J18" s="116" t="s">
        <v>1209</v>
      </c>
      <c r="K18" s="116">
        <v>2120802</v>
      </c>
    </row>
    <row r="19" s="84" customFormat="1" ht="26.1" customHeight="1" spans="1:11">
      <c r="A19" s="98">
        <v>13</v>
      </c>
      <c r="B19" s="98" t="s">
        <v>1205</v>
      </c>
      <c r="C19" s="98" t="s">
        <v>1230</v>
      </c>
      <c r="D19" s="99" t="s">
        <v>1231</v>
      </c>
      <c r="E19" s="100">
        <v>100</v>
      </c>
      <c r="F19" s="100">
        <f t="shared" si="0"/>
        <v>-92</v>
      </c>
      <c r="G19" s="100">
        <v>8</v>
      </c>
      <c r="H19" s="101" t="s">
        <v>1232</v>
      </c>
      <c r="I19" s="98" t="s">
        <v>1213</v>
      </c>
      <c r="J19" s="98" t="s">
        <v>1209</v>
      </c>
      <c r="K19" s="98">
        <v>2120801</v>
      </c>
    </row>
    <row r="20" s="84" customFormat="1" ht="26.1" customHeight="1" spans="1:11">
      <c r="A20" s="98">
        <v>14</v>
      </c>
      <c r="B20" s="98" t="s">
        <v>1205</v>
      </c>
      <c r="C20" s="98" t="s">
        <v>1233</v>
      </c>
      <c r="D20" s="99" t="s">
        <v>1234</v>
      </c>
      <c r="E20" s="100">
        <v>121.272845</v>
      </c>
      <c r="F20" s="100">
        <f t="shared" si="0"/>
        <v>0</v>
      </c>
      <c r="G20" s="100">
        <v>121.272845</v>
      </c>
      <c r="H20" s="101"/>
      <c r="I20" s="98" t="s">
        <v>1213</v>
      </c>
      <c r="J20" s="98" t="s">
        <v>1209</v>
      </c>
      <c r="K20" s="98">
        <v>2120802</v>
      </c>
    </row>
    <row r="21" s="84" customFormat="1" ht="26.1" customHeight="1" spans="1:11">
      <c r="A21" s="98">
        <v>15</v>
      </c>
      <c r="B21" s="98" t="s">
        <v>1205</v>
      </c>
      <c r="C21" s="98" t="s">
        <v>1235</v>
      </c>
      <c r="D21" s="99" t="s">
        <v>1236</v>
      </c>
      <c r="E21" s="100">
        <v>400</v>
      </c>
      <c r="F21" s="100">
        <f t="shared" si="0"/>
        <v>0</v>
      </c>
      <c r="G21" s="100">
        <v>400</v>
      </c>
      <c r="H21" s="101"/>
      <c r="I21" s="98" t="s">
        <v>1213</v>
      </c>
      <c r="J21" s="98" t="s">
        <v>1209</v>
      </c>
      <c r="K21" s="98">
        <v>2120801</v>
      </c>
    </row>
    <row r="22" s="84" customFormat="1" ht="26.1" customHeight="1" spans="1:11">
      <c r="A22" s="98">
        <v>16</v>
      </c>
      <c r="B22" s="98" t="s">
        <v>1205</v>
      </c>
      <c r="C22" s="98" t="s">
        <v>1235</v>
      </c>
      <c r="D22" s="99" t="s">
        <v>1237</v>
      </c>
      <c r="E22" s="100">
        <v>1047.26</v>
      </c>
      <c r="F22" s="100">
        <f t="shared" si="0"/>
        <v>-0.00960000000009131</v>
      </c>
      <c r="G22" s="100">
        <v>1047.2504</v>
      </c>
      <c r="H22" s="101"/>
      <c r="I22" s="98" t="s">
        <v>1213</v>
      </c>
      <c r="J22" s="98" t="s">
        <v>1209</v>
      </c>
      <c r="K22" s="98">
        <v>2120802</v>
      </c>
    </row>
    <row r="23" s="84" customFormat="1" ht="26.1" customHeight="1" spans="1:13">
      <c r="A23" s="98">
        <v>17</v>
      </c>
      <c r="B23" s="98" t="s">
        <v>1205</v>
      </c>
      <c r="C23" s="98" t="s">
        <v>1238</v>
      </c>
      <c r="D23" s="99" t="s">
        <v>1239</v>
      </c>
      <c r="E23" s="100">
        <v>31.62</v>
      </c>
      <c r="F23" s="100">
        <f t="shared" si="0"/>
        <v>-6.4272</v>
      </c>
      <c r="G23" s="100">
        <v>25.1928</v>
      </c>
      <c r="H23" s="101"/>
      <c r="I23" s="98" t="s">
        <v>1213</v>
      </c>
      <c r="J23" s="98" t="s">
        <v>1209</v>
      </c>
      <c r="K23" s="98" t="s">
        <v>1227</v>
      </c>
      <c r="L23" s="84">
        <v>27.12</v>
      </c>
      <c r="M23" s="84">
        <v>4.5</v>
      </c>
    </row>
    <row r="24" s="84" customFormat="1" ht="26.1" customHeight="1" spans="1:11">
      <c r="A24" s="98">
        <v>18</v>
      </c>
      <c r="B24" s="98" t="s">
        <v>1205</v>
      </c>
      <c r="C24" s="98" t="s">
        <v>1238</v>
      </c>
      <c r="D24" s="99" t="s">
        <v>1240</v>
      </c>
      <c r="E24" s="100">
        <v>312.12</v>
      </c>
      <c r="F24" s="100">
        <f t="shared" si="0"/>
        <v>-0.00614799999999605</v>
      </c>
      <c r="G24" s="100">
        <v>312.113852</v>
      </c>
      <c r="H24" s="101"/>
      <c r="I24" s="98" t="s">
        <v>1213</v>
      </c>
      <c r="J24" s="98" t="s">
        <v>1209</v>
      </c>
      <c r="K24" s="98">
        <v>2120801</v>
      </c>
    </row>
    <row r="25" ht="26.1" customHeight="1" spans="1:11">
      <c r="A25" s="98">
        <v>19</v>
      </c>
      <c r="B25" s="98" t="s">
        <v>1205</v>
      </c>
      <c r="C25" s="98" t="s">
        <v>1241</v>
      </c>
      <c r="D25" s="109" t="s">
        <v>1242</v>
      </c>
      <c r="E25" s="110">
        <v>200</v>
      </c>
      <c r="F25" s="100">
        <f t="shared" si="0"/>
        <v>-200</v>
      </c>
      <c r="G25" s="100">
        <v>0</v>
      </c>
      <c r="H25" s="101"/>
      <c r="I25" s="98" t="s">
        <v>1213</v>
      </c>
      <c r="J25" s="98" t="s">
        <v>1209</v>
      </c>
      <c r="K25" s="98">
        <v>2120801</v>
      </c>
    </row>
    <row r="26" ht="26.1" customHeight="1" spans="1:11">
      <c r="A26" s="98">
        <v>20</v>
      </c>
      <c r="B26" s="98" t="s">
        <v>1205</v>
      </c>
      <c r="C26" s="98" t="s">
        <v>1235</v>
      </c>
      <c r="D26" s="109" t="s">
        <v>1243</v>
      </c>
      <c r="E26" s="110">
        <v>801.55</v>
      </c>
      <c r="F26" s="100">
        <f t="shared" si="0"/>
        <v>-801.55</v>
      </c>
      <c r="G26" s="100">
        <v>0</v>
      </c>
      <c r="H26" s="101"/>
      <c r="I26" s="98" t="s">
        <v>1213</v>
      </c>
      <c r="J26" s="98" t="s">
        <v>1209</v>
      </c>
      <c r="K26" s="98">
        <v>2120801</v>
      </c>
    </row>
    <row r="27" ht="26.1" customHeight="1" spans="1:11">
      <c r="A27" s="98">
        <v>21</v>
      </c>
      <c r="B27" s="98" t="s">
        <v>1205</v>
      </c>
      <c r="C27" s="98" t="s">
        <v>1244</v>
      </c>
      <c r="D27" s="109" t="s">
        <v>1245</v>
      </c>
      <c r="E27" s="110">
        <v>9000</v>
      </c>
      <c r="F27" s="100">
        <f t="shared" si="0"/>
        <v>0</v>
      </c>
      <c r="G27" s="100">
        <v>9000</v>
      </c>
      <c r="H27" s="101"/>
      <c r="I27" s="98" t="s">
        <v>1213</v>
      </c>
      <c r="J27" s="98" t="s">
        <v>1209</v>
      </c>
      <c r="K27" s="98">
        <v>2120801</v>
      </c>
    </row>
    <row r="28" ht="26.1" customHeight="1" spans="1:11">
      <c r="A28" s="98">
        <v>22</v>
      </c>
      <c r="B28" s="98" t="s">
        <v>1205</v>
      </c>
      <c r="C28" s="98" t="s">
        <v>1238</v>
      </c>
      <c r="D28" s="109" t="s">
        <v>1246</v>
      </c>
      <c r="E28" s="110">
        <v>100</v>
      </c>
      <c r="F28" s="100">
        <f t="shared" si="0"/>
        <v>-9.6673</v>
      </c>
      <c r="G28" s="100">
        <v>90.3327</v>
      </c>
      <c r="H28" s="101"/>
      <c r="I28" s="98" t="s">
        <v>1213</v>
      </c>
      <c r="J28" s="98" t="s">
        <v>1209</v>
      </c>
      <c r="K28" s="98">
        <v>2120801</v>
      </c>
    </row>
    <row r="29" ht="26.1" customHeight="1" spans="1:11">
      <c r="A29" s="98">
        <v>23</v>
      </c>
      <c r="B29" s="98" t="s">
        <v>1205</v>
      </c>
      <c r="C29" s="98" t="s">
        <v>1247</v>
      </c>
      <c r="D29" s="109" t="s">
        <v>1248</v>
      </c>
      <c r="E29" s="110">
        <v>107.6656</v>
      </c>
      <c r="F29" s="100">
        <f t="shared" si="0"/>
        <v>0</v>
      </c>
      <c r="G29" s="110">
        <v>107.6656</v>
      </c>
      <c r="H29" s="101"/>
      <c r="I29" s="98" t="s">
        <v>1213</v>
      </c>
      <c r="J29" s="98" t="s">
        <v>1209</v>
      </c>
      <c r="K29" s="98">
        <v>2120802</v>
      </c>
    </row>
    <row r="30" ht="26.1" customHeight="1" spans="1:11">
      <c r="A30" s="98">
        <v>24</v>
      </c>
      <c r="B30" s="98" t="s">
        <v>1205</v>
      </c>
      <c r="C30" s="98" t="s">
        <v>1206</v>
      </c>
      <c r="D30" s="109" t="s">
        <v>1248</v>
      </c>
      <c r="E30" s="110">
        <v>707.3976</v>
      </c>
      <c r="F30" s="100">
        <f t="shared" si="0"/>
        <v>0</v>
      </c>
      <c r="G30" s="100">
        <v>707.3976</v>
      </c>
      <c r="H30" s="101"/>
      <c r="I30" s="98" t="s">
        <v>1213</v>
      </c>
      <c r="J30" s="98" t="s">
        <v>1209</v>
      </c>
      <c r="K30" s="98">
        <v>2120802</v>
      </c>
    </row>
    <row r="31" ht="26.1" customHeight="1" spans="1:11">
      <c r="A31" s="98">
        <v>25</v>
      </c>
      <c r="B31" s="98" t="s">
        <v>1205</v>
      </c>
      <c r="C31" s="98" t="s">
        <v>1206</v>
      </c>
      <c r="D31" s="109" t="s">
        <v>1249</v>
      </c>
      <c r="E31" s="110">
        <v>90.5863</v>
      </c>
      <c r="F31" s="100">
        <f t="shared" si="0"/>
        <v>0</v>
      </c>
      <c r="G31" s="110">
        <v>90.5863</v>
      </c>
      <c r="H31" s="101"/>
      <c r="I31" s="98" t="s">
        <v>1213</v>
      </c>
      <c r="J31" s="98" t="s">
        <v>1209</v>
      </c>
      <c r="K31" s="98">
        <v>2120802</v>
      </c>
    </row>
    <row r="32" ht="26.1" customHeight="1" spans="1:11">
      <c r="A32" s="98">
        <v>26</v>
      </c>
      <c r="B32" s="98" t="s">
        <v>1205</v>
      </c>
      <c r="C32" s="98" t="s">
        <v>1206</v>
      </c>
      <c r="D32" s="109" t="s">
        <v>1245</v>
      </c>
      <c r="E32" s="110">
        <v>1000</v>
      </c>
      <c r="F32" s="100">
        <f t="shared" si="0"/>
        <v>0</v>
      </c>
      <c r="G32" s="100">
        <v>1000</v>
      </c>
      <c r="H32" s="101"/>
      <c r="I32" s="98" t="s">
        <v>1213</v>
      </c>
      <c r="J32" s="98" t="s">
        <v>1209</v>
      </c>
      <c r="K32" s="98">
        <v>2120801</v>
      </c>
    </row>
    <row r="33" ht="26.1" customHeight="1" spans="1:13">
      <c r="A33" s="98">
        <v>27</v>
      </c>
      <c r="B33" s="98" t="s">
        <v>1205</v>
      </c>
      <c r="C33" s="98" t="s">
        <v>1206</v>
      </c>
      <c r="D33" s="109" t="s">
        <v>1250</v>
      </c>
      <c r="E33" s="110">
        <v>151.306</v>
      </c>
      <c r="F33" s="100">
        <f t="shared" si="0"/>
        <v>-24.099</v>
      </c>
      <c r="G33" s="100">
        <v>127.207</v>
      </c>
      <c r="H33" s="101"/>
      <c r="I33" s="98" t="s">
        <v>1213</v>
      </c>
      <c r="J33" s="98" t="s">
        <v>1209</v>
      </c>
      <c r="K33" s="98" t="s">
        <v>1227</v>
      </c>
      <c r="L33" s="85">
        <v>105.41</v>
      </c>
      <c r="M33" s="85">
        <v>45.9</v>
      </c>
    </row>
    <row r="34" ht="26.1" customHeight="1" spans="1:11">
      <c r="A34" s="98">
        <v>28</v>
      </c>
      <c r="B34" s="98" t="s">
        <v>1205</v>
      </c>
      <c r="C34" s="98" t="s">
        <v>1206</v>
      </c>
      <c r="D34" s="109" t="s">
        <v>1251</v>
      </c>
      <c r="E34" s="110">
        <v>105.6</v>
      </c>
      <c r="F34" s="100">
        <f t="shared" si="0"/>
        <v>0</v>
      </c>
      <c r="G34" s="100">
        <v>105.6</v>
      </c>
      <c r="H34" s="101"/>
      <c r="I34" s="98" t="s">
        <v>1213</v>
      </c>
      <c r="J34" s="98" t="s">
        <v>1209</v>
      </c>
      <c r="K34" s="98">
        <v>2120801</v>
      </c>
    </row>
    <row r="35" ht="26.1" customHeight="1" spans="1:13">
      <c r="A35" s="98">
        <v>29</v>
      </c>
      <c r="B35" s="98" t="s">
        <v>1205</v>
      </c>
      <c r="C35" s="98" t="s">
        <v>1206</v>
      </c>
      <c r="D35" s="109" t="s">
        <v>1252</v>
      </c>
      <c r="E35" s="110">
        <v>165.6272</v>
      </c>
      <c r="F35" s="100">
        <f t="shared" si="0"/>
        <v>-12.8198</v>
      </c>
      <c r="G35" s="100">
        <v>152.8074</v>
      </c>
      <c r="H35" s="101"/>
      <c r="I35" s="98" t="s">
        <v>1213</v>
      </c>
      <c r="J35" s="98" t="s">
        <v>1209</v>
      </c>
      <c r="K35" s="98" t="s">
        <v>1227</v>
      </c>
      <c r="L35" s="85">
        <v>144.03</v>
      </c>
      <c r="M35" s="85">
        <v>21.6</v>
      </c>
    </row>
    <row r="36" ht="26.1" customHeight="1" spans="1:11">
      <c r="A36" s="98">
        <v>30</v>
      </c>
      <c r="B36" s="98" t="s">
        <v>1205</v>
      </c>
      <c r="C36" s="98" t="s">
        <v>1206</v>
      </c>
      <c r="D36" s="109" t="s">
        <v>1253</v>
      </c>
      <c r="E36" s="110">
        <v>188.285</v>
      </c>
      <c r="F36" s="100">
        <f t="shared" si="0"/>
        <v>0</v>
      </c>
      <c r="G36" s="110">
        <v>188.285</v>
      </c>
      <c r="H36" s="101"/>
      <c r="I36" s="98" t="s">
        <v>1213</v>
      </c>
      <c r="J36" s="98" t="s">
        <v>1209</v>
      </c>
      <c r="K36" s="98">
        <v>2120802</v>
      </c>
    </row>
    <row r="37" ht="39.95" customHeight="1" spans="1:13">
      <c r="A37" s="98">
        <v>31</v>
      </c>
      <c r="B37" s="98" t="s">
        <v>1205</v>
      </c>
      <c r="C37" s="98" t="s">
        <v>1206</v>
      </c>
      <c r="D37" s="109" t="s">
        <v>1254</v>
      </c>
      <c r="E37" s="110">
        <v>29.61</v>
      </c>
      <c r="F37" s="100">
        <f t="shared" si="0"/>
        <v>-29.61</v>
      </c>
      <c r="G37" s="100">
        <v>0</v>
      </c>
      <c r="H37" s="101" t="s">
        <v>1255</v>
      </c>
      <c r="I37" s="98" t="s">
        <v>1213</v>
      </c>
      <c r="J37" s="98" t="s">
        <v>1209</v>
      </c>
      <c r="K37" s="98" t="s">
        <v>1256</v>
      </c>
      <c r="L37" s="85">
        <v>5</v>
      </c>
      <c r="M37" s="85">
        <v>24.61</v>
      </c>
    </row>
    <row r="38" ht="26.1" customHeight="1" spans="1:11">
      <c r="A38" s="98">
        <v>32</v>
      </c>
      <c r="B38" s="98" t="s">
        <v>1205</v>
      </c>
      <c r="C38" s="98" t="s">
        <v>1206</v>
      </c>
      <c r="D38" s="109" t="s">
        <v>1257</v>
      </c>
      <c r="E38" s="110">
        <v>65</v>
      </c>
      <c r="F38" s="100">
        <f t="shared" si="0"/>
        <v>-65</v>
      </c>
      <c r="G38" s="100">
        <v>0</v>
      </c>
      <c r="H38" s="101"/>
      <c r="I38" s="98" t="s">
        <v>1213</v>
      </c>
      <c r="J38" s="98" t="s">
        <v>1209</v>
      </c>
      <c r="K38" s="117">
        <v>2120802</v>
      </c>
    </row>
    <row r="39" ht="26.1" customHeight="1" spans="1:11">
      <c r="A39" s="98">
        <v>33</v>
      </c>
      <c r="B39" s="98" t="s">
        <v>1205</v>
      </c>
      <c r="C39" s="98" t="s">
        <v>1258</v>
      </c>
      <c r="D39" s="109" t="s">
        <v>1259</v>
      </c>
      <c r="E39" s="110">
        <v>53.3568</v>
      </c>
      <c r="F39" s="100">
        <f t="shared" ref="F39:F70" si="1">G39-E39</f>
        <v>-53.3568</v>
      </c>
      <c r="G39" s="100">
        <v>0</v>
      </c>
      <c r="H39" s="101" t="s">
        <v>1260</v>
      </c>
      <c r="I39" s="98" t="s">
        <v>1213</v>
      </c>
      <c r="J39" s="98" t="s">
        <v>1209</v>
      </c>
      <c r="K39" s="98">
        <v>2120801</v>
      </c>
    </row>
    <row r="40" ht="26.1" customHeight="1" spans="1:11">
      <c r="A40" s="98">
        <v>34</v>
      </c>
      <c r="B40" s="98" t="s">
        <v>1205</v>
      </c>
      <c r="C40" s="98" t="s">
        <v>1261</v>
      </c>
      <c r="D40" s="111" t="s">
        <v>1262</v>
      </c>
      <c r="E40" s="110">
        <v>577</v>
      </c>
      <c r="F40" s="100">
        <f t="shared" si="1"/>
        <v>-577</v>
      </c>
      <c r="G40" s="100">
        <v>0</v>
      </c>
      <c r="H40" s="101"/>
      <c r="I40" s="98" t="s">
        <v>1213</v>
      </c>
      <c r="J40" s="98" t="s">
        <v>1209</v>
      </c>
      <c r="K40" s="98">
        <v>2120801</v>
      </c>
    </row>
    <row r="41" ht="26.1" customHeight="1" spans="1:11">
      <c r="A41" s="98">
        <v>35</v>
      </c>
      <c r="B41" s="98" t="s">
        <v>1263</v>
      </c>
      <c r="C41" s="98" t="s">
        <v>1264</v>
      </c>
      <c r="D41" s="109" t="s">
        <v>1265</v>
      </c>
      <c r="E41" s="110">
        <v>4602</v>
      </c>
      <c r="F41" s="100">
        <f t="shared" si="1"/>
        <v>224.32</v>
      </c>
      <c r="G41" s="100">
        <v>4826.32</v>
      </c>
      <c r="H41" s="101" t="s">
        <v>1266</v>
      </c>
      <c r="I41" s="98" t="s">
        <v>1213</v>
      </c>
      <c r="J41" s="98" t="s">
        <v>1209</v>
      </c>
      <c r="K41" s="98">
        <v>2120801</v>
      </c>
    </row>
    <row r="42" ht="26.1" customHeight="1" spans="1:11">
      <c r="A42" s="98">
        <v>36</v>
      </c>
      <c r="B42" s="98" t="s">
        <v>1263</v>
      </c>
      <c r="C42" s="98" t="s">
        <v>1264</v>
      </c>
      <c r="D42" s="109" t="s">
        <v>1267</v>
      </c>
      <c r="E42" s="110">
        <v>283.81</v>
      </c>
      <c r="F42" s="100">
        <f t="shared" si="1"/>
        <v>0</v>
      </c>
      <c r="G42" s="110">
        <v>283.81</v>
      </c>
      <c r="H42" s="101"/>
      <c r="I42" s="98" t="s">
        <v>1213</v>
      </c>
      <c r="J42" s="98" t="s">
        <v>1209</v>
      </c>
      <c r="K42" s="98">
        <v>2120802</v>
      </c>
    </row>
    <row r="43" ht="26.1" customHeight="1" spans="1:11">
      <c r="A43" s="98">
        <v>37</v>
      </c>
      <c r="B43" s="98" t="s">
        <v>1263</v>
      </c>
      <c r="C43" s="98" t="s">
        <v>1264</v>
      </c>
      <c r="D43" s="109" t="s">
        <v>1268</v>
      </c>
      <c r="E43" s="110">
        <v>31.51</v>
      </c>
      <c r="F43" s="100">
        <f t="shared" si="1"/>
        <v>0</v>
      </c>
      <c r="G43" s="110">
        <v>31.51</v>
      </c>
      <c r="H43" s="101"/>
      <c r="I43" s="98" t="s">
        <v>1213</v>
      </c>
      <c r="J43" s="98" t="s">
        <v>1209</v>
      </c>
      <c r="K43" s="98">
        <v>2120801</v>
      </c>
    </row>
    <row r="44" ht="26.1" customHeight="1" spans="1:11">
      <c r="A44" s="98">
        <v>38</v>
      </c>
      <c r="B44" s="98" t="s">
        <v>1263</v>
      </c>
      <c r="C44" s="98" t="s">
        <v>1264</v>
      </c>
      <c r="D44" s="109" t="s">
        <v>1269</v>
      </c>
      <c r="E44" s="110">
        <v>2141.1</v>
      </c>
      <c r="F44" s="100">
        <f t="shared" si="1"/>
        <v>0</v>
      </c>
      <c r="G44" s="110">
        <v>2141.1</v>
      </c>
      <c r="H44" s="101"/>
      <c r="I44" s="98" t="s">
        <v>1213</v>
      </c>
      <c r="J44" s="98" t="s">
        <v>1209</v>
      </c>
      <c r="K44" s="98">
        <v>2120802</v>
      </c>
    </row>
    <row r="45" ht="26.1" customHeight="1" spans="1:11">
      <c r="A45" s="98">
        <v>39</v>
      </c>
      <c r="B45" s="112" t="s">
        <v>1270</v>
      </c>
      <c r="C45" s="107" t="s">
        <v>1271</v>
      </c>
      <c r="D45" s="99" t="s">
        <v>1272</v>
      </c>
      <c r="E45" s="100">
        <v>172.14</v>
      </c>
      <c r="F45" s="100">
        <f t="shared" si="1"/>
        <v>-77</v>
      </c>
      <c r="G45" s="113">
        <v>95.14</v>
      </c>
      <c r="H45" s="101"/>
      <c r="I45" s="98" t="s">
        <v>1213</v>
      </c>
      <c r="J45" s="98" t="s">
        <v>1209</v>
      </c>
      <c r="K45" s="98">
        <v>2120805</v>
      </c>
    </row>
    <row r="46" ht="26.1" customHeight="1" spans="1:11">
      <c r="A46" s="102" t="s">
        <v>1273</v>
      </c>
      <c r="B46" s="102"/>
      <c r="C46" s="102"/>
      <c r="D46" s="102"/>
      <c r="E46" s="103">
        <f>SUM(E9:E45)</f>
        <v>35810.947345</v>
      </c>
      <c r="F46" s="103">
        <f t="shared" si="1"/>
        <v>-10372.753371</v>
      </c>
      <c r="G46" s="103">
        <f>SUM(G9:G45)</f>
        <v>25438.193974</v>
      </c>
      <c r="H46" s="104"/>
      <c r="I46" s="102"/>
      <c r="J46" s="102"/>
      <c r="K46" s="102"/>
    </row>
    <row r="47" s="84" customFormat="1" ht="26.1" customHeight="1" spans="1:11">
      <c r="A47" s="98">
        <v>40</v>
      </c>
      <c r="B47" s="98" t="s">
        <v>1205</v>
      </c>
      <c r="C47" s="98" t="s">
        <v>1235</v>
      </c>
      <c r="D47" s="99" t="s">
        <v>1274</v>
      </c>
      <c r="E47" s="100">
        <v>403.58</v>
      </c>
      <c r="F47" s="100">
        <f t="shared" si="1"/>
        <v>-79.630936</v>
      </c>
      <c r="G47" s="100">
        <v>323.949064</v>
      </c>
      <c r="H47" s="101" t="s">
        <v>1275</v>
      </c>
      <c r="I47" s="98" t="s">
        <v>1276</v>
      </c>
      <c r="J47" s="98" t="s">
        <v>1209</v>
      </c>
      <c r="K47" s="98">
        <v>2120802</v>
      </c>
    </row>
    <row r="48" ht="26.1" customHeight="1" spans="1:11">
      <c r="A48" s="98">
        <v>41</v>
      </c>
      <c r="B48" s="98" t="s">
        <v>1205</v>
      </c>
      <c r="C48" s="98" t="s">
        <v>1235</v>
      </c>
      <c r="D48" s="109" t="s">
        <v>1277</v>
      </c>
      <c r="E48" s="110">
        <v>400</v>
      </c>
      <c r="F48" s="100">
        <f t="shared" si="1"/>
        <v>-400</v>
      </c>
      <c r="G48" s="100">
        <v>0</v>
      </c>
      <c r="H48" s="101"/>
      <c r="I48" s="98" t="s">
        <v>1276</v>
      </c>
      <c r="J48" s="98" t="s">
        <v>1209</v>
      </c>
      <c r="K48" s="98">
        <v>2120802</v>
      </c>
    </row>
    <row r="49" ht="26.1" customHeight="1" spans="1:11">
      <c r="A49" s="98">
        <v>42</v>
      </c>
      <c r="B49" s="98" t="s">
        <v>1278</v>
      </c>
      <c r="C49" s="98" t="s">
        <v>1235</v>
      </c>
      <c r="D49" s="99" t="s">
        <v>1279</v>
      </c>
      <c r="E49" s="100">
        <f>26000-3420</f>
        <v>22580</v>
      </c>
      <c r="F49" s="100">
        <f t="shared" si="1"/>
        <v>0</v>
      </c>
      <c r="G49" s="100">
        <v>22580</v>
      </c>
      <c r="H49" s="101"/>
      <c r="I49" s="98" t="s">
        <v>1276</v>
      </c>
      <c r="J49" s="98" t="s">
        <v>1209</v>
      </c>
      <c r="K49" s="98">
        <v>2120802</v>
      </c>
    </row>
    <row r="50" ht="26.1" customHeight="1" spans="1:11">
      <c r="A50" s="98">
        <v>43</v>
      </c>
      <c r="B50" s="98" t="s">
        <v>1278</v>
      </c>
      <c r="C50" s="98" t="s">
        <v>1235</v>
      </c>
      <c r="D50" s="99" t="s">
        <v>1280</v>
      </c>
      <c r="E50" s="100">
        <v>728.26</v>
      </c>
      <c r="F50" s="100">
        <f t="shared" si="1"/>
        <v>-72.27</v>
      </c>
      <c r="G50" s="100">
        <v>655.99</v>
      </c>
      <c r="H50" s="101"/>
      <c r="I50" s="98" t="s">
        <v>1276</v>
      </c>
      <c r="J50" s="98" t="s">
        <v>1209</v>
      </c>
      <c r="K50" s="98">
        <v>2120802</v>
      </c>
    </row>
    <row r="51" ht="26.1" customHeight="1" spans="1:11">
      <c r="A51" s="98">
        <v>44</v>
      </c>
      <c r="B51" s="98" t="s">
        <v>1278</v>
      </c>
      <c r="C51" s="98" t="s">
        <v>1235</v>
      </c>
      <c r="D51" s="99" t="s">
        <v>1281</v>
      </c>
      <c r="E51" s="100">
        <v>1104.47</v>
      </c>
      <c r="F51" s="100">
        <f t="shared" si="1"/>
        <v>-1104.47</v>
      </c>
      <c r="G51" s="100">
        <v>0</v>
      </c>
      <c r="H51" s="101"/>
      <c r="I51" s="98" t="s">
        <v>1276</v>
      </c>
      <c r="J51" s="98" t="s">
        <v>1209</v>
      </c>
      <c r="K51" s="98">
        <v>2120802</v>
      </c>
    </row>
    <row r="52" ht="26.1" customHeight="1" spans="1:11">
      <c r="A52" s="98">
        <v>45</v>
      </c>
      <c r="B52" s="98" t="s">
        <v>1278</v>
      </c>
      <c r="C52" s="98" t="s">
        <v>1235</v>
      </c>
      <c r="D52" s="99" t="s">
        <v>1282</v>
      </c>
      <c r="E52" s="100">
        <v>5000</v>
      </c>
      <c r="F52" s="100">
        <f t="shared" si="1"/>
        <v>-5000</v>
      </c>
      <c r="G52" s="100">
        <v>0</v>
      </c>
      <c r="H52" s="101"/>
      <c r="I52" s="98" t="s">
        <v>1276</v>
      </c>
      <c r="J52" s="98" t="s">
        <v>1209</v>
      </c>
      <c r="K52" s="98">
        <v>2120802</v>
      </c>
    </row>
    <row r="53" ht="26.1" customHeight="1" spans="1:11">
      <c r="A53" s="98">
        <v>46</v>
      </c>
      <c r="B53" s="98" t="s">
        <v>1278</v>
      </c>
      <c r="C53" s="98" t="s">
        <v>1235</v>
      </c>
      <c r="D53" s="99" t="s">
        <v>1283</v>
      </c>
      <c r="E53" s="100">
        <v>208.29</v>
      </c>
      <c r="F53" s="100">
        <f t="shared" si="1"/>
        <v>-208.29</v>
      </c>
      <c r="G53" s="100">
        <v>0</v>
      </c>
      <c r="H53" s="101"/>
      <c r="I53" s="98" t="s">
        <v>1276</v>
      </c>
      <c r="J53" s="98" t="s">
        <v>1209</v>
      </c>
      <c r="K53" s="98">
        <v>2120802</v>
      </c>
    </row>
    <row r="54" s="84" customFormat="1" ht="26.1" customHeight="1" spans="1:11">
      <c r="A54" s="98">
        <v>47</v>
      </c>
      <c r="B54" s="98" t="s">
        <v>1205</v>
      </c>
      <c r="C54" s="98" t="s">
        <v>488</v>
      </c>
      <c r="D54" s="99" t="s">
        <v>1284</v>
      </c>
      <c r="E54" s="100">
        <v>32</v>
      </c>
      <c r="F54" s="100">
        <f t="shared" si="1"/>
        <v>-32</v>
      </c>
      <c r="G54" s="100">
        <v>0</v>
      </c>
      <c r="H54" s="101" t="s">
        <v>1285</v>
      </c>
      <c r="I54" s="98" t="s">
        <v>1276</v>
      </c>
      <c r="J54" s="98" t="s">
        <v>1209</v>
      </c>
      <c r="K54" s="98">
        <v>2120802</v>
      </c>
    </row>
    <row r="55" s="84" customFormat="1" ht="26.1" customHeight="1" spans="1:11">
      <c r="A55" s="98">
        <v>48</v>
      </c>
      <c r="B55" s="98" t="s">
        <v>1205</v>
      </c>
      <c r="C55" s="98" t="s">
        <v>488</v>
      </c>
      <c r="D55" s="99" t="s">
        <v>1286</v>
      </c>
      <c r="E55" s="100">
        <v>500</v>
      </c>
      <c r="F55" s="100">
        <f t="shared" si="1"/>
        <v>-125.865907</v>
      </c>
      <c r="G55" s="100">
        <v>374.134093</v>
      </c>
      <c r="H55" s="101"/>
      <c r="I55" s="98" t="s">
        <v>1276</v>
      </c>
      <c r="J55" s="98" t="s">
        <v>1209</v>
      </c>
      <c r="K55" s="98">
        <v>2120802</v>
      </c>
    </row>
    <row r="56" s="84" customFormat="1" ht="26.1" customHeight="1" spans="1:11">
      <c r="A56" s="98">
        <v>49</v>
      </c>
      <c r="B56" s="98" t="s">
        <v>1205</v>
      </c>
      <c r="C56" s="98" t="s">
        <v>488</v>
      </c>
      <c r="D56" s="99" t="s">
        <v>1287</v>
      </c>
      <c r="E56" s="100">
        <v>78</v>
      </c>
      <c r="F56" s="100">
        <f t="shared" si="1"/>
        <v>-36.180627</v>
      </c>
      <c r="G56" s="100">
        <v>41.819373</v>
      </c>
      <c r="H56" s="101" t="s">
        <v>1288</v>
      </c>
      <c r="I56" s="98" t="s">
        <v>1276</v>
      </c>
      <c r="J56" s="98" t="s">
        <v>1209</v>
      </c>
      <c r="K56" s="98">
        <v>2120802</v>
      </c>
    </row>
    <row r="57" s="84" customFormat="1" ht="26.1" customHeight="1" spans="1:11">
      <c r="A57" s="98">
        <v>50</v>
      </c>
      <c r="B57" s="98" t="s">
        <v>1205</v>
      </c>
      <c r="C57" s="98" t="s">
        <v>488</v>
      </c>
      <c r="D57" s="99" t="s">
        <v>1289</v>
      </c>
      <c r="E57" s="100">
        <v>18</v>
      </c>
      <c r="F57" s="100">
        <f t="shared" si="1"/>
        <v>-6.049089</v>
      </c>
      <c r="G57" s="100">
        <v>11.950911</v>
      </c>
      <c r="H57" s="101" t="s">
        <v>1290</v>
      </c>
      <c r="I57" s="98" t="s">
        <v>1276</v>
      </c>
      <c r="J57" s="98" t="s">
        <v>1209</v>
      </c>
      <c r="K57" s="98">
        <v>2120802</v>
      </c>
    </row>
    <row r="58" s="84" customFormat="1" ht="26.1" customHeight="1" spans="1:11">
      <c r="A58" s="98">
        <v>51</v>
      </c>
      <c r="B58" s="98" t="s">
        <v>1205</v>
      </c>
      <c r="C58" s="98" t="s">
        <v>488</v>
      </c>
      <c r="D58" s="99" t="s">
        <v>1291</v>
      </c>
      <c r="E58" s="100">
        <v>42</v>
      </c>
      <c r="F58" s="100">
        <f t="shared" si="1"/>
        <v>-20.438952</v>
      </c>
      <c r="G58" s="100">
        <v>21.561048</v>
      </c>
      <c r="H58" s="101" t="s">
        <v>1292</v>
      </c>
      <c r="I58" s="98" t="s">
        <v>1276</v>
      </c>
      <c r="J58" s="98" t="s">
        <v>1209</v>
      </c>
      <c r="K58" s="98">
        <v>2120802</v>
      </c>
    </row>
    <row r="59" s="84" customFormat="1" ht="26.1" customHeight="1" spans="1:11">
      <c r="A59" s="98">
        <v>52</v>
      </c>
      <c r="B59" s="98" t="s">
        <v>1205</v>
      </c>
      <c r="C59" s="98" t="s">
        <v>488</v>
      </c>
      <c r="D59" s="99" t="s">
        <v>1293</v>
      </c>
      <c r="E59" s="100">
        <v>26</v>
      </c>
      <c r="F59" s="100">
        <f t="shared" si="1"/>
        <v>-26</v>
      </c>
      <c r="G59" s="100">
        <v>0</v>
      </c>
      <c r="H59" s="101" t="s">
        <v>1294</v>
      </c>
      <c r="I59" s="98" t="s">
        <v>1276</v>
      </c>
      <c r="J59" s="98" t="s">
        <v>1209</v>
      </c>
      <c r="K59" s="98">
        <v>2120802</v>
      </c>
    </row>
    <row r="60" s="84" customFormat="1" ht="26.1" customHeight="1" spans="1:11">
      <c r="A60" s="102" t="s">
        <v>1295</v>
      </c>
      <c r="B60" s="102"/>
      <c r="C60" s="102"/>
      <c r="D60" s="102"/>
      <c r="E60" s="103">
        <f>SUM(E47:E59)</f>
        <v>31120.6</v>
      </c>
      <c r="F60" s="103">
        <f>G60-E60-0.5</f>
        <v>-7111.695511</v>
      </c>
      <c r="G60" s="103">
        <f>SUM(G47:G59)</f>
        <v>24009.404489</v>
      </c>
      <c r="H60" s="104"/>
      <c r="I60" s="102"/>
      <c r="J60" s="102"/>
      <c r="K60" s="102"/>
    </row>
    <row r="61" s="84" customFormat="1" ht="26.1" customHeight="1" spans="1:13">
      <c r="A61" s="98">
        <v>53</v>
      </c>
      <c r="B61" s="98" t="s">
        <v>1205</v>
      </c>
      <c r="C61" s="98" t="s">
        <v>1296</v>
      </c>
      <c r="D61" s="99" t="s">
        <v>1297</v>
      </c>
      <c r="E61" s="100">
        <v>1000</v>
      </c>
      <c r="F61" s="100">
        <f t="shared" si="1"/>
        <v>0</v>
      </c>
      <c r="G61" s="100">
        <v>1000</v>
      </c>
      <c r="H61" s="101"/>
      <c r="I61" s="98" t="s">
        <v>1298</v>
      </c>
      <c r="J61" s="98" t="s">
        <v>1209</v>
      </c>
      <c r="K61" s="98" t="s">
        <v>1299</v>
      </c>
      <c r="L61" s="84">
        <v>500</v>
      </c>
      <c r="M61" s="84">
        <v>500</v>
      </c>
    </row>
    <row r="62" s="84" customFormat="1" ht="26.1" customHeight="1" spans="1:11">
      <c r="A62" s="98">
        <v>54</v>
      </c>
      <c r="B62" s="98" t="s">
        <v>1205</v>
      </c>
      <c r="C62" s="98" t="s">
        <v>1241</v>
      </c>
      <c r="D62" s="99" t="s">
        <v>1300</v>
      </c>
      <c r="E62" s="100">
        <v>893.61</v>
      </c>
      <c r="F62" s="100">
        <f t="shared" si="1"/>
        <v>-0.00999300000000858</v>
      </c>
      <c r="G62" s="100">
        <v>893.600007</v>
      </c>
      <c r="H62" s="101"/>
      <c r="I62" s="98" t="s">
        <v>1298</v>
      </c>
      <c r="J62" s="98" t="s">
        <v>1209</v>
      </c>
      <c r="K62" s="98">
        <v>2120803</v>
      </c>
    </row>
    <row r="63" ht="26.1" customHeight="1" spans="1:11">
      <c r="A63" s="98">
        <v>55</v>
      </c>
      <c r="B63" s="98" t="s">
        <v>1301</v>
      </c>
      <c r="C63" s="98" t="s">
        <v>1302</v>
      </c>
      <c r="D63" s="99" t="s">
        <v>1303</v>
      </c>
      <c r="E63" s="100">
        <v>355.31</v>
      </c>
      <c r="F63" s="100">
        <f t="shared" si="1"/>
        <v>0.0299999999999727</v>
      </c>
      <c r="G63" s="100">
        <v>355.34</v>
      </c>
      <c r="H63" s="101"/>
      <c r="I63" s="98" t="s">
        <v>1298</v>
      </c>
      <c r="J63" s="98" t="s">
        <v>1209</v>
      </c>
      <c r="K63" s="98">
        <v>2120803</v>
      </c>
    </row>
    <row r="64" ht="26.1" customHeight="1" spans="1:11">
      <c r="A64" s="98">
        <v>56</v>
      </c>
      <c r="B64" s="98" t="s">
        <v>1278</v>
      </c>
      <c r="C64" s="98" t="s">
        <v>1235</v>
      </c>
      <c r="D64" s="99" t="s">
        <v>1304</v>
      </c>
      <c r="E64" s="100">
        <v>117.97</v>
      </c>
      <c r="F64" s="100">
        <f t="shared" si="1"/>
        <v>-87.97</v>
      </c>
      <c r="G64" s="100">
        <v>30</v>
      </c>
      <c r="H64" s="101"/>
      <c r="I64" s="98" t="s">
        <v>1298</v>
      </c>
      <c r="J64" s="98" t="s">
        <v>1209</v>
      </c>
      <c r="K64" s="98">
        <v>2120803</v>
      </c>
    </row>
    <row r="65" ht="26.1" customHeight="1" spans="1:11">
      <c r="A65" s="98">
        <v>57</v>
      </c>
      <c r="B65" s="98" t="s">
        <v>1278</v>
      </c>
      <c r="C65" s="98" t="s">
        <v>1235</v>
      </c>
      <c r="D65" s="99" t="s">
        <v>1305</v>
      </c>
      <c r="E65" s="100">
        <v>55.96</v>
      </c>
      <c r="F65" s="100">
        <f t="shared" si="1"/>
        <v>-55.96</v>
      </c>
      <c r="G65" s="100">
        <v>0</v>
      </c>
      <c r="H65" s="101"/>
      <c r="I65" s="98" t="s">
        <v>1298</v>
      </c>
      <c r="J65" s="98" t="s">
        <v>1209</v>
      </c>
      <c r="K65" s="98">
        <v>2120803</v>
      </c>
    </row>
    <row r="66" ht="26.1" customHeight="1" spans="1:11">
      <c r="A66" s="98">
        <v>58</v>
      </c>
      <c r="B66" s="98" t="s">
        <v>1278</v>
      </c>
      <c r="C66" s="98" t="s">
        <v>488</v>
      </c>
      <c r="D66" s="99" t="s">
        <v>1306</v>
      </c>
      <c r="E66" s="100">
        <v>145.27</v>
      </c>
      <c r="F66" s="100">
        <f t="shared" si="1"/>
        <v>-58.04</v>
      </c>
      <c r="G66" s="100">
        <v>87.23</v>
      </c>
      <c r="H66" s="101"/>
      <c r="I66" s="98" t="s">
        <v>1298</v>
      </c>
      <c r="J66" s="98" t="s">
        <v>1209</v>
      </c>
      <c r="K66" s="98">
        <v>2120803</v>
      </c>
    </row>
    <row r="67" ht="26.1" customHeight="1" spans="1:11">
      <c r="A67" s="98">
        <v>59</v>
      </c>
      <c r="B67" s="98" t="s">
        <v>1307</v>
      </c>
      <c r="C67" s="98" t="s">
        <v>1308</v>
      </c>
      <c r="D67" s="99" t="s">
        <v>1309</v>
      </c>
      <c r="E67" s="100">
        <v>200</v>
      </c>
      <c r="F67" s="100">
        <f t="shared" si="1"/>
        <v>-49.276656</v>
      </c>
      <c r="G67" s="100">
        <f>76.703344+74.02</f>
        <v>150.723344</v>
      </c>
      <c r="H67" s="101" t="s">
        <v>1310</v>
      </c>
      <c r="I67" s="98" t="s">
        <v>1298</v>
      </c>
      <c r="J67" s="98" t="s">
        <v>1209</v>
      </c>
      <c r="K67" s="98">
        <v>2120803</v>
      </c>
    </row>
    <row r="68" ht="26.1" customHeight="1" spans="1:11">
      <c r="A68" s="98">
        <v>60</v>
      </c>
      <c r="B68" s="98" t="s">
        <v>1307</v>
      </c>
      <c r="C68" s="98" t="s">
        <v>1308</v>
      </c>
      <c r="D68" s="99" t="s">
        <v>1311</v>
      </c>
      <c r="E68" s="100">
        <v>32.19</v>
      </c>
      <c r="F68" s="100">
        <f t="shared" si="1"/>
        <v>0.00203600000000392</v>
      </c>
      <c r="G68" s="100">
        <v>32.192036</v>
      </c>
      <c r="H68" s="101"/>
      <c r="I68" s="98" t="s">
        <v>1298</v>
      </c>
      <c r="J68" s="98" t="s">
        <v>1209</v>
      </c>
      <c r="K68" s="98">
        <v>2120803</v>
      </c>
    </row>
    <row r="69" ht="26.1" customHeight="1" spans="1:11">
      <c r="A69" s="98">
        <v>61</v>
      </c>
      <c r="B69" s="98" t="s">
        <v>1307</v>
      </c>
      <c r="C69" s="98" t="s">
        <v>1312</v>
      </c>
      <c r="D69" s="99" t="s">
        <v>1313</v>
      </c>
      <c r="E69" s="100">
        <v>150</v>
      </c>
      <c r="F69" s="100">
        <f t="shared" si="1"/>
        <v>-150</v>
      </c>
      <c r="G69" s="100">
        <v>0</v>
      </c>
      <c r="H69" s="101"/>
      <c r="I69" s="98" t="s">
        <v>1298</v>
      </c>
      <c r="J69" s="98" t="s">
        <v>1209</v>
      </c>
      <c r="K69" s="98">
        <v>2120803</v>
      </c>
    </row>
    <row r="70" ht="26.1" customHeight="1" spans="1:11">
      <c r="A70" s="98">
        <v>62</v>
      </c>
      <c r="B70" s="98" t="s">
        <v>1307</v>
      </c>
      <c r="C70" s="98" t="s">
        <v>1312</v>
      </c>
      <c r="D70" s="99" t="s">
        <v>1314</v>
      </c>
      <c r="E70" s="100">
        <v>47</v>
      </c>
      <c r="F70" s="100">
        <f t="shared" si="1"/>
        <v>-0.380445000000002</v>
      </c>
      <c r="G70" s="100">
        <v>46.619555</v>
      </c>
      <c r="H70" s="101"/>
      <c r="I70" s="98" t="s">
        <v>1298</v>
      </c>
      <c r="J70" s="98" t="s">
        <v>1209</v>
      </c>
      <c r="K70" s="98">
        <v>2120803</v>
      </c>
    </row>
    <row r="71" ht="26.1" customHeight="1" spans="1:11">
      <c r="A71" s="98">
        <v>63</v>
      </c>
      <c r="B71" s="98" t="s">
        <v>1307</v>
      </c>
      <c r="C71" s="98" t="s">
        <v>1312</v>
      </c>
      <c r="D71" s="99" t="s">
        <v>1315</v>
      </c>
      <c r="E71" s="100">
        <v>361.67</v>
      </c>
      <c r="F71" s="100">
        <f t="shared" ref="F71:F102" si="2">G71-E71</f>
        <v>-150.537182</v>
      </c>
      <c r="G71" s="100">
        <f>161.132818+50</f>
        <v>211.132818</v>
      </c>
      <c r="H71" s="101"/>
      <c r="I71" s="98" t="s">
        <v>1298</v>
      </c>
      <c r="J71" s="98" t="s">
        <v>1209</v>
      </c>
      <c r="K71" s="98">
        <v>2120803</v>
      </c>
    </row>
    <row r="72" ht="26.1" customHeight="1" spans="1:11">
      <c r="A72" s="98">
        <v>64</v>
      </c>
      <c r="B72" s="98" t="s">
        <v>1307</v>
      </c>
      <c r="C72" s="98" t="s">
        <v>1312</v>
      </c>
      <c r="D72" s="99" t="s">
        <v>1316</v>
      </c>
      <c r="E72" s="100">
        <v>99.29</v>
      </c>
      <c r="F72" s="100">
        <f t="shared" si="2"/>
        <v>-96.445323</v>
      </c>
      <c r="G72" s="100">
        <v>2.844677</v>
      </c>
      <c r="H72" s="101"/>
      <c r="I72" s="98" t="s">
        <v>1298</v>
      </c>
      <c r="J72" s="98" t="s">
        <v>1209</v>
      </c>
      <c r="K72" s="98">
        <v>2120803</v>
      </c>
    </row>
    <row r="73" ht="26.1" customHeight="1" spans="1:11">
      <c r="A73" s="98">
        <v>65</v>
      </c>
      <c r="B73" s="98" t="s">
        <v>1307</v>
      </c>
      <c r="C73" s="98" t="s">
        <v>1317</v>
      </c>
      <c r="D73" s="99" t="s">
        <v>1318</v>
      </c>
      <c r="E73" s="100">
        <v>100</v>
      </c>
      <c r="F73" s="100">
        <f t="shared" si="2"/>
        <v>-88.3816</v>
      </c>
      <c r="G73" s="100">
        <v>11.6184</v>
      </c>
      <c r="H73" s="101"/>
      <c r="I73" s="98" t="s">
        <v>1298</v>
      </c>
      <c r="J73" s="98" t="s">
        <v>1209</v>
      </c>
      <c r="K73" s="98">
        <v>2120803</v>
      </c>
    </row>
    <row r="74" ht="26.1" customHeight="1" spans="1:11">
      <c r="A74" s="98">
        <v>66</v>
      </c>
      <c r="B74" s="98" t="s">
        <v>1307</v>
      </c>
      <c r="C74" s="98" t="s">
        <v>1244</v>
      </c>
      <c r="D74" s="99" t="s">
        <v>1319</v>
      </c>
      <c r="E74" s="100">
        <v>300</v>
      </c>
      <c r="F74" s="100">
        <f t="shared" si="2"/>
        <v>-198.553969</v>
      </c>
      <c r="G74" s="100">
        <v>101.446031</v>
      </c>
      <c r="H74" s="101"/>
      <c r="I74" s="98" t="s">
        <v>1298</v>
      </c>
      <c r="J74" s="98" t="s">
        <v>1209</v>
      </c>
      <c r="K74" s="98">
        <v>2120803</v>
      </c>
    </row>
    <row r="75" ht="26.1" customHeight="1" spans="1:11">
      <c r="A75" s="98">
        <v>67</v>
      </c>
      <c r="B75" s="98" t="s">
        <v>1307</v>
      </c>
      <c r="C75" s="98" t="s">
        <v>1264</v>
      </c>
      <c r="D75" s="99" t="s">
        <v>1320</v>
      </c>
      <c r="E75" s="100">
        <v>2002</v>
      </c>
      <c r="F75" s="100">
        <f t="shared" si="2"/>
        <v>-1769.569312</v>
      </c>
      <c r="G75" s="100">
        <v>232.430688</v>
      </c>
      <c r="H75" s="101"/>
      <c r="I75" s="98" t="s">
        <v>1298</v>
      </c>
      <c r="J75" s="98" t="s">
        <v>1209</v>
      </c>
      <c r="K75" s="98">
        <v>2120803</v>
      </c>
    </row>
    <row r="76" ht="26.1" customHeight="1" spans="1:11">
      <c r="A76" s="98">
        <v>68</v>
      </c>
      <c r="B76" s="98" t="s">
        <v>1307</v>
      </c>
      <c r="C76" s="98" t="s">
        <v>1264</v>
      </c>
      <c r="D76" s="99" t="s">
        <v>1321</v>
      </c>
      <c r="E76" s="100">
        <v>2000</v>
      </c>
      <c r="F76" s="100">
        <f t="shared" si="2"/>
        <v>-1849.911332</v>
      </c>
      <c r="G76" s="100">
        <v>150.088668</v>
      </c>
      <c r="H76" s="101"/>
      <c r="I76" s="98" t="s">
        <v>1298</v>
      </c>
      <c r="J76" s="98" t="s">
        <v>1209</v>
      </c>
      <c r="K76" s="98">
        <v>2120803</v>
      </c>
    </row>
    <row r="77" ht="26.1" customHeight="1" spans="1:11">
      <c r="A77" s="98">
        <v>69</v>
      </c>
      <c r="B77" s="98" t="s">
        <v>1307</v>
      </c>
      <c r="C77" s="98" t="s">
        <v>1264</v>
      </c>
      <c r="D77" s="99" t="s">
        <v>1322</v>
      </c>
      <c r="E77" s="100">
        <v>108.78</v>
      </c>
      <c r="F77" s="100">
        <f t="shared" si="2"/>
        <v>-107.879547</v>
      </c>
      <c r="G77" s="100">
        <v>0.900453</v>
      </c>
      <c r="H77" s="101"/>
      <c r="I77" s="98" t="s">
        <v>1298</v>
      </c>
      <c r="J77" s="98" t="s">
        <v>1209</v>
      </c>
      <c r="K77" s="98">
        <v>2120803</v>
      </c>
    </row>
    <row r="78" ht="26.1" customHeight="1" spans="1:11">
      <c r="A78" s="98">
        <v>70</v>
      </c>
      <c r="B78" s="98" t="s">
        <v>1307</v>
      </c>
      <c r="C78" s="98" t="s">
        <v>1264</v>
      </c>
      <c r="D78" s="99" t="s">
        <v>1323</v>
      </c>
      <c r="E78" s="100">
        <v>400</v>
      </c>
      <c r="F78" s="100">
        <f t="shared" si="2"/>
        <v>0</v>
      </c>
      <c r="G78" s="100">
        <v>400</v>
      </c>
      <c r="H78" s="101"/>
      <c r="I78" s="98" t="s">
        <v>1298</v>
      </c>
      <c r="J78" s="98" t="s">
        <v>1209</v>
      </c>
      <c r="K78" s="98">
        <v>2120803</v>
      </c>
    </row>
    <row r="79" ht="26.1" customHeight="1" spans="1:11">
      <c r="A79" s="98">
        <v>71</v>
      </c>
      <c r="B79" s="98" t="s">
        <v>1307</v>
      </c>
      <c r="C79" s="98" t="s">
        <v>1264</v>
      </c>
      <c r="D79" s="99" t="s">
        <v>1324</v>
      </c>
      <c r="E79" s="100">
        <v>30</v>
      </c>
      <c r="F79" s="100">
        <f t="shared" si="2"/>
        <v>-30</v>
      </c>
      <c r="G79" s="100">
        <v>0</v>
      </c>
      <c r="H79" s="101"/>
      <c r="I79" s="98" t="s">
        <v>1298</v>
      </c>
      <c r="J79" s="98" t="s">
        <v>1209</v>
      </c>
      <c r="K79" s="98">
        <v>2120803</v>
      </c>
    </row>
    <row r="80" ht="26.1" customHeight="1" spans="1:11">
      <c r="A80" s="98">
        <v>72</v>
      </c>
      <c r="B80" s="98" t="s">
        <v>1307</v>
      </c>
      <c r="C80" s="98" t="s">
        <v>1264</v>
      </c>
      <c r="D80" s="99" t="s">
        <v>1325</v>
      </c>
      <c r="E80" s="100">
        <v>28.23</v>
      </c>
      <c r="F80" s="100">
        <f t="shared" si="2"/>
        <v>-8.874381</v>
      </c>
      <c r="G80" s="100">
        <v>19.355619</v>
      </c>
      <c r="H80" s="101"/>
      <c r="I80" s="98" t="s">
        <v>1298</v>
      </c>
      <c r="J80" s="98" t="s">
        <v>1209</v>
      </c>
      <c r="K80" s="98">
        <v>2120803</v>
      </c>
    </row>
    <row r="81" ht="26.1" customHeight="1" spans="1:11">
      <c r="A81" s="98">
        <v>73</v>
      </c>
      <c r="B81" s="98" t="s">
        <v>1307</v>
      </c>
      <c r="C81" s="98" t="s">
        <v>1264</v>
      </c>
      <c r="D81" s="99" t="s">
        <v>1326</v>
      </c>
      <c r="E81" s="100">
        <v>33.79</v>
      </c>
      <c r="F81" s="100">
        <f t="shared" si="2"/>
        <v>0</v>
      </c>
      <c r="G81" s="100">
        <v>33.79</v>
      </c>
      <c r="H81" s="101"/>
      <c r="I81" s="98" t="s">
        <v>1298</v>
      </c>
      <c r="J81" s="98" t="s">
        <v>1209</v>
      </c>
      <c r="K81" s="98">
        <v>2120803</v>
      </c>
    </row>
    <row r="82" ht="26.1" customHeight="1" spans="1:11">
      <c r="A82" s="98">
        <v>74</v>
      </c>
      <c r="B82" s="98" t="s">
        <v>1307</v>
      </c>
      <c r="C82" s="98" t="s">
        <v>1327</v>
      </c>
      <c r="D82" s="99" t="s">
        <v>1328</v>
      </c>
      <c r="E82" s="100">
        <v>60</v>
      </c>
      <c r="F82" s="100">
        <f t="shared" si="2"/>
        <v>-60</v>
      </c>
      <c r="G82" s="100">
        <v>0</v>
      </c>
      <c r="H82" s="101"/>
      <c r="I82" s="98" t="s">
        <v>1298</v>
      </c>
      <c r="J82" s="98" t="s">
        <v>1209</v>
      </c>
      <c r="K82" s="98">
        <v>2120803</v>
      </c>
    </row>
    <row r="83" ht="26.1" customHeight="1" spans="1:11">
      <c r="A83" s="98">
        <v>75</v>
      </c>
      <c r="B83" s="98" t="s">
        <v>1307</v>
      </c>
      <c r="C83" s="98" t="s">
        <v>1329</v>
      </c>
      <c r="D83" s="99" t="s">
        <v>1330</v>
      </c>
      <c r="E83" s="100">
        <v>90.05</v>
      </c>
      <c r="F83" s="100">
        <f t="shared" si="2"/>
        <v>-90.05</v>
      </c>
      <c r="G83" s="100">
        <v>0</v>
      </c>
      <c r="H83" s="101" t="s">
        <v>1331</v>
      </c>
      <c r="I83" s="98" t="s">
        <v>1298</v>
      </c>
      <c r="J83" s="98" t="s">
        <v>1209</v>
      </c>
      <c r="K83" s="98">
        <v>2120803</v>
      </c>
    </row>
    <row r="84" ht="26.1" customHeight="1" spans="1:11">
      <c r="A84" s="98">
        <v>76</v>
      </c>
      <c r="B84" s="98" t="s">
        <v>1307</v>
      </c>
      <c r="C84" s="98" t="s">
        <v>1332</v>
      </c>
      <c r="D84" s="99" t="s">
        <v>1333</v>
      </c>
      <c r="E84" s="100">
        <v>1100</v>
      </c>
      <c r="F84" s="100">
        <f t="shared" si="2"/>
        <v>-705.56202</v>
      </c>
      <c r="G84" s="100">
        <v>394.43798</v>
      </c>
      <c r="H84" s="101" t="s">
        <v>1334</v>
      </c>
      <c r="I84" s="98" t="s">
        <v>1298</v>
      </c>
      <c r="J84" s="98" t="s">
        <v>1209</v>
      </c>
      <c r="K84" s="98">
        <v>2120803</v>
      </c>
    </row>
    <row r="85" ht="26.1" customHeight="1" spans="1:11">
      <c r="A85" s="98">
        <v>77</v>
      </c>
      <c r="B85" s="98" t="s">
        <v>1307</v>
      </c>
      <c r="C85" s="98" t="s">
        <v>1332</v>
      </c>
      <c r="D85" s="99" t="s">
        <v>1335</v>
      </c>
      <c r="E85" s="100">
        <v>500</v>
      </c>
      <c r="F85" s="100">
        <f t="shared" si="2"/>
        <v>-500</v>
      </c>
      <c r="G85" s="100">
        <v>0</v>
      </c>
      <c r="H85" s="101"/>
      <c r="I85" s="98" t="s">
        <v>1298</v>
      </c>
      <c r="J85" s="98" t="s">
        <v>1209</v>
      </c>
      <c r="K85" s="98">
        <v>2120803</v>
      </c>
    </row>
    <row r="86" ht="26.1" customHeight="1" spans="1:11">
      <c r="A86" s="98">
        <v>78</v>
      </c>
      <c r="B86" s="98" t="s">
        <v>1307</v>
      </c>
      <c r="C86" s="98" t="s">
        <v>1241</v>
      </c>
      <c r="D86" s="99" t="s">
        <v>1336</v>
      </c>
      <c r="E86" s="100">
        <v>286.87</v>
      </c>
      <c r="F86" s="100">
        <f t="shared" si="2"/>
        <v>-286.87</v>
      </c>
      <c r="G86" s="100">
        <v>0</v>
      </c>
      <c r="H86" s="101" t="s">
        <v>1337</v>
      </c>
      <c r="I86" s="98" t="s">
        <v>1298</v>
      </c>
      <c r="J86" s="98" t="s">
        <v>1209</v>
      </c>
      <c r="K86" s="98">
        <v>2120803</v>
      </c>
    </row>
    <row r="87" ht="26.1" customHeight="1" spans="1:11">
      <c r="A87" s="98">
        <v>79</v>
      </c>
      <c r="B87" s="98" t="s">
        <v>1307</v>
      </c>
      <c r="C87" s="98" t="s">
        <v>1338</v>
      </c>
      <c r="D87" s="99" t="s">
        <v>1339</v>
      </c>
      <c r="E87" s="100">
        <v>22.77</v>
      </c>
      <c r="F87" s="100">
        <f t="shared" si="2"/>
        <v>0</v>
      </c>
      <c r="G87" s="100">
        <v>22.77</v>
      </c>
      <c r="H87" s="101"/>
      <c r="I87" s="98" t="s">
        <v>1298</v>
      </c>
      <c r="J87" s="98" t="s">
        <v>1209</v>
      </c>
      <c r="K87" s="98">
        <v>2120803</v>
      </c>
    </row>
    <row r="88" ht="26.1" customHeight="1" spans="1:11">
      <c r="A88" s="98">
        <v>80</v>
      </c>
      <c r="B88" s="98" t="s">
        <v>1307</v>
      </c>
      <c r="C88" s="98" t="s">
        <v>1302</v>
      </c>
      <c r="D88" s="99" t="s">
        <v>1340</v>
      </c>
      <c r="E88" s="100">
        <v>19.71</v>
      </c>
      <c r="F88" s="100">
        <f t="shared" si="2"/>
        <v>-19.71</v>
      </c>
      <c r="G88" s="100">
        <v>0</v>
      </c>
      <c r="H88" s="101"/>
      <c r="I88" s="98" t="s">
        <v>1298</v>
      </c>
      <c r="J88" s="98" t="s">
        <v>1209</v>
      </c>
      <c r="K88" s="98">
        <v>2120803</v>
      </c>
    </row>
    <row r="89" ht="26.1" customHeight="1" spans="1:11">
      <c r="A89" s="98">
        <v>81</v>
      </c>
      <c r="B89" s="98" t="s">
        <v>1307</v>
      </c>
      <c r="C89" s="98" t="s">
        <v>1341</v>
      </c>
      <c r="D89" s="99" t="s">
        <v>1342</v>
      </c>
      <c r="E89" s="100">
        <v>98</v>
      </c>
      <c r="F89" s="100">
        <f t="shared" si="2"/>
        <v>-20.420662</v>
      </c>
      <c r="G89" s="100">
        <v>77.579338</v>
      </c>
      <c r="H89" s="101"/>
      <c r="I89" s="98" t="s">
        <v>1298</v>
      </c>
      <c r="J89" s="98" t="s">
        <v>1209</v>
      </c>
      <c r="K89" s="98">
        <v>2120803</v>
      </c>
    </row>
    <row r="90" ht="26.1" customHeight="1" spans="1:11">
      <c r="A90" s="98">
        <v>82</v>
      </c>
      <c r="B90" s="98" t="s">
        <v>1307</v>
      </c>
      <c r="C90" s="98" t="s">
        <v>1341</v>
      </c>
      <c r="D90" s="99" t="s">
        <v>1343</v>
      </c>
      <c r="E90" s="100">
        <v>19.14</v>
      </c>
      <c r="F90" s="100">
        <f t="shared" si="2"/>
        <v>-19.14</v>
      </c>
      <c r="G90" s="100">
        <v>0</v>
      </c>
      <c r="H90" s="101"/>
      <c r="I90" s="98" t="s">
        <v>1298</v>
      </c>
      <c r="J90" s="98" t="s">
        <v>1209</v>
      </c>
      <c r="K90" s="98">
        <v>2120803</v>
      </c>
    </row>
    <row r="91" ht="26.1" customHeight="1" spans="1:11">
      <c r="A91" s="98">
        <v>83</v>
      </c>
      <c r="B91" s="98" t="s">
        <v>1307</v>
      </c>
      <c r="C91" s="98" t="s">
        <v>1344</v>
      </c>
      <c r="D91" s="99" t="s">
        <v>1345</v>
      </c>
      <c r="E91" s="100">
        <v>80.900855</v>
      </c>
      <c r="F91" s="100">
        <f t="shared" si="2"/>
        <v>0</v>
      </c>
      <c r="G91" s="100">
        <v>80.900855</v>
      </c>
      <c r="H91" s="101"/>
      <c r="I91" s="98" t="s">
        <v>1298</v>
      </c>
      <c r="J91" s="98" t="s">
        <v>1209</v>
      </c>
      <c r="K91" s="98">
        <v>2120803</v>
      </c>
    </row>
    <row r="92" ht="26.1" customHeight="1" spans="1:11">
      <c r="A92" s="98">
        <v>84</v>
      </c>
      <c r="B92" s="98" t="s">
        <v>1307</v>
      </c>
      <c r="C92" s="98" t="s">
        <v>1346</v>
      </c>
      <c r="D92" s="99" t="s">
        <v>1347</v>
      </c>
      <c r="E92" s="100">
        <v>32.800556</v>
      </c>
      <c r="F92" s="100">
        <f t="shared" si="2"/>
        <v>0</v>
      </c>
      <c r="G92" s="100">
        <v>32.800556</v>
      </c>
      <c r="H92" s="101"/>
      <c r="I92" s="98" t="s">
        <v>1298</v>
      </c>
      <c r="J92" s="98" t="s">
        <v>1209</v>
      </c>
      <c r="K92" s="98">
        <v>2120803</v>
      </c>
    </row>
    <row r="93" ht="26.1" customHeight="1" spans="1:11">
      <c r="A93" s="98">
        <v>85</v>
      </c>
      <c r="B93" s="112" t="s">
        <v>1307</v>
      </c>
      <c r="C93" s="107" t="s">
        <v>1264</v>
      </c>
      <c r="D93" s="108" t="s">
        <v>1348</v>
      </c>
      <c r="E93" s="119">
        <v>1000</v>
      </c>
      <c r="F93" s="100">
        <f t="shared" si="2"/>
        <v>-1000</v>
      </c>
      <c r="G93" s="100">
        <v>0</v>
      </c>
      <c r="H93" s="101"/>
      <c r="I93" s="116" t="s">
        <v>1298</v>
      </c>
      <c r="J93" s="116" t="s">
        <v>1209</v>
      </c>
      <c r="K93" s="116">
        <v>2120803</v>
      </c>
    </row>
    <row r="94" ht="26.1" customHeight="1" spans="1:11">
      <c r="A94" s="98">
        <v>86</v>
      </c>
      <c r="B94" s="112" t="s">
        <v>1307</v>
      </c>
      <c r="C94" s="107" t="s">
        <v>1349</v>
      </c>
      <c r="D94" s="108" t="s">
        <v>1350</v>
      </c>
      <c r="E94" s="119">
        <v>56.82</v>
      </c>
      <c r="F94" s="100">
        <f t="shared" si="2"/>
        <v>-56.82</v>
      </c>
      <c r="G94" s="100">
        <v>0</v>
      </c>
      <c r="H94" s="101"/>
      <c r="I94" s="98" t="s">
        <v>1298</v>
      </c>
      <c r="J94" s="98" t="s">
        <v>1209</v>
      </c>
      <c r="K94" s="98">
        <v>2120803</v>
      </c>
    </row>
    <row r="95" ht="26.1" customHeight="1" spans="1:11">
      <c r="A95" s="98">
        <v>87</v>
      </c>
      <c r="B95" s="112" t="s">
        <v>1307</v>
      </c>
      <c r="C95" s="107" t="s">
        <v>1351</v>
      </c>
      <c r="D95" s="108" t="s">
        <v>1352</v>
      </c>
      <c r="E95" s="119">
        <v>5500</v>
      </c>
      <c r="F95" s="100">
        <f t="shared" si="2"/>
        <v>-1950</v>
      </c>
      <c r="G95" s="100">
        <f>2850+300+400</f>
        <v>3550</v>
      </c>
      <c r="H95" s="101"/>
      <c r="I95" s="98" t="s">
        <v>1298</v>
      </c>
      <c r="J95" s="98" t="s">
        <v>1209</v>
      </c>
      <c r="K95" s="98">
        <v>2120803</v>
      </c>
    </row>
    <row r="96" ht="26.1" customHeight="1" spans="1:11">
      <c r="A96" s="98">
        <v>88</v>
      </c>
      <c r="B96" s="112" t="s">
        <v>1307</v>
      </c>
      <c r="C96" s="107" t="s">
        <v>1351</v>
      </c>
      <c r="D96" s="108" t="s">
        <v>1353</v>
      </c>
      <c r="E96" s="119">
        <v>500</v>
      </c>
      <c r="F96" s="100">
        <f t="shared" si="2"/>
        <v>-500</v>
      </c>
      <c r="G96" s="100">
        <v>0</v>
      </c>
      <c r="H96" s="120" t="s">
        <v>1354</v>
      </c>
      <c r="I96" s="98" t="s">
        <v>1298</v>
      </c>
      <c r="J96" s="98" t="s">
        <v>1209</v>
      </c>
      <c r="K96" s="98">
        <v>2120803</v>
      </c>
    </row>
    <row r="97" ht="26.1" customHeight="1" spans="1:11">
      <c r="A97" s="98">
        <v>89</v>
      </c>
      <c r="B97" s="112" t="s">
        <v>1307</v>
      </c>
      <c r="C97" s="107" t="s">
        <v>1351</v>
      </c>
      <c r="D97" s="108" t="s">
        <v>1355</v>
      </c>
      <c r="E97" s="119">
        <v>500</v>
      </c>
      <c r="F97" s="100">
        <f t="shared" si="2"/>
        <v>-500</v>
      </c>
      <c r="G97" s="100">
        <v>0</v>
      </c>
      <c r="H97" s="121"/>
      <c r="I97" s="98" t="s">
        <v>1298</v>
      </c>
      <c r="J97" s="98" t="s">
        <v>1209</v>
      </c>
      <c r="K97" s="98">
        <v>2120803</v>
      </c>
    </row>
    <row r="98" ht="26.1" customHeight="1" spans="1:11">
      <c r="A98" s="98">
        <v>90</v>
      </c>
      <c r="B98" s="112" t="s">
        <v>1307</v>
      </c>
      <c r="C98" s="107" t="s">
        <v>1356</v>
      </c>
      <c r="D98" s="108" t="s">
        <v>1357</v>
      </c>
      <c r="E98" s="119">
        <v>98</v>
      </c>
      <c r="F98" s="100">
        <f t="shared" si="2"/>
        <v>-98</v>
      </c>
      <c r="G98" s="100">
        <v>0</v>
      </c>
      <c r="H98" s="101"/>
      <c r="I98" s="98" t="s">
        <v>1298</v>
      </c>
      <c r="J98" s="98" t="s">
        <v>1209</v>
      </c>
      <c r="K98" s="98">
        <v>2120803</v>
      </c>
    </row>
    <row r="99" ht="26.1" customHeight="1" spans="1:11">
      <c r="A99" s="98">
        <v>91</v>
      </c>
      <c r="B99" s="112" t="s">
        <v>1358</v>
      </c>
      <c r="C99" s="107" t="s">
        <v>1244</v>
      </c>
      <c r="D99" s="108" t="s">
        <v>1359</v>
      </c>
      <c r="E99" s="119">
        <v>2000</v>
      </c>
      <c r="F99" s="100">
        <f t="shared" si="2"/>
        <v>-2000</v>
      </c>
      <c r="G99" s="100">
        <v>0</v>
      </c>
      <c r="H99" s="101"/>
      <c r="I99" s="116" t="s">
        <v>1298</v>
      </c>
      <c r="J99" s="116" t="s">
        <v>1209</v>
      </c>
      <c r="K99" s="116">
        <v>2120803</v>
      </c>
    </row>
    <row r="100" ht="26.1" customHeight="1" spans="1:11">
      <c r="A100" s="102" t="s">
        <v>1360</v>
      </c>
      <c r="B100" s="102"/>
      <c r="C100" s="102"/>
      <c r="D100" s="102"/>
      <c r="E100" s="103">
        <f>SUM(E61:E99)</f>
        <v>20426.131411</v>
      </c>
      <c r="F100" s="103">
        <f t="shared" si="2"/>
        <v>-12508.330386</v>
      </c>
      <c r="G100" s="103">
        <f>SUM(G61:G99)</f>
        <v>7917.801025</v>
      </c>
      <c r="H100" s="104"/>
      <c r="I100" s="102"/>
      <c r="J100" s="102"/>
      <c r="K100" s="102"/>
    </row>
    <row r="101" s="84" customFormat="1" ht="26.1" customHeight="1" spans="1:11">
      <c r="A101" s="98">
        <v>92</v>
      </c>
      <c r="B101" s="98" t="s">
        <v>1263</v>
      </c>
      <c r="C101" s="98" t="s">
        <v>1361</v>
      </c>
      <c r="D101" s="99" t="s">
        <v>1362</v>
      </c>
      <c r="E101" s="100">
        <v>385.067988</v>
      </c>
      <c r="F101" s="100">
        <f t="shared" si="2"/>
        <v>0</v>
      </c>
      <c r="G101" s="100">
        <v>385.067988</v>
      </c>
      <c r="H101" s="101"/>
      <c r="I101" s="98" t="s">
        <v>1363</v>
      </c>
      <c r="J101" s="98" t="s">
        <v>1209</v>
      </c>
      <c r="K101" s="98">
        <v>2120899</v>
      </c>
    </row>
    <row r="102" s="84" customFormat="1" ht="26.1" customHeight="1" spans="1:11">
      <c r="A102" s="98">
        <v>93</v>
      </c>
      <c r="B102" s="98" t="s">
        <v>1263</v>
      </c>
      <c r="C102" s="98" t="s">
        <v>1341</v>
      </c>
      <c r="D102" s="99" t="s">
        <v>1364</v>
      </c>
      <c r="E102" s="122">
        <v>412</v>
      </c>
      <c r="F102" s="100">
        <f t="shared" si="2"/>
        <v>-67</v>
      </c>
      <c r="G102" s="100">
        <v>345</v>
      </c>
      <c r="H102" s="101"/>
      <c r="I102" s="98" t="s">
        <v>1363</v>
      </c>
      <c r="J102" s="98" t="s">
        <v>1209</v>
      </c>
      <c r="K102" s="98">
        <v>2120899</v>
      </c>
    </row>
    <row r="103" s="84" customFormat="1" ht="26.1" customHeight="1" spans="1:11">
      <c r="A103" s="98">
        <v>94</v>
      </c>
      <c r="B103" s="98" t="s">
        <v>1263</v>
      </c>
      <c r="C103" s="98" t="s">
        <v>1247</v>
      </c>
      <c r="D103" s="99" t="s">
        <v>1365</v>
      </c>
      <c r="E103" s="122">
        <v>1783</v>
      </c>
      <c r="F103" s="100">
        <f t="shared" ref="F103:F134" si="3">G103-E103</f>
        <v>-1083</v>
      </c>
      <c r="G103" s="100">
        <v>700</v>
      </c>
      <c r="H103" s="101"/>
      <c r="I103" s="98" t="s">
        <v>1363</v>
      </c>
      <c r="J103" s="98" t="s">
        <v>1209</v>
      </c>
      <c r="K103" s="98">
        <v>2120899</v>
      </c>
    </row>
    <row r="104" s="84" customFormat="1" ht="26.1" customHeight="1" spans="1:11">
      <c r="A104" s="98">
        <v>95</v>
      </c>
      <c r="B104" s="98" t="s">
        <v>1263</v>
      </c>
      <c r="C104" s="98" t="s">
        <v>1366</v>
      </c>
      <c r="D104" s="99" t="s">
        <v>1367</v>
      </c>
      <c r="E104" s="122">
        <v>5491</v>
      </c>
      <c r="F104" s="100">
        <f t="shared" si="3"/>
        <v>-1047.5</v>
      </c>
      <c r="G104" s="100">
        <v>4443.5</v>
      </c>
      <c r="H104" s="101"/>
      <c r="I104" s="98" t="s">
        <v>1363</v>
      </c>
      <c r="J104" s="98" t="s">
        <v>1209</v>
      </c>
      <c r="K104" s="98">
        <v>2120899</v>
      </c>
    </row>
    <row r="105" s="84" customFormat="1" ht="26.1" customHeight="1" spans="1:11">
      <c r="A105" s="98">
        <v>96</v>
      </c>
      <c r="B105" s="98" t="s">
        <v>1263</v>
      </c>
      <c r="C105" s="98" t="s">
        <v>1366</v>
      </c>
      <c r="D105" s="99" t="s">
        <v>1368</v>
      </c>
      <c r="E105" s="122">
        <v>1409</v>
      </c>
      <c r="F105" s="100">
        <f t="shared" si="3"/>
        <v>-1409</v>
      </c>
      <c r="G105" s="100">
        <v>0</v>
      </c>
      <c r="H105" s="101"/>
      <c r="I105" s="98" t="s">
        <v>1363</v>
      </c>
      <c r="J105" s="98" t="s">
        <v>1209</v>
      </c>
      <c r="K105" s="98">
        <v>2120899</v>
      </c>
    </row>
    <row r="106" s="84" customFormat="1" ht="26.1" customHeight="1" spans="1:11">
      <c r="A106" s="98">
        <v>97</v>
      </c>
      <c r="B106" s="98" t="s">
        <v>1263</v>
      </c>
      <c r="C106" s="98" t="s">
        <v>1235</v>
      </c>
      <c r="D106" s="99" t="s">
        <v>1369</v>
      </c>
      <c r="E106" s="122">
        <v>679.061</v>
      </c>
      <c r="F106" s="100">
        <f t="shared" si="3"/>
        <v>-21.341</v>
      </c>
      <c r="G106" s="100">
        <v>657.72</v>
      </c>
      <c r="H106" s="101"/>
      <c r="I106" s="98" t="s">
        <v>1363</v>
      </c>
      <c r="J106" s="98" t="s">
        <v>1209</v>
      </c>
      <c r="K106" s="98">
        <v>2120899</v>
      </c>
    </row>
    <row r="107" s="84" customFormat="1" ht="26.1" customHeight="1" spans="1:11">
      <c r="A107" s="98">
        <v>98</v>
      </c>
      <c r="B107" s="98" t="s">
        <v>1263</v>
      </c>
      <c r="C107" s="98" t="s">
        <v>1238</v>
      </c>
      <c r="D107" s="99" t="s">
        <v>1370</v>
      </c>
      <c r="E107" s="122">
        <v>65.713755</v>
      </c>
      <c r="F107" s="100">
        <f t="shared" si="3"/>
        <v>0</v>
      </c>
      <c r="G107" s="100">
        <v>65.713755</v>
      </c>
      <c r="H107" s="101" t="s">
        <v>1371</v>
      </c>
      <c r="I107" s="98" t="s">
        <v>1363</v>
      </c>
      <c r="J107" s="98" t="s">
        <v>1209</v>
      </c>
      <c r="K107" s="98">
        <v>2120899</v>
      </c>
    </row>
    <row r="108" s="84" customFormat="1" ht="26.1" customHeight="1" spans="1:11">
      <c r="A108" s="98">
        <v>99</v>
      </c>
      <c r="B108" s="98" t="s">
        <v>1263</v>
      </c>
      <c r="C108" s="98" t="s">
        <v>1317</v>
      </c>
      <c r="D108" s="99" t="s">
        <v>1372</v>
      </c>
      <c r="E108" s="122">
        <v>874.59</v>
      </c>
      <c r="F108" s="100">
        <f t="shared" si="3"/>
        <v>-136.7</v>
      </c>
      <c r="G108" s="100">
        <v>737.89</v>
      </c>
      <c r="H108" s="101"/>
      <c r="I108" s="98" t="s">
        <v>1363</v>
      </c>
      <c r="J108" s="98" t="s">
        <v>1209</v>
      </c>
      <c r="K108" s="98">
        <v>2120899</v>
      </c>
    </row>
    <row r="109" s="84" customFormat="1" ht="26.1" customHeight="1" spans="1:11">
      <c r="A109" s="98">
        <v>100</v>
      </c>
      <c r="B109" s="98" t="s">
        <v>1263</v>
      </c>
      <c r="C109" s="98" t="s">
        <v>1244</v>
      </c>
      <c r="D109" s="99" t="s">
        <v>1373</v>
      </c>
      <c r="E109" s="100">
        <v>1204</v>
      </c>
      <c r="F109" s="100">
        <f t="shared" si="3"/>
        <v>-704</v>
      </c>
      <c r="G109" s="100">
        <v>500</v>
      </c>
      <c r="H109" s="101"/>
      <c r="I109" s="98" t="s">
        <v>1363</v>
      </c>
      <c r="J109" s="98" t="s">
        <v>1209</v>
      </c>
      <c r="K109" s="98">
        <v>2120899</v>
      </c>
    </row>
    <row r="110" s="84" customFormat="1" ht="26.1" customHeight="1" spans="1:11">
      <c r="A110" s="98">
        <v>101</v>
      </c>
      <c r="B110" s="98" t="s">
        <v>1263</v>
      </c>
      <c r="C110" s="98" t="s">
        <v>1264</v>
      </c>
      <c r="D110" s="99" t="s">
        <v>1374</v>
      </c>
      <c r="E110" s="123">
        <v>7900</v>
      </c>
      <c r="F110" s="100">
        <f t="shared" si="3"/>
        <v>-5760</v>
      </c>
      <c r="G110" s="100">
        <v>2140</v>
      </c>
      <c r="H110" s="101"/>
      <c r="I110" s="98" t="s">
        <v>1363</v>
      </c>
      <c r="J110" s="98" t="s">
        <v>1209</v>
      </c>
      <c r="K110" s="98">
        <v>2120899</v>
      </c>
    </row>
    <row r="111" s="84" customFormat="1" ht="26.1" customHeight="1" spans="1:11">
      <c r="A111" s="98">
        <v>102</v>
      </c>
      <c r="B111" s="98" t="s">
        <v>1263</v>
      </c>
      <c r="C111" s="98" t="s">
        <v>1375</v>
      </c>
      <c r="D111" s="99" t="s">
        <v>1376</v>
      </c>
      <c r="E111" s="100">
        <v>5000</v>
      </c>
      <c r="F111" s="100">
        <f t="shared" si="3"/>
        <v>-3593</v>
      </c>
      <c r="G111" s="100">
        <v>1407</v>
      </c>
      <c r="H111" s="101"/>
      <c r="I111" s="98" t="s">
        <v>1363</v>
      </c>
      <c r="J111" s="98" t="s">
        <v>1209</v>
      </c>
      <c r="K111" s="98">
        <v>2120899</v>
      </c>
    </row>
    <row r="112" s="84" customFormat="1" ht="26.1" customHeight="1" spans="1:11">
      <c r="A112" s="98">
        <v>103</v>
      </c>
      <c r="B112" s="98" t="s">
        <v>1263</v>
      </c>
      <c r="C112" s="98" t="s">
        <v>1264</v>
      </c>
      <c r="D112" s="99" t="s">
        <v>1377</v>
      </c>
      <c r="E112" s="100">
        <v>540</v>
      </c>
      <c r="F112" s="100">
        <f t="shared" si="3"/>
        <v>0</v>
      </c>
      <c r="G112" s="100">
        <v>540</v>
      </c>
      <c r="H112" s="101"/>
      <c r="I112" s="98" t="s">
        <v>1363</v>
      </c>
      <c r="J112" s="98" t="s">
        <v>1209</v>
      </c>
      <c r="K112" s="98">
        <v>2120899</v>
      </c>
    </row>
    <row r="113" s="84" customFormat="1" ht="26.1" customHeight="1" spans="1:11">
      <c r="A113" s="102" t="s">
        <v>1378</v>
      </c>
      <c r="B113" s="102"/>
      <c r="C113" s="102"/>
      <c r="D113" s="102"/>
      <c r="E113" s="103">
        <f>SUM(E101:E112)</f>
        <v>25743.432743</v>
      </c>
      <c r="F113" s="103">
        <f>G113-E113+0.1</f>
        <v>-13821.441</v>
      </c>
      <c r="G113" s="103">
        <f>SUM(G101:G112)</f>
        <v>11921.891743</v>
      </c>
      <c r="H113" s="104"/>
      <c r="I113" s="102"/>
      <c r="J113" s="102"/>
      <c r="K113" s="102"/>
    </row>
    <row r="114" s="84" customFormat="1" ht="26.1" customHeight="1" spans="1:11">
      <c r="A114" s="98">
        <v>104</v>
      </c>
      <c r="B114" s="98" t="s">
        <v>1205</v>
      </c>
      <c r="C114" s="98" t="s">
        <v>1206</v>
      </c>
      <c r="D114" s="99" t="s">
        <v>1379</v>
      </c>
      <c r="E114" s="100">
        <v>20</v>
      </c>
      <c r="F114" s="100">
        <f t="shared" si="3"/>
        <v>-20</v>
      </c>
      <c r="G114" s="100">
        <v>0</v>
      </c>
      <c r="H114" s="101" t="s">
        <v>1380</v>
      </c>
      <c r="I114" s="98" t="s">
        <v>992</v>
      </c>
      <c r="J114" s="98" t="s">
        <v>1209</v>
      </c>
      <c r="K114" s="98">
        <v>2120806</v>
      </c>
    </row>
    <row r="115" s="84" customFormat="1" ht="26.1" customHeight="1" spans="1:11">
      <c r="A115" s="98">
        <v>105</v>
      </c>
      <c r="B115" s="98" t="s">
        <v>1205</v>
      </c>
      <c r="C115" s="98" t="s">
        <v>1206</v>
      </c>
      <c r="D115" s="99" t="s">
        <v>1381</v>
      </c>
      <c r="E115" s="100">
        <v>46</v>
      </c>
      <c r="F115" s="100">
        <f t="shared" si="3"/>
        <v>-12.758</v>
      </c>
      <c r="G115" s="100">
        <v>33.242</v>
      </c>
      <c r="H115" s="101"/>
      <c r="I115" s="98" t="s">
        <v>992</v>
      </c>
      <c r="J115" s="98" t="s">
        <v>1209</v>
      </c>
      <c r="K115" s="98">
        <v>2120806</v>
      </c>
    </row>
    <row r="116" s="84" customFormat="1" ht="26.1" customHeight="1" spans="1:11">
      <c r="A116" s="98">
        <v>106</v>
      </c>
      <c r="B116" s="98" t="s">
        <v>1205</v>
      </c>
      <c r="C116" s="98" t="s">
        <v>1206</v>
      </c>
      <c r="D116" s="99" t="s">
        <v>1382</v>
      </c>
      <c r="E116" s="100">
        <v>83.01</v>
      </c>
      <c r="F116" s="100">
        <f t="shared" si="3"/>
        <v>-24.823144</v>
      </c>
      <c r="G116" s="100">
        <v>58.186856</v>
      </c>
      <c r="H116" s="101" t="s">
        <v>1383</v>
      </c>
      <c r="I116" s="98" t="s">
        <v>992</v>
      </c>
      <c r="J116" s="98" t="s">
        <v>1209</v>
      </c>
      <c r="K116" s="98">
        <v>2120806</v>
      </c>
    </row>
    <row r="117" s="84" customFormat="1" ht="26.1" customHeight="1" spans="1:11">
      <c r="A117" s="98">
        <v>107</v>
      </c>
      <c r="B117" s="98" t="s">
        <v>1205</v>
      </c>
      <c r="C117" s="98" t="s">
        <v>1206</v>
      </c>
      <c r="D117" s="99" t="s">
        <v>1384</v>
      </c>
      <c r="E117" s="100">
        <v>10</v>
      </c>
      <c r="F117" s="100">
        <f t="shared" si="3"/>
        <v>-10</v>
      </c>
      <c r="G117" s="100">
        <v>0</v>
      </c>
      <c r="H117" s="101"/>
      <c r="I117" s="98" t="s">
        <v>992</v>
      </c>
      <c r="J117" s="98" t="s">
        <v>1209</v>
      </c>
      <c r="K117" s="98">
        <v>2120806</v>
      </c>
    </row>
    <row r="118" s="84" customFormat="1" ht="26.1" customHeight="1" spans="1:11">
      <c r="A118" s="98">
        <v>108</v>
      </c>
      <c r="B118" s="98" t="s">
        <v>1205</v>
      </c>
      <c r="C118" s="98" t="s">
        <v>1206</v>
      </c>
      <c r="D118" s="99" t="s">
        <v>1385</v>
      </c>
      <c r="E118" s="100">
        <v>6.99</v>
      </c>
      <c r="F118" s="100">
        <f t="shared" si="3"/>
        <v>-3.6267</v>
      </c>
      <c r="G118" s="100">
        <v>3.3633</v>
      </c>
      <c r="H118" s="101" t="s">
        <v>1386</v>
      </c>
      <c r="I118" s="98" t="s">
        <v>992</v>
      </c>
      <c r="J118" s="98" t="s">
        <v>1209</v>
      </c>
      <c r="K118" s="98">
        <v>2120806</v>
      </c>
    </row>
    <row r="119" s="84" customFormat="1" ht="26.1" customHeight="1" spans="1:11">
      <c r="A119" s="98">
        <v>109</v>
      </c>
      <c r="B119" s="98" t="s">
        <v>1205</v>
      </c>
      <c r="C119" s="98" t="s">
        <v>1206</v>
      </c>
      <c r="D119" s="99" t="s">
        <v>1387</v>
      </c>
      <c r="E119" s="100"/>
      <c r="F119" s="100">
        <f t="shared" si="3"/>
        <v>15.5</v>
      </c>
      <c r="G119" s="100">
        <v>15.5</v>
      </c>
      <c r="H119" s="101"/>
      <c r="I119" s="98" t="s">
        <v>992</v>
      </c>
      <c r="J119" s="98" t="s">
        <v>1209</v>
      </c>
      <c r="K119" s="98">
        <v>2120806</v>
      </c>
    </row>
    <row r="120" s="84" customFormat="1" ht="26.1" customHeight="1" spans="1:11">
      <c r="A120" s="98">
        <v>110</v>
      </c>
      <c r="B120" s="98" t="s">
        <v>1205</v>
      </c>
      <c r="C120" s="98" t="s">
        <v>1238</v>
      </c>
      <c r="D120" s="99" t="s">
        <v>1388</v>
      </c>
      <c r="E120" s="100">
        <v>275.35</v>
      </c>
      <c r="F120" s="100">
        <f t="shared" si="3"/>
        <v>-63.421</v>
      </c>
      <c r="G120" s="100">
        <v>211.929</v>
      </c>
      <c r="H120" s="101"/>
      <c r="I120" s="98" t="s">
        <v>992</v>
      </c>
      <c r="J120" s="98" t="s">
        <v>1209</v>
      </c>
      <c r="K120" s="98">
        <v>2120806</v>
      </c>
    </row>
    <row r="121" s="84" customFormat="1" ht="26.1" customHeight="1" spans="1:11">
      <c r="A121" s="98">
        <v>111</v>
      </c>
      <c r="B121" s="98" t="s">
        <v>1205</v>
      </c>
      <c r="C121" s="98" t="s">
        <v>1238</v>
      </c>
      <c r="D121" s="99" t="s">
        <v>1389</v>
      </c>
      <c r="E121" s="100">
        <v>352.91</v>
      </c>
      <c r="F121" s="100">
        <f t="shared" si="3"/>
        <v>-154.86</v>
      </c>
      <c r="G121" s="100">
        <v>198.05</v>
      </c>
      <c r="H121" s="101"/>
      <c r="I121" s="98" t="s">
        <v>992</v>
      </c>
      <c r="J121" s="98" t="s">
        <v>1209</v>
      </c>
      <c r="K121" s="98">
        <v>2120806</v>
      </c>
    </row>
    <row r="122" s="84" customFormat="1" ht="26.1" customHeight="1" spans="1:11">
      <c r="A122" s="98">
        <v>112</v>
      </c>
      <c r="B122" s="98" t="s">
        <v>1205</v>
      </c>
      <c r="C122" s="98" t="s">
        <v>1238</v>
      </c>
      <c r="D122" s="99" t="s">
        <v>1390</v>
      </c>
      <c r="E122" s="100">
        <v>475</v>
      </c>
      <c r="F122" s="100">
        <f t="shared" si="3"/>
        <v>-464.404</v>
      </c>
      <c r="G122" s="100">
        <v>10.596</v>
      </c>
      <c r="H122" s="101"/>
      <c r="I122" s="98" t="s">
        <v>992</v>
      </c>
      <c r="J122" s="98" t="s">
        <v>1209</v>
      </c>
      <c r="K122" s="98">
        <v>2120806</v>
      </c>
    </row>
    <row r="123" s="84" customFormat="1" ht="26.1" customHeight="1" spans="1:11">
      <c r="A123" s="98">
        <v>113</v>
      </c>
      <c r="B123" s="98" t="s">
        <v>1205</v>
      </c>
      <c r="C123" s="98" t="s">
        <v>1238</v>
      </c>
      <c r="D123" s="99" t="s">
        <v>1391</v>
      </c>
      <c r="E123" s="100">
        <v>10.8</v>
      </c>
      <c r="F123" s="100">
        <f t="shared" si="3"/>
        <v>-10.8</v>
      </c>
      <c r="G123" s="100">
        <v>0</v>
      </c>
      <c r="H123" s="101"/>
      <c r="I123" s="98" t="s">
        <v>992</v>
      </c>
      <c r="J123" s="98" t="s">
        <v>1209</v>
      </c>
      <c r="K123" s="98">
        <v>2120806</v>
      </c>
    </row>
    <row r="124" s="84" customFormat="1" ht="26.1" customHeight="1" spans="1:11">
      <c r="A124" s="98">
        <v>114</v>
      </c>
      <c r="B124" s="98" t="s">
        <v>1205</v>
      </c>
      <c r="C124" s="98" t="s">
        <v>1238</v>
      </c>
      <c r="D124" s="99" t="s">
        <v>1392</v>
      </c>
      <c r="E124" s="100">
        <v>69.13</v>
      </c>
      <c r="F124" s="100">
        <f t="shared" si="3"/>
        <v>-29.34869</v>
      </c>
      <c r="G124" s="100">
        <v>39.78131</v>
      </c>
      <c r="H124" s="101"/>
      <c r="I124" s="98" t="s">
        <v>992</v>
      </c>
      <c r="J124" s="98" t="s">
        <v>1209</v>
      </c>
      <c r="K124" s="98">
        <v>2120806</v>
      </c>
    </row>
    <row r="125" s="84" customFormat="1" ht="26.1" customHeight="1" spans="1:11">
      <c r="A125" s="98">
        <v>115</v>
      </c>
      <c r="B125" s="98" t="s">
        <v>1205</v>
      </c>
      <c r="C125" s="98" t="s">
        <v>1238</v>
      </c>
      <c r="D125" s="99" t="s">
        <v>1393</v>
      </c>
      <c r="E125" s="100">
        <v>81.05</v>
      </c>
      <c r="F125" s="100">
        <f t="shared" si="3"/>
        <v>-74.165</v>
      </c>
      <c r="G125" s="100">
        <v>6.885</v>
      </c>
      <c r="H125" s="101"/>
      <c r="I125" s="98" t="s">
        <v>992</v>
      </c>
      <c r="J125" s="98" t="s">
        <v>1209</v>
      </c>
      <c r="K125" s="98">
        <v>2120806</v>
      </c>
    </row>
    <row r="126" s="84" customFormat="1" ht="26.1" customHeight="1" spans="1:11">
      <c r="A126" s="98">
        <v>116</v>
      </c>
      <c r="B126" s="98" t="s">
        <v>1205</v>
      </c>
      <c r="C126" s="98" t="s">
        <v>1238</v>
      </c>
      <c r="D126" s="99" t="s">
        <v>1394</v>
      </c>
      <c r="E126" s="100">
        <v>27.8</v>
      </c>
      <c r="F126" s="100">
        <f t="shared" si="3"/>
        <v>-20.0423</v>
      </c>
      <c r="G126" s="100">
        <v>7.7577</v>
      </c>
      <c r="H126" s="101"/>
      <c r="I126" s="98" t="s">
        <v>992</v>
      </c>
      <c r="J126" s="98" t="s">
        <v>1209</v>
      </c>
      <c r="K126" s="98">
        <v>2120806</v>
      </c>
    </row>
    <row r="127" s="84" customFormat="1" ht="26.1" customHeight="1" spans="1:11">
      <c r="A127" s="98">
        <v>117</v>
      </c>
      <c r="B127" s="98" t="s">
        <v>1205</v>
      </c>
      <c r="C127" s="98" t="s">
        <v>1238</v>
      </c>
      <c r="D127" s="99" t="s">
        <v>1395</v>
      </c>
      <c r="E127" s="100">
        <v>20</v>
      </c>
      <c r="F127" s="100">
        <f t="shared" si="3"/>
        <v>0</v>
      </c>
      <c r="G127" s="100">
        <v>20</v>
      </c>
      <c r="H127" s="101"/>
      <c r="I127" s="98" t="s">
        <v>992</v>
      </c>
      <c r="J127" s="98" t="s">
        <v>1209</v>
      </c>
      <c r="K127" s="98">
        <v>2120806</v>
      </c>
    </row>
    <row r="128" s="84" customFormat="1" ht="26.1" customHeight="1" spans="1:11">
      <c r="A128" s="98">
        <v>118</v>
      </c>
      <c r="B128" s="98" t="s">
        <v>1205</v>
      </c>
      <c r="C128" s="98" t="s">
        <v>1238</v>
      </c>
      <c r="D128" s="99" t="s">
        <v>1396</v>
      </c>
      <c r="E128" s="100">
        <v>31.2</v>
      </c>
      <c r="F128" s="100">
        <f t="shared" si="3"/>
        <v>-15.6</v>
      </c>
      <c r="G128" s="100">
        <v>15.6</v>
      </c>
      <c r="H128" s="101"/>
      <c r="I128" s="98" t="s">
        <v>992</v>
      </c>
      <c r="J128" s="98" t="s">
        <v>1209</v>
      </c>
      <c r="K128" s="98">
        <v>2120806</v>
      </c>
    </row>
    <row r="129" s="84" customFormat="1" ht="26.1" customHeight="1" spans="1:11">
      <c r="A129" s="98">
        <v>119</v>
      </c>
      <c r="B129" s="98" t="s">
        <v>1205</v>
      </c>
      <c r="C129" s="98" t="s">
        <v>1238</v>
      </c>
      <c r="D129" s="99" t="s">
        <v>1397</v>
      </c>
      <c r="E129" s="100">
        <v>26.4</v>
      </c>
      <c r="F129" s="100">
        <f t="shared" si="3"/>
        <v>-13.2</v>
      </c>
      <c r="G129" s="100">
        <v>13.2</v>
      </c>
      <c r="H129" s="101"/>
      <c r="I129" s="98" t="s">
        <v>992</v>
      </c>
      <c r="J129" s="98" t="s">
        <v>1209</v>
      </c>
      <c r="K129" s="98">
        <v>2120806</v>
      </c>
    </row>
    <row r="130" s="84" customFormat="1" ht="26.1" customHeight="1" spans="1:11">
      <c r="A130" s="98">
        <v>120</v>
      </c>
      <c r="B130" s="98" t="s">
        <v>1205</v>
      </c>
      <c r="C130" s="98" t="s">
        <v>1238</v>
      </c>
      <c r="D130" s="99" t="s">
        <v>1398</v>
      </c>
      <c r="E130" s="100">
        <v>6</v>
      </c>
      <c r="F130" s="100">
        <f t="shared" si="3"/>
        <v>-6</v>
      </c>
      <c r="G130" s="100">
        <v>0</v>
      </c>
      <c r="H130" s="101"/>
      <c r="I130" s="98" t="s">
        <v>992</v>
      </c>
      <c r="J130" s="98" t="s">
        <v>1209</v>
      </c>
      <c r="K130" s="98">
        <v>21211</v>
      </c>
    </row>
    <row r="131" s="84" customFormat="1" ht="26.1" customHeight="1" spans="1:11">
      <c r="A131" s="98">
        <v>121</v>
      </c>
      <c r="B131" s="98" t="s">
        <v>1205</v>
      </c>
      <c r="C131" s="98" t="s">
        <v>1238</v>
      </c>
      <c r="D131" s="99" t="s">
        <v>1399</v>
      </c>
      <c r="E131" s="100">
        <v>38.04</v>
      </c>
      <c r="F131" s="100">
        <f t="shared" si="3"/>
        <v>-38.04</v>
      </c>
      <c r="G131" s="100">
        <v>0</v>
      </c>
      <c r="H131" s="101"/>
      <c r="I131" s="98" t="s">
        <v>992</v>
      </c>
      <c r="J131" s="98" t="s">
        <v>1209</v>
      </c>
      <c r="K131" s="98">
        <v>21211</v>
      </c>
    </row>
    <row r="132" s="84" customFormat="1" ht="26.1" customHeight="1" spans="1:11">
      <c r="A132" s="98">
        <v>122</v>
      </c>
      <c r="B132" s="98" t="s">
        <v>1205</v>
      </c>
      <c r="C132" s="98" t="s">
        <v>1238</v>
      </c>
      <c r="D132" s="99" t="s">
        <v>1400</v>
      </c>
      <c r="E132" s="100">
        <v>20</v>
      </c>
      <c r="F132" s="100">
        <f t="shared" si="3"/>
        <v>0</v>
      </c>
      <c r="G132" s="100">
        <v>20</v>
      </c>
      <c r="H132" s="101"/>
      <c r="I132" s="98" t="s">
        <v>992</v>
      </c>
      <c r="J132" s="98" t="s">
        <v>1209</v>
      </c>
      <c r="K132" s="98">
        <v>21211</v>
      </c>
    </row>
    <row r="133" s="84" customFormat="1" ht="26.1" customHeight="1" spans="1:11">
      <c r="A133" s="98">
        <v>123</v>
      </c>
      <c r="B133" s="98" t="s">
        <v>1205</v>
      </c>
      <c r="C133" s="98" t="s">
        <v>1238</v>
      </c>
      <c r="D133" s="99" t="s">
        <v>1401</v>
      </c>
      <c r="E133" s="100">
        <v>409.22</v>
      </c>
      <c r="F133" s="100">
        <f t="shared" si="3"/>
        <v>-399.154</v>
      </c>
      <c r="G133" s="100">
        <v>10.066</v>
      </c>
      <c r="H133" s="101"/>
      <c r="I133" s="98" t="s">
        <v>992</v>
      </c>
      <c r="J133" s="98" t="s">
        <v>1209</v>
      </c>
      <c r="K133" s="98">
        <v>21211</v>
      </c>
    </row>
    <row r="134" s="84" customFormat="1" ht="26.1" customHeight="1" spans="1:11">
      <c r="A134" s="98">
        <v>124</v>
      </c>
      <c r="B134" s="98" t="s">
        <v>1205</v>
      </c>
      <c r="C134" s="98" t="s">
        <v>1238</v>
      </c>
      <c r="D134" s="99" t="s">
        <v>1402</v>
      </c>
      <c r="E134" s="100">
        <v>250</v>
      </c>
      <c r="F134" s="100">
        <f t="shared" si="3"/>
        <v>-67.7825</v>
      </c>
      <c r="G134" s="100">
        <v>182.2175</v>
      </c>
      <c r="H134" s="101"/>
      <c r="I134" s="98" t="s">
        <v>992</v>
      </c>
      <c r="J134" s="98" t="s">
        <v>1209</v>
      </c>
      <c r="K134" s="98">
        <v>21211</v>
      </c>
    </row>
    <row r="135" s="84" customFormat="1" ht="26.1" customHeight="1" spans="1:11">
      <c r="A135" s="98">
        <v>125</v>
      </c>
      <c r="B135" s="98" t="s">
        <v>1205</v>
      </c>
      <c r="C135" s="98" t="s">
        <v>1238</v>
      </c>
      <c r="D135" s="99" t="s">
        <v>1403</v>
      </c>
      <c r="E135" s="100">
        <v>80</v>
      </c>
      <c r="F135" s="100">
        <f t="shared" ref="F135:F170" si="4">G135-E135</f>
        <v>-80</v>
      </c>
      <c r="G135" s="100">
        <v>0</v>
      </c>
      <c r="H135" s="101"/>
      <c r="I135" s="98" t="s">
        <v>992</v>
      </c>
      <c r="J135" s="98" t="s">
        <v>1209</v>
      </c>
      <c r="K135" s="98">
        <v>21211</v>
      </c>
    </row>
    <row r="136" s="84" customFormat="1" ht="26.1" customHeight="1" spans="1:11">
      <c r="A136" s="98">
        <v>126</v>
      </c>
      <c r="B136" s="98" t="s">
        <v>1205</v>
      </c>
      <c r="C136" s="98" t="s">
        <v>1238</v>
      </c>
      <c r="D136" s="99" t="s">
        <v>1404</v>
      </c>
      <c r="E136" s="100">
        <v>60</v>
      </c>
      <c r="F136" s="100">
        <f t="shared" si="4"/>
        <v>-57.357678</v>
      </c>
      <c r="G136" s="100">
        <v>2.642322</v>
      </c>
      <c r="H136" s="101"/>
      <c r="I136" s="98" t="s">
        <v>992</v>
      </c>
      <c r="J136" s="98" t="s">
        <v>1209</v>
      </c>
      <c r="K136" s="98">
        <v>2120806</v>
      </c>
    </row>
    <row r="137" s="84" customFormat="1" ht="26.1" customHeight="1" spans="1:11">
      <c r="A137" s="98">
        <v>127</v>
      </c>
      <c r="B137" s="98" t="s">
        <v>1205</v>
      </c>
      <c r="C137" s="98" t="s">
        <v>1238</v>
      </c>
      <c r="D137" s="99" t="s">
        <v>424</v>
      </c>
      <c r="E137" s="100">
        <v>120</v>
      </c>
      <c r="F137" s="100">
        <f t="shared" si="4"/>
        <v>-78.506233</v>
      </c>
      <c r="G137" s="100">
        <v>41.493767</v>
      </c>
      <c r="H137" s="101"/>
      <c r="I137" s="98" t="s">
        <v>992</v>
      </c>
      <c r="J137" s="98" t="s">
        <v>1209</v>
      </c>
      <c r="K137" s="98">
        <v>2120806</v>
      </c>
    </row>
    <row r="138" s="84" customFormat="1" ht="26.1" customHeight="1" spans="1:11">
      <c r="A138" s="98">
        <v>128</v>
      </c>
      <c r="B138" s="98" t="s">
        <v>1205</v>
      </c>
      <c r="C138" s="98" t="s">
        <v>1238</v>
      </c>
      <c r="D138" s="99" t="s">
        <v>1405</v>
      </c>
      <c r="E138" s="100">
        <v>137</v>
      </c>
      <c r="F138" s="100">
        <f t="shared" si="4"/>
        <v>-71.3</v>
      </c>
      <c r="G138" s="100">
        <v>65.7</v>
      </c>
      <c r="H138" s="101"/>
      <c r="I138" s="98" t="s">
        <v>992</v>
      </c>
      <c r="J138" s="98" t="s">
        <v>1209</v>
      </c>
      <c r="K138" s="98">
        <v>2120806</v>
      </c>
    </row>
    <row r="139" s="84" customFormat="1" ht="26.1" customHeight="1" spans="1:11">
      <c r="A139" s="98">
        <v>129</v>
      </c>
      <c r="B139" s="98" t="s">
        <v>1205</v>
      </c>
      <c r="C139" s="98" t="s">
        <v>1238</v>
      </c>
      <c r="D139" s="99" t="s">
        <v>1406</v>
      </c>
      <c r="E139" s="100">
        <v>90</v>
      </c>
      <c r="F139" s="100">
        <f t="shared" si="4"/>
        <v>0</v>
      </c>
      <c r="G139" s="100">
        <v>90</v>
      </c>
      <c r="H139" s="101"/>
      <c r="I139" s="98" t="s">
        <v>992</v>
      </c>
      <c r="J139" s="98" t="s">
        <v>1209</v>
      </c>
      <c r="K139" s="98">
        <v>2120806</v>
      </c>
    </row>
    <row r="140" s="84" customFormat="1" ht="26.1" customHeight="1" spans="1:11">
      <c r="A140" s="98">
        <v>130</v>
      </c>
      <c r="B140" s="98" t="s">
        <v>1205</v>
      </c>
      <c r="C140" s="98" t="s">
        <v>1238</v>
      </c>
      <c r="D140" s="99" t="s">
        <v>1407</v>
      </c>
      <c r="E140" s="100">
        <v>90</v>
      </c>
      <c r="F140" s="100">
        <f t="shared" si="4"/>
        <v>0</v>
      </c>
      <c r="G140" s="100">
        <v>90</v>
      </c>
      <c r="H140" s="101"/>
      <c r="I140" s="98" t="s">
        <v>992</v>
      </c>
      <c r="J140" s="98" t="s">
        <v>1209</v>
      </c>
      <c r="K140" s="98">
        <v>2120806</v>
      </c>
    </row>
    <row r="141" s="84" customFormat="1" ht="26.1" customHeight="1" spans="1:11">
      <c r="A141" s="98">
        <v>131</v>
      </c>
      <c r="B141" s="98" t="s">
        <v>1205</v>
      </c>
      <c r="C141" s="98" t="s">
        <v>1238</v>
      </c>
      <c r="D141" s="99" t="s">
        <v>1408</v>
      </c>
      <c r="E141" s="100">
        <v>144.42</v>
      </c>
      <c r="F141" s="100">
        <f t="shared" si="4"/>
        <v>-103.741465</v>
      </c>
      <c r="G141" s="100">
        <v>40.678535</v>
      </c>
      <c r="H141" s="101"/>
      <c r="I141" s="98" t="s">
        <v>992</v>
      </c>
      <c r="J141" s="98" t="s">
        <v>1209</v>
      </c>
      <c r="K141" s="98">
        <v>2120806</v>
      </c>
    </row>
    <row r="142" s="84" customFormat="1" ht="26.1" customHeight="1" spans="1:11">
      <c r="A142" s="98">
        <v>132</v>
      </c>
      <c r="B142" s="98" t="s">
        <v>1205</v>
      </c>
      <c r="C142" s="98" t="s">
        <v>1238</v>
      </c>
      <c r="D142" s="99" t="s">
        <v>1409</v>
      </c>
      <c r="E142" s="100">
        <v>193.3</v>
      </c>
      <c r="F142" s="100">
        <f t="shared" si="4"/>
        <v>-70.14018</v>
      </c>
      <c r="G142" s="100">
        <v>123.15982</v>
      </c>
      <c r="H142" s="101"/>
      <c r="I142" s="98" t="s">
        <v>992</v>
      </c>
      <c r="J142" s="98" t="s">
        <v>1209</v>
      </c>
      <c r="K142" s="98">
        <v>2120806</v>
      </c>
    </row>
    <row r="143" s="84" customFormat="1" ht="26.1" customHeight="1" spans="1:11">
      <c r="A143" s="98">
        <v>133</v>
      </c>
      <c r="B143" s="98" t="s">
        <v>1205</v>
      </c>
      <c r="C143" s="98" t="s">
        <v>1238</v>
      </c>
      <c r="D143" s="99" t="s">
        <v>1410</v>
      </c>
      <c r="E143" s="100">
        <v>0.48848</v>
      </c>
      <c r="F143" s="100">
        <f t="shared" si="4"/>
        <v>47</v>
      </c>
      <c r="G143" s="100">
        <v>47.48848</v>
      </c>
      <c r="H143" s="101" t="s">
        <v>1411</v>
      </c>
      <c r="I143" s="98" t="s">
        <v>992</v>
      </c>
      <c r="J143" s="98" t="s">
        <v>1209</v>
      </c>
      <c r="K143" s="98">
        <v>2120806</v>
      </c>
    </row>
    <row r="144" s="84" customFormat="1" ht="26.1" customHeight="1" spans="1:11">
      <c r="A144" s="98">
        <v>134</v>
      </c>
      <c r="B144" s="98" t="s">
        <v>1205</v>
      </c>
      <c r="C144" s="98" t="s">
        <v>1238</v>
      </c>
      <c r="D144" s="99" t="s">
        <v>1412</v>
      </c>
      <c r="E144" s="100">
        <v>10</v>
      </c>
      <c r="F144" s="100">
        <f t="shared" si="4"/>
        <v>-10</v>
      </c>
      <c r="G144" s="100">
        <v>0</v>
      </c>
      <c r="H144" s="101"/>
      <c r="I144" s="98" t="s">
        <v>992</v>
      </c>
      <c r="J144" s="98" t="s">
        <v>1209</v>
      </c>
      <c r="K144" s="98">
        <v>2120806</v>
      </c>
    </row>
    <row r="145" s="84" customFormat="1" ht="26.1" customHeight="1" spans="1:11">
      <c r="A145" s="98">
        <v>135</v>
      </c>
      <c r="B145" s="98" t="s">
        <v>1205</v>
      </c>
      <c r="C145" s="98" t="s">
        <v>1238</v>
      </c>
      <c r="D145" s="99" t="s">
        <v>1413</v>
      </c>
      <c r="E145" s="100">
        <v>28</v>
      </c>
      <c r="F145" s="100">
        <f t="shared" si="4"/>
        <v>-11.2</v>
      </c>
      <c r="G145" s="100">
        <v>16.8</v>
      </c>
      <c r="H145" s="101"/>
      <c r="I145" s="98" t="s">
        <v>992</v>
      </c>
      <c r="J145" s="98" t="s">
        <v>1209</v>
      </c>
      <c r="K145" s="98">
        <v>2120806</v>
      </c>
    </row>
    <row r="146" s="84" customFormat="1" ht="26.1" customHeight="1" spans="1:11">
      <c r="A146" s="98">
        <v>136</v>
      </c>
      <c r="B146" s="98" t="s">
        <v>1205</v>
      </c>
      <c r="C146" s="98" t="s">
        <v>1238</v>
      </c>
      <c r="D146" s="99" t="s">
        <v>1414</v>
      </c>
      <c r="E146" s="100">
        <v>46</v>
      </c>
      <c r="F146" s="100">
        <f t="shared" si="4"/>
        <v>-46</v>
      </c>
      <c r="G146" s="100">
        <v>0</v>
      </c>
      <c r="H146" s="101"/>
      <c r="I146" s="98" t="s">
        <v>992</v>
      </c>
      <c r="J146" s="98" t="s">
        <v>1209</v>
      </c>
      <c r="K146" s="98">
        <v>2120806</v>
      </c>
    </row>
    <row r="147" s="84" customFormat="1" ht="26.1" customHeight="1" spans="1:11">
      <c r="A147" s="98">
        <v>137</v>
      </c>
      <c r="B147" s="98" t="s">
        <v>1205</v>
      </c>
      <c r="C147" s="98" t="s">
        <v>1238</v>
      </c>
      <c r="D147" s="99" t="s">
        <v>1415</v>
      </c>
      <c r="E147" s="100">
        <v>17.4</v>
      </c>
      <c r="F147" s="100">
        <f t="shared" si="4"/>
        <v>-17.4</v>
      </c>
      <c r="G147" s="100">
        <v>0</v>
      </c>
      <c r="H147" s="101"/>
      <c r="I147" s="98" t="s">
        <v>992</v>
      </c>
      <c r="J147" s="98" t="s">
        <v>1209</v>
      </c>
      <c r="K147" s="98">
        <v>21211</v>
      </c>
    </row>
    <row r="148" s="84" customFormat="1" ht="26.1" customHeight="1" spans="1:11">
      <c r="A148" s="98">
        <v>138</v>
      </c>
      <c r="B148" s="98" t="s">
        <v>1205</v>
      </c>
      <c r="C148" s="98" t="s">
        <v>1238</v>
      </c>
      <c r="D148" s="99" t="s">
        <v>1416</v>
      </c>
      <c r="E148" s="100">
        <v>18</v>
      </c>
      <c r="F148" s="100">
        <f t="shared" si="4"/>
        <v>0</v>
      </c>
      <c r="G148" s="100">
        <v>18</v>
      </c>
      <c r="H148" s="101"/>
      <c r="I148" s="98" t="s">
        <v>992</v>
      </c>
      <c r="J148" s="98" t="s">
        <v>1209</v>
      </c>
      <c r="K148" s="98">
        <v>2120806</v>
      </c>
    </row>
    <row r="149" s="84" customFormat="1" ht="26.1" customHeight="1" spans="1:11">
      <c r="A149" s="98">
        <v>139</v>
      </c>
      <c r="B149" s="98" t="s">
        <v>1307</v>
      </c>
      <c r="C149" s="98" t="s">
        <v>1417</v>
      </c>
      <c r="D149" s="99" t="s">
        <v>1418</v>
      </c>
      <c r="E149" s="100">
        <v>10</v>
      </c>
      <c r="F149" s="100">
        <f t="shared" si="4"/>
        <v>-10</v>
      </c>
      <c r="G149" s="100">
        <v>0</v>
      </c>
      <c r="H149" s="101" t="s">
        <v>1419</v>
      </c>
      <c r="I149" s="98" t="s">
        <v>992</v>
      </c>
      <c r="J149" s="98" t="s">
        <v>1209</v>
      </c>
      <c r="K149" s="98">
        <v>2120811</v>
      </c>
    </row>
    <row r="150" s="84" customFormat="1" ht="26.1" customHeight="1" spans="1:11">
      <c r="A150" s="98">
        <v>140</v>
      </c>
      <c r="B150" s="98" t="s">
        <v>1307</v>
      </c>
      <c r="C150" s="98" t="s">
        <v>1417</v>
      </c>
      <c r="D150" s="99" t="s">
        <v>1420</v>
      </c>
      <c r="E150" s="100">
        <v>80</v>
      </c>
      <c r="F150" s="100">
        <f t="shared" si="4"/>
        <v>-80</v>
      </c>
      <c r="G150" s="100">
        <v>0</v>
      </c>
      <c r="H150" s="101" t="s">
        <v>1421</v>
      </c>
      <c r="I150" s="98" t="s">
        <v>992</v>
      </c>
      <c r="J150" s="98" t="s">
        <v>1209</v>
      </c>
      <c r="K150" s="98">
        <v>2120811</v>
      </c>
    </row>
    <row r="151" ht="26.1" customHeight="1" spans="1:11">
      <c r="A151" s="98">
        <v>141</v>
      </c>
      <c r="B151" s="98" t="s">
        <v>1307</v>
      </c>
      <c r="C151" s="98" t="s">
        <v>488</v>
      </c>
      <c r="D151" s="99" t="s">
        <v>1422</v>
      </c>
      <c r="E151" s="100">
        <v>578.04</v>
      </c>
      <c r="F151" s="100">
        <f t="shared" si="4"/>
        <v>-501.04</v>
      </c>
      <c r="G151" s="100">
        <v>77</v>
      </c>
      <c r="H151" s="101" t="s">
        <v>1423</v>
      </c>
      <c r="I151" s="98" t="s">
        <v>992</v>
      </c>
      <c r="J151" s="98" t="s">
        <v>1209</v>
      </c>
      <c r="K151" s="98">
        <v>2120811</v>
      </c>
    </row>
    <row r="152" ht="26.1" customHeight="1" spans="1:11">
      <c r="A152" s="98">
        <v>142</v>
      </c>
      <c r="B152" s="98" t="s">
        <v>1307</v>
      </c>
      <c r="C152" s="98" t="s">
        <v>488</v>
      </c>
      <c r="D152" s="99" t="s">
        <v>1424</v>
      </c>
      <c r="E152" s="100">
        <v>1524.86</v>
      </c>
      <c r="F152" s="100">
        <f t="shared" si="4"/>
        <v>0</v>
      </c>
      <c r="G152" s="100">
        <v>1524.86</v>
      </c>
      <c r="H152" s="101"/>
      <c r="I152" s="98" t="s">
        <v>992</v>
      </c>
      <c r="J152" s="98" t="s">
        <v>1209</v>
      </c>
      <c r="K152" s="98">
        <v>2120899</v>
      </c>
    </row>
    <row r="153" ht="26.1" customHeight="1" spans="1:11">
      <c r="A153" s="98">
        <v>143</v>
      </c>
      <c r="B153" s="98" t="s">
        <v>1425</v>
      </c>
      <c r="C153" s="124" t="s">
        <v>521</v>
      </c>
      <c r="D153" s="125" t="s">
        <v>1426</v>
      </c>
      <c r="E153" s="100">
        <v>2079.48</v>
      </c>
      <c r="F153" s="100">
        <f t="shared" ref="F153:F169" si="5">G153-E153</f>
        <v>0</v>
      </c>
      <c r="G153" s="100">
        <v>2079.48</v>
      </c>
      <c r="H153" s="101"/>
      <c r="I153" s="98" t="s">
        <v>992</v>
      </c>
      <c r="J153" s="128" t="s">
        <v>1209</v>
      </c>
      <c r="K153" s="128">
        <v>2120804</v>
      </c>
    </row>
    <row r="154" s="84" customFormat="1" ht="26.1" customHeight="1" spans="1:15">
      <c r="A154" s="98">
        <v>144</v>
      </c>
      <c r="B154" s="126" t="s">
        <v>1425</v>
      </c>
      <c r="C154" s="98" t="s">
        <v>488</v>
      </c>
      <c r="D154" s="125" t="s">
        <v>1427</v>
      </c>
      <c r="E154" s="100">
        <v>8174.09</v>
      </c>
      <c r="F154" s="100">
        <f t="shared" si="5"/>
        <v>-0.00399999999990541</v>
      </c>
      <c r="G154" s="100">
        <v>8174.086</v>
      </c>
      <c r="H154" s="101"/>
      <c r="I154" s="98" t="s">
        <v>992</v>
      </c>
      <c r="J154" s="98" t="s">
        <v>1209</v>
      </c>
      <c r="K154" s="117" t="s">
        <v>1428</v>
      </c>
      <c r="O154" s="85"/>
    </row>
    <row r="155" s="84" customFormat="1" ht="26.1" customHeight="1" spans="1:15">
      <c r="A155" s="98">
        <v>145</v>
      </c>
      <c r="B155" s="126" t="s">
        <v>1425</v>
      </c>
      <c r="C155" s="98" t="s">
        <v>488</v>
      </c>
      <c r="D155" s="125" t="s">
        <v>1429</v>
      </c>
      <c r="E155" s="100">
        <v>103.07985</v>
      </c>
      <c r="F155" s="100">
        <f t="shared" si="5"/>
        <v>-0.0711449999999871</v>
      </c>
      <c r="G155" s="100">
        <v>103.008705</v>
      </c>
      <c r="H155" s="101"/>
      <c r="I155" s="98" t="s">
        <v>992</v>
      </c>
      <c r="J155" s="98" t="s">
        <v>1209</v>
      </c>
      <c r="K155" s="117" t="s">
        <v>1430</v>
      </c>
      <c r="O155" s="85"/>
    </row>
    <row r="156" s="84" customFormat="1" ht="26.1" customHeight="1" spans="1:17">
      <c r="A156" s="102" t="s">
        <v>1431</v>
      </c>
      <c r="B156" s="102"/>
      <c r="C156" s="102"/>
      <c r="D156" s="102"/>
      <c r="E156" s="103">
        <f>SUM(E114:E155)</f>
        <v>15843.05833</v>
      </c>
      <c r="F156" s="103">
        <f t="shared" si="5"/>
        <v>-2502.286035</v>
      </c>
      <c r="G156" s="103">
        <f>SUM(G114:G155)</f>
        <v>13340.772295</v>
      </c>
      <c r="H156" s="104"/>
      <c r="I156" s="102"/>
      <c r="J156" s="102"/>
      <c r="K156" s="102"/>
      <c r="O156" s="85"/>
      <c r="P156" s="85"/>
      <c r="Q156" s="85"/>
    </row>
    <row r="157" s="84" customFormat="1" ht="26.1" customHeight="1" spans="1:17">
      <c r="A157" s="98">
        <v>146</v>
      </c>
      <c r="B157" s="98" t="s">
        <v>1263</v>
      </c>
      <c r="C157" s="98" t="s">
        <v>488</v>
      </c>
      <c r="D157" s="99" t="s">
        <v>1432</v>
      </c>
      <c r="E157" s="100">
        <v>200</v>
      </c>
      <c r="F157" s="100">
        <f t="shared" si="5"/>
        <v>-200</v>
      </c>
      <c r="G157" s="100">
        <v>0</v>
      </c>
      <c r="H157" s="101"/>
      <c r="I157" s="98" t="s">
        <v>1363</v>
      </c>
      <c r="J157" s="98" t="s">
        <v>1209</v>
      </c>
      <c r="K157" s="98">
        <v>2120899</v>
      </c>
      <c r="O157" s="85"/>
      <c r="P157" s="85"/>
      <c r="Q157" s="85"/>
    </row>
    <row r="158" ht="54.95" customHeight="1" spans="1:11">
      <c r="A158" s="98">
        <v>147</v>
      </c>
      <c r="B158" s="98" t="s">
        <v>1307</v>
      </c>
      <c r="C158" s="98" t="s">
        <v>488</v>
      </c>
      <c r="D158" s="125" t="s">
        <v>1433</v>
      </c>
      <c r="E158" s="100">
        <v>3000</v>
      </c>
      <c r="F158" s="100">
        <f t="shared" si="5"/>
        <v>-903.9742</v>
      </c>
      <c r="G158" s="100">
        <v>2096.0258</v>
      </c>
      <c r="H158" s="101" t="s">
        <v>1434</v>
      </c>
      <c r="I158" s="98" t="s">
        <v>1298</v>
      </c>
      <c r="J158" s="98" t="s">
        <v>1209</v>
      </c>
      <c r="K158" s="98">
        <v>2120803</v>
      </c>
    </row>
    <row r="159" s="84" customFormat="1" ht="26.1" customHeight="1" spans="1:17">
      <c r="A159" s="98">
        <v>148</v>
      </c>
      <c r="B159" s="98" t="s">
        <v>1205</v>
      </c>
      <c r="C159" s="98" t="s">
        <v>488</v>
      </c>
      <c r="D159" s="99" t="s">
        <v>1435</v>
      </c>
      <c r="E159" s="100">
        <v>1500</v>
      </c>
      <c r="F159" s="100">
        <f t="shared" si="5"/>
        <v>-445</v>
      </c>
      <c r="G159" s="100">
        <v>1055</v>
      </c>
      <c r="H159" s="101"/>
      <c r="I159" s="98" t="s">
        <v>992</v>
      </c>
      <c r="J159" s="98" t="s">
        <v>1209</v>
      </c>
      <c r="K159" s="98">
        <v>2120801</v>
      </c>
      <c r="O159" s="85"/>
      <c r="P159" s="85"/>
      <c r="Q159" s="85"/>
    </row>
    <row r="160" s="84" customFormat="1" ht="26.1" customHeight="1" spans="1:17">
      <c r="A160" s="102" t="s">
        <v>1436</v>
      </c>
      <c r="B160" s="102"/>
      <c r="C160" s="102"/>
      <c r="D160" s="102"/>
      <c r="E160" s="103">
        <f>SUM(E157:E159)</f>
        <v>4700</v>
      </c>
      <c r="F160" s="103">
        <f t="shared" si="5"/>
        <v>-1548.9742</v>
      </c>
      <c r="G160" s="103">
        <f>SUM(G157:G159)</f>
        <v>3151.0258</v>
      </c>
      <c r="H160" s="104"/>
      <c r="I160" s="102"/>
      <c r="J160" s="102"/>
      <c r="K160" s="102"/>
      <c r="O160" s="85"/>
      <c r="P160" s="85"/>
      <c r="Q160" s="85"/>
    </row>
    <row r="161" s="84" customFormat="1" ht="26.1" customHeight="1" spans="1:17">
      <c r="A161" s="102" t="s">
        <v>1004</v>
      </c>
      <c r="B161" s="102"/>
      <c r="C161" s="102"/>
      <c r="D161" s="102"/>
      <c r="E161" s="103">
        <f>E8+E46+E60+E100+E113+E156+E160</f>
        <v>274944.169829</v>
      </c>
      <c r="F161" s="103">
        <f t="shared" si="5"/>
        <v>-124620.080503</v>
      </c>
      <c r="G161" s="103">
        <f>G8+G46+G60+G100+G113+G156+G160</f>
        <v>150324.089326</v>
      </c>
      <c r="H161" s="104"/>
      <c r="I161" s="102"/>
      <c r="J161" s="102"/>
      <c r="K161" s="102"/>
      <c r="O161" s="85"/>
      <c r="P161" s="85"/>
      <c r="Q161" s="85"/>
    </row>
    <row r="162" ht="26.1" customHeight="1" spans="1:11">
      <c r="A162" s="98">
        <v>149</v>
      </c>
      <c r="B162" s="98" t="s">
        <v>1301</v>
      </c>
      <c r="C162" s="98" t="s">
        <v>1238</v>
      </c>
      <c r="D162" s="99" t="s">
        <v>1437</v>
      </c>
      <c r="E162" s="100">
        <v>260</v>
      </c>
      <c r="F162" s="100">
        <f t="shared" si="5"/>
        <v>-188.06</v>
      </c>
      <c r="G162" s="100">
        <v>71.94</v>
      </c>
      <c r="H162" s="101"/>
      <c r="I162" s="98" t="s">
        <v>992</v>
      </c>
      <c r="J162" s="98" t="s">
        <v>1438</v>
      </c>
      <c r="K162" s="98">
        <v>2121399</v>
      </c>
    </row>
    <row r="163" ht="26.1" customHeight="1" spans="1:11">
      <c r="A163" s="98">
        <v>150</v>
      </c>
      <c r="B163" s="98" t="s">
        <v>1301</v>
      </c>
      <c r="C163" s="98" t="s">
        <v>1238</v>
      </c>
      <c r="D163" s="99" t="s">
        <v>1439</v>
      </c>
      <c r="E163" s="100">
        <v>269.8</v>
      </c>
      <c r="F163" s="100">
        <f t="shared" si="5"/>
        <v>-269.8</v>
      </c>
      <c r="G163" s="100">
        <v>0</v>
      </c>
      <c r="H163" s="101"/>
      <c r="I163" s="98" t="s">
        <v>992</v>
      </c>
      <c r="J163" s="98" t="s">
        <v>1438</v>
      </c>
      <c r="K163" s="98">
        <v>2121399</v>
      </c>
    </row>
    <row r="164" ht="26.1" customHeight="1" spans="1:11">
      <c r="A164" s="98">
        <v>151</v>
      </c>
      <c r="B164" s="98" t="s">
        <v>1301</v>
      </c>
      <c r="C164" s="98" t="s">
        <v>1238</v>
      </c>
      <c r="D164" s="99" t="s">
        <v>1440</v>
      </c>
      <c r="E164" s="100">
        <v>546</v>
      </c>
      <c r="F164" s="100">
        <f t="shared" si="5"/>
        <v>-546</v>
      </c>
      <c r="G164" s="100">
        <v>0</v>
      </c>
      <c r="H164" s="101"/>
      <c r="I164" s="98" t="s">
        <v>992</v>
      </c>
      <c r="J164" s="98" t="s">
        <v>1438</v>
      </c>
      <c r="K164" s="98">
        <v>2121399</v>
      </c>
    </row>
    <row r="165" ht="26.1" customHeight="1" spans="1:11">
      <c r="A165" s="98">
        <v>152</v>
      </c>
      <c r="B165" s="98" t="s">
        <v>1301</v>
      </c>
      <c r="C165" s="98" t="s">
        <v>1238</v>
      </c>
      <c r="D165" s="99" t="s">
        <v>1441</v>
      </c>
      <c r="E165" s="100">
        <v>16</v>
      </c>
      <c r="F165" s="100">
        <f t="shared" si="5"/>
        <v>0</v>
      </c>
      <c r="G165" s="100">
        <v>16</v>
      </c>
      <c r="H165" s="101"/>
      <c r="I165" s="98" t="s">
        <v>992</v>
      </c>
      <c r="J165" s="98" t="s">
        <v>1438</v>
      </c>
      <c r="K165" s="98">
        <v>2121399</v>
      </c>
    </row>
    <row r="166" ht="26.1" customHeight="1" spans="1:11">
      <c r="A166" s="98">
        <v>153</v>
      </c>
      <c r="B166" s="98" t="s">
        <v>1301</v>
      </c>
      <c r="C166" s="98" t="s">
        <v>1238</v>
      </c>
      <c r="D166" s="99" t="s">
        <v>1442</v>
      </c>
      <c r="E166" s="100">
        <v>9.84</v>
      </c>
      <c r="F166" s="100">
        <f t="shared" si="5"/>
        <v>0</v>
      </c>
      <c r="G166" s="100">
        <v>9.84</v>
      </c>
      <c r="H166" s="101"/>
      <c r="I166" s="98" t="s">
        <v>992</v>
      </c>
      <c r="J166" s="98" t="s">
        <v>1438</v>
      </c>
      <c r="K166" s="98">
        <v>2121399</v>
      </c>
    </row>
    <row r="167" ht="26.1" customHeight="1" spans="1:11">
      <c r="A167" s="98">
        <v>154</v>
      </c>
      <c r="B167" s="98" t="s">
        <v>1301</v>
      </c>
      <c r="C167" s="98" t="s">
        <v>1238</v>
      </c>
      <c r="D167" s="99" t="s">
        <v>1443</v>
      </c>
      <c r="E167" s="100">
        <v>99.6</v>
      </c>
      <c r="F167" s="100">
        <f t="shared" si="5"/>
        <v>-99.6</v>
      </c>
      <c r="G167" s="100">
        <v>0</v>
      </c>
      <c r="H167" s="101"/>
      <c r="I167" s="98" t="s">
        <v>992</v>
      </c>
      <c r="J167" s="98" t="s">
        <v>1438</v>
      </c>
      <c r="K167" s="98">
        <v>2121399</v>
      </c>
    </row>
    <row r="168" ht="26.1" customHeight="1" spans="1:11">
      <c r="A168" s="98">
        <v>155</v>
      </c>
      <c r="B168" s="98" t="s">
        <v>1301</v>
      </c>
      <c r="C168" s="98" t="s">
        <v>1238</v>
      </c>
      <c r="D168" s="99" t="s">
        <v>1444</v>
      </c>
      <c r="E168" s="100">
        <v>189.5</v>
      </c>
      <c r="F168" s="100">
        <f t="shared" si="5"/>
        <v>0</v>
      </c>
      <c r="G168" s="100">
        <v>189.5</v>
      </c>
      <c r="H168" s="101"/>
      <c r="I168" s="98" t="s">
        <v>992</v>
      </c>
      <c r="J168" s="98" t="s">
        <v>1438</v>
      </c>
      <c r="K168" s="98">
        <v>2121399</v>
      </c>
    </row>
    <row r="169" ht="26.1" customHeight="1" spans="1:11">
      <c r="A169" s="98">
        <v>156</v>
      </c>
      <c r="B169" s="127"/>
      <c r="C169" s="98" t="s">
        <v>1238</v>
      </c>
      <c r="D169" s="99" t="s">
        <v>1445</v>
      </c>
      <c r="E169" s="100">
        <v>0</v>
      </c>
      <c r="F169" s="100">
        <f t="shared" si="5"/>
        <v>27</v>
      </c>
      <c r="G169" s="100">
        <v>27</v>
      </c>
      <c r="H169" s="101"/>
      <c r="I169" s="98"/>
      <c r="J169" s="98"/>
      <c r="K169" s="98"/>
    </row>
    <row r="170" ht="26.1" customHeight="1" spans="1:11">
      <c r="A170" s="98">
        <v>157</v>
      </c>
      <c r="B170" s="98" t="s">
        <v>1307</v>
      </c>
      <c r="C170" s="98" t="s">
        <v>1349</v>
      </c>
      <c r="D170" s="99" t="s">
        <v>1446</v>
      </c>
      <c r="E170" s="100">
        <v>21.195009</v>
      </c>
      <c r="F170" s="100">
        <f t="shared" ref="F170:F197" si="6">G170-E170</f>
        <v>0</v>
      </c>
      <c r="G170" s="100">
        <v>21.195009</v>
      </c>
      <c r="H170" s="101"/>
      <c r="I170" s="98" t="s">
        <v>992</v>
      </c>
      <c r="J170" s="98" t="s">
        <v>1438</v>
      </c>
      <c r="K170" s="98">
        <v>2121399</v>
      </c>
    </row>
    <row r="171" ht="26.1" customHeight="1" spans="1:11">
      <c r="A171" s="98">
        <v>158</v>
      </c>
      <c r="B171" s="98" t="s">
        <v>1307</v>
      </c>
      <c r="C171" s="98" t="s">
        <v>1447</v>
      </c>
      <c r="D171" s="99" t="s">
        <v>1448</v>
      </c>
      <c r="E171" s="100">
        <v>11.21</v>
      </c>
      <c r="F171" s="100">
        <f t="shared" si="6"/>
        <v>-11.21</v>
      </c>
      <c r="G171" s="100">
        <v>0</v>
      </c>
      <c r="H171" s="101" t="s">
        <v>1449</v>
      </c>
      <c r="I171" s="98" t="s">
        <v>992</v>
      </c>
      <c r="J171" s="98" t="s">
        <v>1438</v>
      </c>
      <c r="K171" s="98">
        <v>2121399</v>
      </c>
    </row>
    <row r="172" ht="26.1" customHeight="1" spans="1:11">
      <c r="A172" s="98">
        <v>159</v>
      </c>
      <c r="B172" s="98" t="s">
        <v>1278</v>
      </c>
      <c r="C172" s="98" t="s">
        <v>1447</v>
      </c>
      <c r="D172" s="99" t="s">
        <v>1450</v>
      </c>
      <c r="E172" s="100">
        <v>300</v>
      </c>
      <c r="F172" s="100">
        <f t="shared" si="6"/>
        <v>0</v>
      </c>
      <c r="G172" s="100">
        <v>300</v>
      </c>
      <c r="H172" s="101"/>
      <c r="I172" s="98" t="s">
        <v>992</v>
      </c>
      <c r="J172" s="98" t="s">
        <v>1438</v>
      </c>
      <c r="K172" s="98">
        <v>2121301</v>
      </c>
    </row>
    <row r="173" ht="26.1" customHeight="1" spans="1:11">
      <c r="A173" s="98">
        <v>160</v>
      </c>
      <c r="B173" s="98" t="s">
        <v>1278</v>
      </c>
      <c r="C173" s="98" t="s">
        <v>1447</v>
      </c>
      <c r="D173" s="99" t="s">
        <v>1451</v>
      </c>
      <c r="E173" s="100">
        <v>1854.696</v>
      </c>
      <c r="F173" s="100">
        <f t="shared" si="6"/>
        <v>-828.326</v>
      </c>
      <c r="G173" s="100">
        <v>1026.37</v>
      </c>
      <c r="H173" s="101"/>
      <c r="I173" s="98" t="s">
        <v>992</v>
      </c>
      <c r="J173" s="98" t="s">
        <v>1438</v>
      </c>
      <c r="K173" s="98">
        <v>2121302</v>
      </c>
    </row>
    <row r="174" ht="26.1" customHeight="1" spans="1:11">
      <c r="A174" s="98">
        <v>161</v>
      </c>
      <c r="B174" s="98" t="s">
        <v>1278</v>
      </c>
      <c r="C174" s="98" t="s">
        <v>1235</v>
      </c>
      <c r="D174" s="99" t="s">
        <v>1452</v>
      </c>
      <c r="E174" s="100">
        <v>69.48</v>
      </c>
      <c r="F174" s="100">
        <f t="shared" si="6"/>
        <v>-69.48</v>
      </c>
      <c r="G174" s="100">
        <v>0</v>
      </c>
      <c r="H174" s="101"/>
      <c r="I174" s="98" t="s">
        <v>992</v>
      </c>
      <c r="J174" s="98" t="s">
        <v>1438</v>
      </c>
      <c r="K174" s="98">
        <v>2121301</v>
      </c>
    </row>
    <row r="175" ht="26.1" customHeight="1" spans="1:11">
      <c r="A175" s="98">
        <v>162</v>
      </c>
      <c r="B175" s="98" t="s">
        <v>1278</v>
      </c>
      <c r="C175" s="98" t="s">
        <v>1453</v>
      </c>
      <c r="D175" s="99" t="s">
        <v>1454</v>
      </c>
      <c r="E175" s="100">
        <v>938.934</v>
      </c>
      <c r="F175" s="100">
        <f t="shared" si="6"/>
        <v>-196.714</v>
      </c>
      <c r="G175" s="100">
        <v>742.22</v>
      </c>
      <c r="H175" s="101"/>
      <c r="I175" s="98" t="s">
        <v>992</v>
      </c>
      <c r="J175" s="98" t="s">
        <v>1438</v>
      </c>
      <c r="K175" s="98">
        <v>2121302</v>
      </c>
    </row>
    <row r="176" ht="26.1" customHeight="1" spans="1:11">
      <c r="A176" s="98">
        <v>163</v>
      </c>
      <c r="B176" s="98" t="s">
        <v>1278</v>
      </c>
      <c r="C176" s="98" t="s">
        <v>1453</v>
      </c>
      <c r="D176" s="99" t="s">
        <v>1455</v>
      </c>
      <c r="E176" s="100">
        <v>750</v>
      </c>
      <c r="F176" s="100">
        <f t="shared" si="6"/>
        <v>-536.0594</v>
      </c>
      <c r="G176" s="100">
        <v>213.9406</v>
      </c>
      <c r="H176" s="101"/>
      <c r="I176" s="98" t="s">
        <v>992</v>
      </c>
      <c r="J176" s="98" t="s">
        <v>1438</v>
      </c>
      <c r="K176" s="98">
        <v>2121302</v>
      </c>
    </row>
    <row r="177" ht="26.1" customHeight="1" spans="1:11">
      <c r="A177" s="98">
        <v>164</v>
      </c>
      <c r="B177" s="98" t="s">
        <v>1278</v>
      </c>
      <c r="C177" s="98" t="s">
        <v>1456</v>
      </c>
      <c r="D177" s="99" t="s">
        <v>1457</v>
      </c>
      <c r="E177" s="100">
        <v>19.68</v>
      </c>
      <c r="F177" s="100">
        <f t="shared" si="6"/>
        <v>0</v>
      </c>
      <c r="G177" s="100">
        <v>19.68</v>
      </c>
      <c r="H177" s="101"/>
      <c r="I177" s="98" t="s">
        <v>992</v>
      </c>
      <c r="J177" s="98" t="s">
        <v>1438</v>
      </c>
      <c r="K177" s="98">
        <v>2121302</v>
      </c>
    </row>
    <row r="178" ht="26.1" customHeight="1" spans="1:11">
      <c r="A178" s="98">
        <v>165</v>
      </c>
      <c r="B178" s="98" t="s">
        <v>1278</v>
      </c>
      <c r="C178" s="98" t="s">
        <v>1456</v>
      </c>
      <c r="D178" s="99" t="s">
        <v>1458</v>
      </c>
      <c r="E178" s="100">
        <v>19.33</v>
      </c>
      <c r="F178" s="100">
        <f t="shared" si="6"/>
        <v>0</v>
      </c>
      <c r="G178" s="100">
        <v>19.33</v>
      </c>
      <c r="H178" s="101"/>
      <c r="I178" s="98" t="s">
        <v>992</v>
      </c>
      <c r="J178" s="98" t="s">
        <v>1438</v>
      </c>
      <c r="K178" s="98">
        <v>2121302</v>
      </c>
    </row>
    <row r="179" ht="26.1" customHeight="1" spans="1:11">
      <c r="A179" s="98">
        <v>166</v>
      </c>
      <c r="B179" s="98" t="s">
        <v>1278</v>
      </c>
      <c r="C179" s="98" t="s">
        <v>1456</v>
      </c>
      <c r="D179" s="99" t="s">
        <v>1459</v>
      </c>
      <c r="E179" s="100">
        <v>180</v>
      </c>
      <c r="F179" s="100">
        <f t="shared" si="6"/>
        <v>-180</v>
      </c>
      <c r="G179" s="100">
        <v>0</v>
      </c>
      <c r="H179" s="101"/>
      <c r="I179" s="98" t="s">
        <v>992</v>
      </c>
      <c r="J179" s="98" t="s">
        <v>1438</v>
      </c>
      <c r="K179" s="98">
        <v>2121301</v>
      </c>
    </row>
    <row r="180" ht="26.1" customHeight="1" spans="1:11">
      <c r="A180" s="98">
        <v>167</v>
      </c>
      <c r="B180" s="98" t="s">
        <v>1278</v>
      </c>
      <c r="C180" s="98" t="s">
        <v>1456</v>
      </c>
      <c r="D180" s="99" t="s">
        <v>1460</v>
      </c>
      <c r="E180" s="100">
        <v>12.26</v>
      </c>
      <c r="F180" s="100">
        <f t="shared" si="6"/>
        <v>0</v>
      </c>
      <c r="G180" s="100">
        <v>12.26</v>
      </c>
      <c r="H180" s="101"/>
      <c r="I180" s="98" t="s">
        <v>992</v>
      </c>
      <c r="J180" s="98" t="s">
        <v>1438</v>
      </c>
      <c r="K180" s="98">
        <v>2121302</v>
      </c>
    </row>
    <row r="181" ht="26.1" customHeight="1" spans="1:11">
      <c r="A181" s="98">
        <v>168</v>
      </c>
      <c r="B181" s="98" t="s">
        <v>1278</v>
      </c>
      <c r="C181" s="98" t="s">
        <v>1456</v>
      </c>
      <c r="D181" s="99" t="s">
        <v>1461</v>
      </c>
      <c r="E181" s="100">
        <v>3.47</v>
      </c>
      <c r="F181" s="100">
        <f t="shared" si="6"/>
        <v>0</v>
      </c>
      <c r="G181" s="100">
        <v>3.47</v>
      </c>
      <c r="H181" s="101"/>
      <c r="I181" s="98" t="s">
        <v>992</v>
      </c>
      <c r="J181" s="98" t="s">
        <v>1438</v>
      </c>
      <c r="K181" s="98">
        <v>2121302</v>
      </c>
    </row>
    <row r="182" ht="26.1" customHeight="1" spans="1:11">
      <c r="A182" s="98">
        <v>169</v>
      </c>
      <c r="B182" s="98" t="s">
        <v>1358</v>
      </c>
      <c r="C182" s="98" t="s">
        <v>540</v>
      </c>
      <c r="D182" s="99" t="s">
        <v>1462</v>
      </c>
      <c r="E182" s="100">
        <v>100</v>
      </c>
      <c r="F182" s="100">
        <f t="shared" si="6"/>
        <v>-100</v>
      </c>
      <c r="G182" s="100">
        <v>0</v>
      </c>
      <c r="H182" s="101"/>
      <c r="I182" s="98" t="s">
        <v>992</v>
      </c>
      <c r="J182" s="98" t="s">
        <v>1438</v>
      </c>
      <c r="K182" s="98">
        <v>2121399</v>
      </c>
    </row>
    <row r="183" ht="26.1" customHeight="1" spans="1:11">
      <c r="A183" s="98">
        <v>170</v>
      </c>
      <c r="B183" s="98" t="s">
        <v>1301</v>
      </c>
      <c r="C183" s="98" t="s">
        <v>488</v>
      </c>
      <c r="D183" s="99" t="s">
        <v>1463</v>
      </c>
      <c r="E183" s="100">
        <v>100</v>
      </c>
      <c r="F183" s="100">
        <f t="shared" si="6"/>
        <v>-100</v>
      </c>
      <c r="G183" s="100">
        <v>0</v>
      </c>
      <c r="H183" s="101"/>
      <c r="I183" s="98" t="s">
        <v>992</v>
      </c>
      <c r="J183" s="98" t="s">
        <v>1438</v>
      </c>
      <c r="K183" s="98">
        <v>2121399</v>
      </c>
    </row>
    <row r="184" ht="26.1" customHeight="1" spans="1:11">
      <c r="A184" s="98">
        <v>171</v>
      </c>
      <c r="B184" s="98" t="s">
        <v>1358</v>
      </c>
      <c r="C184" s="98" t="s">
        <v>1464</v>
      </c>
      <c r="D184" s="99" t="s">
        <v>1465</v>
      </c>
      <c r="E184" s="100">
        <v>55</v>
      </c>
      <c r="F184" s="100">
        <f t="shared" si="6"/>
        <v>0</v>
      </c>
      <c r="G184" s="100">
        <v>55</v>
      </c>
      <c r="H184" s="101"/>
      <c r="I184" s="98"/>
      <c r="J184" s="98"/>
      <c r="K184" s="98"/>
    </row>
    <row r="185" ht="26.1" customHeight="1" spans="1:11">
      <c r="A185" s="102" t="s">
        <v>1466</v>
      </c>
      <c r="B185" s="102"/>
      <c r="C185" s="102"/>
      <c r="D185" s="102"/>
      <c r="E185" s="103">
        <f>SUM(E162:E184)</f>
        <v>5825.995009</v>
      </c>
      <c r="F185" s="103">
        <f t="shared" si="6"/>
        <v>-3098.2494</v>
      </c>
      <c r="G185" s="103">
        <f>SUM(G162:G184)</f>
        <v>2727.745609</v>
      </c>
      <c r="H185" s="104"/>
      <c r="I185" s="102"/>
      <c r="J185" s="102"/>
      <c r="K185" s="102"/>
    </row>
    <row r="186" ht="26.1" customHeight="1" spans="1:11">
      <c r="A186" s="98">
        <v>172</v>
      </c>
      <c r="B186" s="112" t="s">
        <v>1270</v>
      </c>
      <c r="C186" s="98" t="s">
        <v>1302</v>
      </c>
      <c r="D186" s="99" t="s">
        <v>1467</v>
      </c>
      <c r="E186" s="100">
        <v>8.1</v>
      </c>
      <c r="F186" s="100">
        <f t="shared" si="6"/>
        <v>0</v>
      </c>
      <c r="G186" s="100">
        <v>8.1</v>
      </c>
      <c r="H186" s="101"/>
      <c r="I186" s="98" t="s">
        <v>992</v>
      </c>
      <c r="J186" s="98" t="s">
        <v>1468</v>
      </c>
      <c r="K186" s="98">
        <v>2296099</v>
      </c>
    </row>
    <row r="187" ht="26.1" customHeight="1" spans="1:11">
      <c r="A187" s="98">
        <v>173</v>
      </c>
      <c r="B187" s="112" t="s">
        <v>1270</v>
      </c>
      <c r="C187" s="98" t="s">
        <v>1302</v>
      </c>
      <c r="D187" s="99" t="s">
        <v>507</v>
      </c>
      <c r="E187" s="100">
        <v>9.9</v>
      </c>
      <c r="F187" s="100">
        <f t="shared" si="6"/>
        <v>0</v>
      </c>
      <c r="G187" s="100">
        <v>9.9</v>
      </c>
      <c r="H187" s="101"/>
      <c r="I187" s="98" t="s">
        <v>992</v>
      </c>
      <c r="J187" s="98" t="s">
        <v>1468</v>
      </c>
      <c r="K187" s="98">
        <v>2296099</v>
      </c>
    </row>
    <row r="188" ht="26.1" customHeight="1" spans="1:11">
      <c r="A188" s="98">
        <v>174</v>
      </c>
      <c r="B188" s="112" t="s">
        <v>1270</v>
      </c>
      <c r="C188" s="107" t="s">
        <v>1469</v>
      </c>
      <c r="D188" s="99" t="s">
        <v>1470</v>
      </c>
      <c r="E188" s="100">
        <v>1.6</v>
      </c>
      <c r="F188" s="100">
        <f t="shared" si="6"/>
        <v>0</v>
      </c>
      <c r="G188" s="100">
        <v>1.6</v>
      </c>
      <c r="H188" s="101"/>
      <c r="I188" s="98" t="s">
        <v>992</v>
      </c>
      <c r="J188" s="98" t="s">
        <v>1468</v>
      </c>
      <c r="K188" s="98">
        <v>2296099</v>
      </c>
    </row>
    <row r="189" ht="26.1" customHeight="1" spans="1:11">
      <c r="A189" s="98">
        <v>175</v>
      </c>
      <c r="B189" s="112" t="s">
        <v>1270</v>
      </c>
      <c r="C189" s="107" t="s">
        <v>1469</v>
      </c>
      <c r="D189" s="99" t="s">
        <v>1471</v>
      </c>
      <c r="E189" s="100">
        <v>3.1</v>
      </c>
      <c r="F189" s="100">
        <f t="shared" si="6"/>
        <v>0</v>
      </c>
      <c r="G189" s="100">
        <v>3.1</v>
      </c>
      <c r="H189" s="101"/>
      <c r="I189" s="98" t="s">
        <v>992</v>
      </c>
      <c r="J189" s="98" t="s">
        <v>1468</v>
      </c>
      <c r="K189" s="98">
        <v>2296099</v>
      </c>
    </row>
    <row r="190" ht="26.1" customHeight="1" spans="1:11">
      <c r="A190" s="98">
        <v>176</v>
      </c>
      <c r="B190" s="112" t="s">
        <v>1270</v>
      </c>
      <c r="C190" s="107" t="s">
        <v>1469</v>
      </c>
      <c r="D190" s="99" t="s">
        <v>1472</v>
      </c>
      <c r="E190" s="100">
        <v>25.3</v>
      </c>
      <c r="F190" s="100">
        <f t="shared" si="6"/>
        <v>0</v>
      </c>
      <c r="G190" s="100">
        <v>25.3</v>
      </c>
      <c r="H190" s="101"/>
      <c r="I190" s="98" t="s">
        <v>992</v>
      </c>
      <c r="J190" s="98" t="s">
        <v>1468</v>
      </c>
      <c r="K190" s="98">
        <v>2296099</v>
      </c>
    </row>
    <row r="191" ht="26.1" customHeight="1" spans="1:11">
      <c r="A191" s="98">
        <v>177</v>
      </c>
      <c r="B191" s="112" t="s">
        <v>1270</v>
      </c>
      <c r="C191" s="107" t="s">
        <v>1473</v>
      </c>
      <c r="D191" s="99" t="s">
        <v>1474</v>
      </c>
      <c r="E191" s="100">
        <v>12</v>
      </c>
      <c r="F191" s="100">
        <f t="shared" si="6"/>
        <v>0</v>
      </c>
      <c r="G191" s="100">
        <v>12</v>
      </c>
      <c r="H191" s="101"/>
      <c r="I191" s="98" t="s">
        <v>992</v>
      </c>
      <c r="J191" s="98" t="s">
        <v>1468</v>
      </c>
      <c r="K191" s="98">
        <v>2296099</v>
      </c>
    </row>
    <row r="192" ht="26.1" customHeight="1" spans="1:11">
      <c r="A192" s="102" t="s">
        <v>1475</v>
      </c>
      <c r="B192" s="102"/>
      <c r="C192" s="102"/>
      <c r="D192" s="102"/>
      <c r="E192" s="103">
        <f>SUM(E186:E191)</f>
        <v>60</v>
      </c>
      <c r="F192" s="103">
        <f t="shared" si="6"/>
        <v>0</v>
      </c>
      <c r="G192" s="103">
        <f>SUM(G186:G191)</f>
        <v>60</v>
      </c>
      <c r="H192" s="104"/>
      <c r="I192" s="102"/>
      <c r="J192" s="102"/>
      <c r="K192" s="102"/>
    </row>
    <row r="193" ht="26.1" customHeight="1" spans="1:11">
      <c r="A193" s="129" t="s">
        <v>1476</v>
      </c>
      <c r="B193" s="130"/>
      <c r="C193" s="130"/>
      <c r="D193" s="131"/>
      <c r="E193" s="103">
        <v>95000</v>
      </c>
      <c r="F193" s="103">
        <f t="shared" si="6"/>
        <v>0</v>
      </c>
      <c r="G193" s="103">
        <v>95000</v>
      </c>
      <c r="H193" s="104"/>
      <c r="I193" s="102"/>
      <c r="J193" s="102"/>
      <c r="K193" s="102"/>
    </row>
    <row r="194" ht="26.1" customHeight="1" spans="1:11">
      <c r="A194" s="102" t="s">
        <v>1477</v>
      </c>
      <c r="B194" s="102"/>
      <c r="C194" s="102"/>
      <c r="D194" s="102"/>
      <c r="E194" s="103">
        <f>E161+E185+E192+E193</f>
        <v>375830.164838</v>
      </c>
      <c r="F194" s="103">
        <f t="shared" si="6"/>
        <v>-127718.329903</v>
      </c>
      <c r="G194" s="103">
        <f>G161+G185+G192+G193</f>
        <v>248111.834935</v>
      </c>
      <c r="H194" s="104"/>
      <c r="I194" s="102"/>
      <c r="J194" s="102"/>
      <c r="K194" s="102"/>
    </row>
    <row r="195" s="85" customFormat="1" ht="26.1" customHeight="1" spans="1:11">
      <c r="A195" s="102" t="s">
        <v>1478</v>
      </c>
      <c r="B195" s="102"/>
      <c r="C195" s="102"/>
      <c r="D195" s="102"/>
      <c r="E195" s="103">
        <v>47900</v>
      </c>
      <c r="F195" s="103">
        <f t="shared" si="6"/>
        <v>-12276</v>
      </c>
      <c r="G195" s="103">
        <v>35624</v>
      </c>
      <c r="H195" s="104"/>
      <c r="I195" s="102"/>
      <c r="J195" s="102"/>
      <c r="K195" s="102"/>
    </row>
    <row r="196" s="85" customFormat="1" ht="26.1" customHeight="1" spans="1:11">
      <c r="A196" s="102" t="s">
        <v>1479</v>
      </c>
      <c r="B196" s="102"/>
      <c r="C196" s="102"/>
      <c r="D196" s="102"/>
      <c r="E196" s="103">
        <f>E194+E195</f>
        <v>423730.164838</v>
      </c>
      <c r="F196" s="103">
        <f t="shared" si="6"/>
        <v>-139994.329903</v>
      </c>
      <c r="G196" s="103">
        <f>G194+G195</f>
        <v>283735.834935</v>
      </c>
      <c r="H196" s="104"/>
      <c r="I196" s="102"/>
      <c r="J196" s="102"/>
      <c r="K196" s="102"/>
    </row>
    <row r="197" s="85" customFormat="1" ht="26.1" customHeight="1" spans="1:11">
      <c r="A197" s="102" t="s">
        <v>1480</v>
      </c>
      <c r="B197" s="102"/>
      <c r="C197" s="102"/>
      <c r="D197" s="102"/>
      <c r="E197" s="103">
        <f>E196-E8</f>
        <v>282430.164838</v>
      </c>
      <c r="F197" s="103">
        <f t="shared" si="6"/>
        <v>-63239.329903</v>
      </c>
      <c r="G197" s="103">
        <f>G196-G8</f>
        <v>219190.834935</v>
      </c>
      <c r="H197" s="104"/>
      <c r="I197" s="102"/>
      <c r="J197" s="102"/>
      <c r="K197" s="102"/>
    </row>
  </sheetData>
  <autoFilter xmlns:etc="http://www.wps.cn/officeDocument/2017/etCustomData" ref="A5:Q197" etc:filterBottomFollowUsedRange="0">
    <extLst/>
  </autoFilter>
  <mergeCells count="28">
    <mergeCell ref="A2:H2"/>
    <mergeCell ref="A8:D8"/>
    <mergeCell ref="A46:D46"/>
    <mergeCell ref="A60:D60"/>
    <mergeCell ref="A100:D100"/>
    <mergeCell ref="A113:D113"/>
    <mergeCell ref="A156:D156"/>
    <mergeCell ref="A160:D160"/>
    <mergeCell ref="A161:D161"/>
    <mergeCell ref="A185:D185"/>
    <mergeCell ref="A192:D192"/>
    <mergeCell ref="A193:D193"/>
    <mergeCell ref="A194:D194"/>
    <mergeCell ref="A195:D195"/>
    <mergeCell ref="A196:D196"/>
    <mergeCell ref="A197:D197"/>
    <mergeCell ref="A4:A5"/>
    <mergeCell ref="B4:B5"/>
    <mergeCell ref="C4:C5"/>
    <mergeCell ref="D4:D5"/>
    <mergeCell ref="E4:E5"/>
    <mergeCell ref="F4:F5"/>
    <mergeCell ref="G4:G5"/>
    <mergeCell ref="H4:H5"/>
    <mergeCell ref="H96:H97"/>
    <mergeCell ref="I4:I5"/>
    <mergeCell ref="J4:J5"/>
    <mergeCell ref="K4:K5"/>
  </mergeCells>
  <printOptions horizontalCentered="1"/>
  <pageMargins left="0.393055555555556" right="0.393055555555556" top="0.393055555555556" bottom="0.590277777777778" header="0.196527777777778" footer="0.196527777777778"/>
  <pageSetup paperSize="9" scale="79" fitToHeight="0" orientation="landscape" useFirstPageNumber="1"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预算调整封面</vt:lpstr>
      <vt:lpstr>公共财政预算收入（附表1)</vt:lpstr>
      <vt:lpstr>公共财政预算支出计划调整表（附表2）</vt:lpstr>
      <vt:lpstr>公共财政项目调整表（附表3）</vt:lpstr>
      <vt:lpstr>财力性补助收入（附件4）</vt:lpstr>
      <vt:lpstr>基金收入科目（附表5）</vt:lpstr>
      <vt:lpstr>基金收入项目（附表6）</vt:lpstr>
      <vt:lpstr>基金支出科目（附表7）</vt:lpstr>
      <vt:lpstr>基金支出项目（附表8）</vt:lpstr>
      <vt:lpstr>盘活存量资金收支表（附表9）</vt:lpstr>
      <vt:lpstr>国有资本经营收入表（附表10）</vt:lpstr>
      <vt:lpstr>国有资本经营支出表（附表11）</vt:lpstr>
      <vt:lpstr>社会保险基金收入表（附表12）</vt:lpstr>
      <vt:lpstr>社会保险基金支出表（附表13）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大云朵</cp:lastModifiedBy>
  <dcterms:created xsi:type="dcterms:W3CDTF">1996-12-17T01:32:00Z</dcterms:created>
  <cp:lastPrinted>2018-08-26T12:40:00Z</cp:lastPrinted>
  <dcterms:modified xsi:type="dcterms:W3CDTF">2024-09-30T11:11:25Z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ubyTemplateID">
    <vt:lpwstr>14</vt:lpwstr>
  </property>
  <property fmtid="{D5CDD505-2E9C-101B-9397-08002B2CF9AE}" pid="4" name="KSOReadingLayout">
    <vt:bool>true</vt:bool>
  </property>
  <property fmtid="{D5CDD505-2E9C-101B-9397-08002B2CF9AE}" pid="5" name="ICV">
    <vt:lpwstr>D8290DE9C9CB46A19DC41D50B0467611_12</vt:lpwstr>
  </property>
</Properties>
</file>