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225" tabRatio="722" firstSheet="10" activeTab="14"/>
  </bookViews>
  <sheets>
    <sheet name="封面" sheetId="8" r:id="rId1"/>
    <sheet name="目录" sheetId="9" r:id="rId2"/>
    <sheet name="（附表1）公共财政预算收入" sheetId="18" r:id="rId3"/>
    <sheet name="（附表2）公共预算支出科目" sheetId="25" r:id="rId4"/>
    <sheet name="（附表3）公共预算支出项目" sheetId="5" r:id="rId5"/>
    <sheet name="（附表4）财力性补助" sheetId="21" r:id="rId6"/>
    <sheet name="（附表5）政府性基金预算收入科目" sheetId="20" r:id="rId7"/>
    <sheet name="（附表6）政府性基金预算收入项目" sheetId="15" r:id="rId8"/>
    <sheet name="（附表7）政府性基金预算支出科目" sheetId="14" r:id="rId9"/>
    <sheet name="（附表8）政府性基金预算支出项目" sheetId="7" r:id="rId10"/>
    <sheet name="（附表9）国有资本经营收入表" sheetId="22" r:id="rId11"/>
    <sheet name="（附表10）国有资本经营支出表" sheetId="24" r:id="rId12"/>
    <sheet name="（附表11）社会保险基金收入表" sheetId="16" r:id="rId13"/>
    <sheet name="（附表12）社会保险基金支出表" sheetId="17" r:id="rId14"/>
    <sheet name="（附表13）存量安排" sheetId="19" r:id="rId15"/>
    <sheet name="Sheet1" sheetId="3"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xlnm._FilterDatabase" localSheetId="3" hidden="1">'（附表2）公共预算支出科目'!$5:$438</definedName>
    <definedName name="_xlnm._FilterDatabase" localSheetId="4" hidden="1">'（附表3）公共预算支出项目'!$A$5:$J$734</definedName>
    <definedName name="_xlnm._FilterDatabase" localSheetId="8" hidden="1">'（附表7）政府性基金预算支出科目'!$5:$111</definedName>
    <definedName name="_xlnm._FilterDatabase" localSheetId="9" hidden="1">'（附表8）政府性基金预算支出项目'!$A$5:$Q$186</definedName>
    <definedName name="_xlnm.Print_Titles" localSheetId="4">'（附表3）公共预算支出项目'!$1:$5</definedName>
    <definedName name="\q">[1]国家!#REF!</definedName>
    <definedName name="\w">[2]国家!#REF!</definedName>
    <definedName name="\z">[3]中央!#REF!</definedName>
    <definedName name="\zz">[4]中央!#REF!</definedName>
    <definedName name="_Order1" hidden="1">255</definedName>
    <definedName name="_Order2" hidden="1">255</definedName>
    <definedName name="aaa">[3]中央!#REF!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izhong">[2]国家!#REF!</definedName>
    <definedName name="da">#N/A</definedName>
    <definedName name="dadaf">#N/A</definedName>
    <definedName name="dads">#N/A</definedName>
    <definedName name="daggaga">#N/A</definedName>
    <definedName name="dasdfasd">#N/A</definedName>
    <definedName name="Database">[5]PKx!$A$1:$AP$622</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[6]项目类型!$F$3:$F$75</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gxxe2003">'[7]P1012001'!$A$6:$E$117</definedName>
    <definedName name="gxxe20032">'[8]P1012001'!$A$6:$E$117</definedName>
    <definedName name="jdfajsfdj">#N/A</definedName>
    <definedName name="jdjfadsjf">#N/A</definedName>
    <definedName name="jjgajsdfjasd">#N/A</definedName>
    <definedName name="kdfkasj">#N/A</definedName>
    <definedName name="kgak">#N/A</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XMFL">[9]项目类型!$F$3:$F$75</definedName>
    <definedName name="XMFL2">[10]项目类型!$F$3:$F$75</definedName>
    <definedName name="XMLX">[11]下拉选项!#REF!</definedName>
    <definedName name="ZCSX">[11]下拉选项!$I$3:$I$14</definedName>
    <definedName name="本年">'[12]1-4余额表'!$L$3</definedName>
    <definedName name="成本差异系数">VLOOKUP([13]公路里程!$C1,[14]差异系数!$A$6:$C$229,3,)</definedName>
    <definedName name="城市维护费">VLOOKUP([13]公路里程!$D1,'[15]2009'!$A$10:$AS$255,40,)</definedName>
    <definedName name="村级支出">VLOOKUP([13]公路里程!$D1,'[16]L24'!$B$7:$Y$4958,9,)</definedName>
    <definedName name="当年">'[17]1-1余额表'!$L$1</definedName>
    <definedName name="地方病防治系数">VLOOKUP([13]公路里程!$C1,[14]data!$C$6:$AR$210,42,)</definedName>
    <definedName name="地区">OFFSET('[17]1-1余额表'!$A$7,,,COUNTA('[17]1-1余额表'!$A:$A)-1)</definedName>
    <definedName name="地区名称">'[18]01北京市'!#REF!</definedName>
    <definedName name="公共安全部门">VLOOKUP([13]公路里程!$D1,'[15]2009'!$A$10:$AS$255,33,)</definedName>
    <definedName name="公司主管部门">[19]有效性列表!$B$2:$B$7</definedName>
    <definedName name="行政部门">VLOOKUP([13]公路里程!$D1,'[15]2009'!$A$10:$AS$255,30,)</definedName>
    <definedName name="行政区划">[19]区划对应表!$A$20:$A$36</definedName>
    <definedName name="行政区划级次">[19]有效性列表!$A$2:$A$6</definedName>
    <definedName name="行政区划名称">[20]区划对应表!$B$1:$B$19</definedName>
    <definedName name="交通费">VLOOKUP([21]经费权重!$B1,[22]分县数据!$A$9:$BA$258,23,)</definedName>
    <definedName name="教育部门">VLOOKUP([13]公路里程!$D1,'[15]2009'!$A$10:$AS$255,34,)</definedName>
    <definedName name="离退休">VLOOKUP([13]公路里程!$D1,[23]Sheet1!$A$3:$J$252,2,)</definedName>
    <definedName name="林业部门">VLOOKUP([13]公路里程!$D1,[23]Sheet1!$A$3:$J$252,6,)</definedName>
    <definedName name="农业部门">VLOOKUP([13]公路里程!$D1,[23]Sheet1!$A$7:$J$252,5,)</definedName>
    <definedName name="平台法人性质">[24]参数表!$D$2:$D$4</definedName>
    <definedName name="其他支出">VLOOKUP([13]公路里程!$D1,'[15]2009'!$A$10:$AS$255,45,)</definedName>
    <definedName name="取暖费">VLOOKUP([21]经费权重!$B1,[22]分县数据!$A$9:$BA$258,21,)</definedName>
    <definedName name="去年">'[12]1-4余额表'!$L$4</definedName>
    <definedName name="全部担保">OFFSET('[17]1-1余额表'!$G$7,,,COUNTA('[17]1-1余额表'!$G:$G)-1)</definedName>
    <definedName name="全部一般">OFFSET('[17]1-1余额表'!$E$7,,,COUNTA('[17]1-1余额表'!$E:$E)-1)</definedName>
    <definedName name="全部余额">OFFSET('[17]1-1余额表'!$C$7,,,COUNTA('[17]1-1余额表'!$C:$C)-1)</definedName>
    <definedName name="全部直接">OFFSET('[17]1-1余额表'!$D$7,,,COUNTA('[17]1-1余额表'!$D:$D)-1)</definedName>
    <definedName name="全部专项">OFFSET('[17]1-1余额表'!$F$7,,,COUNTA('[17]1-1余额表'!$F:$F)-1)</definedName>
    <definedName name="全额差额比例">'[25]C01-1'!#REF!</definedName>
    <definedName name="人员经费">VLOOKUP([21]经费权重!$B1,[22]分县数据!$A$9:$BA$258,4,)+VLOOKUP([21]经费权重!$B1,[22]分县数据!$A$9:$BA$258,39,)</definedName>
    <definedName name="上年">'[12]1-4余额表'!$L$2</definedName>
    <definedName name="社会保障支出">VLOOKUP([13]公路里程!$D1,'[26]2007'!$A$10:$AS$257,29,)</definedName>
    <definedName name="省级担保">OFFSET('[17]2-11担保分级表'!$C$6,,,COUNTA('[17]2-11担保分级表'!$C:$C)-1)</definedName>
    <definedName name="省级一般">OFFSET('[17]2-7一般分级表'!$C$6,,,COUNTA('[17]2-7一般分级表'!$C:$C)-1)</definedName>
    <definedName name="省级余额">OFFSET('[17]2-1余额分级表'!$C$6,,,COUNTA('[17]2-1余额分级表'!$C:$C)-1)</definedName>
    <definedName name="省级直接">OFFSET('[17]2-5直接分级表'!$C$6,,,COUNTA('[17]2-5直接分级表'!$C:$C)-1)</definedName>
    <definedName name="省级专项">OFFSET('[17]2-9专项分级表'!$C$6,,,COUNTA('[17]2-9专项分级表'!$C:$C)-1)</definedName>
    <definedName name="省区">[27]总表!$B$12:$B$47</definedName>
    <definedName name="市级担保">OFFSET('[17]2-11担保分级表'!$E$6,,,COUNTA('[17]2-11担保分级表'!$E:$E)-1)</definedName>
    <definedName name="市级一般">OFFSET('[17]2-7一般分级表'!$E$6,,,COUNTA('[17]2-7一般分级表'!$E:$E)-1)</definedName>
    <definedName name="市级余额">OFFSET('[17]2-1余额分级表'!$E$6,,,COUNTA('[17]2-1余额分级表'!$E:$E)-1)</definedName>
    <definedName name="市级直接">OFFSET('[17]2-5直接分级表'!$E$6,,,COUNTA('[17]2-5直接分级表'!$E:$E)-1)</definedName>
    <definedName name="市级专项">OFFSET('[17]2-9专项分级表'!$E$6,,,COUNTA('[17]2-9专项分级表'!$E:$E)-1)</definedName>
    <definedName name="是否立项">[28]区划对应表!$E$1:$E$2</definedName>
    <definedName name="水利部门">VLOOKUP([13]公路里程!$D1,[23]Sheet1!$A$3:$J$252,7,)</definedName>
    <definedName name="四季度">'[25]C01-1'!#REF!</definedName>
    <definedName name="卫生部门">VLOOKUP([13]公路里程!$D1,'[15]2009'!$A$10:$AS$255,38,)</definedName>
    <definedName name="位次d">[29]四月份月报!#REF!</definedName>
    <definedName name="文体广部门">VLOOKUP([13]公路里程!$D1,'[15]2009'!$A$10:$AS$255,36,)</definedName>
    <definedName name="县级担保">OFFSET('[17]2-11担保分级表'!$G$6,,,COUNTA('[17]2-11担保分级表'!$G:$G)-1)</definedName>
    <definedName name="县级一般">OFFSET('[17]2-7一般分级表'!$G$6,,,COUNTA('[17]2-7一般分级表'!$G:$G)-1)</definedName>
    <definedName name="县级余额">OFFSET('[17]2-1余额分级表'!$G$6,,,COUNTA('[17]2-1余额分级表'!$G:$G)-1)</definedName>
    <definedName name="县级直接">OFFSET('[17]2-5直接分级表'!$G$6,,,COUNTA('[17]2-5直接分级表'!$G:$G)-1)</definedName>
    <definedName name="县级专项">OFFSET('[17]2-9专项分级表'!$G$6,,,COUNTA('[17]2-9专项分级表'!$G:$G)-1)</definedName>
    <definedName name="乡级担保">OFFSET('[17]2-11担保分级表'!$I$6,,,COUNTA('[17]2-11担保分级表'!$I:$I)-1)</definedName>
    <definedName name="乡级一般">OFFSET('[17]2-7一般分级表'!$I$6,,,COUNTA('[17]2-7一般分级表'!$I:$I)-1)</definedName>
    <definedName name="乡级余额">OFFSET('[17]2-1余额分级表'!$I$6,,,COUNTA('[17]2-1余额分级表'!$I:$I)-1)</definedName>
    <definedName name="乡级直接">OFFSET('[17]2-5直接分级表'!$I$6,,,COUNTA('[17]2-5直接分级表'!$I:$I)-1)</definedName>
    <definedName name="乡级专项">OFFSET('[17]2-9专项分级表'!$I$6,,,COUNTA('[17]2-9专项分级表'!$I:$I)-1)</definedName>
    <definedName name="项目类型">[30]基础数据!$A$1:$A$66</definedName>
    <definedName name="性别">[31]基础编码!$H$2:$H$3</definedName>
    <definedName name="学历">[31]基础编码!$S$2:$S$9</definedName>
    <definedName name="银行贷款所在地">[28]区划对应表!$D$1:$D$202</definedName>
    <definedName name="银行类型二">[30]基础数据!$E$1:$E$216</definedName>
    <definedName name="银行类型一">[30]基础数据!$C$1:$C$21</definedName>
    <definedName name="政策性挂账">OFFSET('[17]1-1余额表'!$H$7,,,COUNTA('[17]1-1余额表'!$H:$H)-1)</definedName>
    <definedName name="支出">'[32]P1012001'!$A$6:$E$117</definedName>
    <definedName name="总支出">VLOOKUP([21]经费权重!$B1,[22]分县数据!$A$9:$BA$258,3,)</definedName>
    <definedName name="_123" localSheetId="9">OFFSET(#REF!,,,COUNTA(#REF!)-1)</definedName>
    <definedName name="a" localSheetId="9">#REF!</definedName>
    <definedName name="aa" localSheetId="9">#REF!</definedName>
    <definedName name="ABC" localSheetId="9">#REF!</definedName>
    <definedName name="ABD" localSheetId="9">#REF!</definedName>
    <definedName name="county" localSheetId="9">#REF!</definedName>
    <definedName name="data" localSheetId="9">#REF!</definedName>
    <definedName name="database2" localSheetId="9">#REF!</definedName>
    <definedName name="database3" localSheetId="9">#REF!</definedName>
    <definedName name="ddd" localSheetId="9">#REF!</definedName>
    <definedName name="dddd" localSheetId="9">[33]人民银行!#REF!</definedName>
    <definedName name="FAMERangeexchebAD12" localSheetId="9">#REF!</definedName>
    <definedName name="FAMERangeirsAD12" localSheetId="9">#REF!</definedName>
    <definedName name="FAMERangeMGSV" localSheetId="9">#REF!</definedName>
    <definedName name="FAMERangeMGSVAB10" localSheetId="9">#REF!</definedName>
    <definedName name="FAMERangeMGSVAB11" localSheetId="9">#REF!</definedName>
    <definedName name="FAMERangeMGSVAB12" localSheetId="9">#REF!</definedName>
    <definedName name="FAMERangeMGSVAB13" localSheetId="9">#REF!</definedName>
    <definedName name="FAMERangeMGSVAB14" localSheetId="9">#REF!</definedName>
    <definedName name="FAMERangeMGSVAB15" localSheetId="9">#REF!</definedName>
    <definedName name="FAMERangeMGSVAB16" localSheetId="9">#REF!</definedName>
    <definedName name="FAMERangeMGSVAB17" localSheetId="9">#REF!</definedName>
    <definedName name="FAMERangeMGSVAB18" localSheetId="9">#REF!</definedName>
    <definedName name="FAMERangeMGSVAB19" localSheetId="9">#REF!</definedName>
    <definedName name="FAMERangeMGSVAB20" localSheetId="9">#REF!</definedName>
    <definedName name="FAMERangeMGSVAB21" localSheetId="9">#REF!</definedName>
    <definedName name="FAMERangeMGSVAB22" localSheetId="9">#REF!</definedName>
    <definedName name="FAMERangeMGSVAB23" localSheetId="9">#REF!</definedName>
    <definedName name="FAMERangeMGSVAB24" localSheetId="9">#REF!</definedName>
    <definedName name="FAMERangeMGSVAB25" localSheetId="9">#REF!</definedName>
    <definedName name="FAMERangeMGSVAB26" localSheetId="9">#REF!</definedName>
    <definedName name="FAMERangeMGSVAB27" localSheetId="9">#REF!</definedName>
    <definedName name="FAMERangeMGSVAB28" localSheetId="9">#REF!</definedName>
    <definedName name="FAMERangeMGSVAB29" localSheetId="9">#REF!</definedName>
    <definedName name="FAMERangeMGSVAB30" localSheetId="9">#REF!</definedName>
    <definedName name="FAMERangeMGSVAB31" localSheetId="9">#REF!</definedName>
    <definedName name="FAMERangeMGSVAB32" localSheetId="9">#REF!</definedName>
    <definedName name="FAMERangeMGSVAB33" localSheetId="9">#REF!</definedName>
    <definedName name="FAMERangeMGSVAB34" localSheetId="9">#REF!</definedName>
    <definedName name="FAMERangeMGSVAB35" localSheetId="9">#REF!</definedName>
    <definedName name="FAMERangeMGSVAB36" localSheetId="9">#REF!</definedName>
    <definedName name="FAMERangeMGSVAB38" localSheetId="9">#REF!</definedName>
    <definedName name="FAMERangeMGSVAB5" localSheetId="9">#REF!</definedName>
    <definedName name="FAMERangeMGSVAB6" localSheetId="9">#REF!</definedName>
    <definedName name="FAMERangeMGSVAB7" localSheetId="9">#REF!</definedName>
    <definedName name="FAMERangeMGSVAB8" localSheetId="9">#REF!</definedName>
    <definedName name="FAMERangeMGSVAB9" localSheetId="9">#REF!</definedName>
    <definedName name="FAMERangeMGSVAC10" localSheetId="9">#REF!</definedName>
    <definedName name="FAMERangeMGSVAC11" localSheetId="9">#REF!</definedName>
    <definedName name="FAMERangeMGSVAC12" localSheetId="9">#REF!</definedName>
    <definedName name="FAMERangeMGSVAC13" localSheetId="9">#REF!</definedName>
    <definedName name="FAMERangeMGSVAC14" localSheetId="9">#REF!</definedName>
    <definedName name="FAMERangeMGSVAC15" localSheetId="9">#REF!</definedName>
    <definedName name="FAMERangeMGSVAC16" localSheetId="9">#REF!</definedName>
    <definedName name="FAMERangeMGSVAC17" localSheetId="9">#REF!</definedName>
    <definedName name="FAMERangeMGSVAC18" localSheetId="9">#REF!</definedName>
    <definedName name="FAMERangeMGSVAC19" localSheetId="9">#REF!</definedName>
    <definedName name="FAMERangeMGSVAC20" localSheetId="9">#REF!</definedName>
    <definedName name="FAMERangeMGSVAC21" localSheetId="9">#REF!</definedName>
    <definedName name="FAMERangeMGSVAC22" localSheetId="9">#REF!</definedName>
    <definedName name="FAMERangeMGSVAC23" localSheetId="9">#REF!</definedName>
    <definedName name="FAMERangeMGSVAC24" localSheetId="9">#REF!</definedName>
    <definedName name="FAMERangeMGSVAC25" localSheetId="9">#REF!</definedName>
    <definedName name="FAMERangeMGSVAC26" localSheetId="9">#REF!</definedName>
    <definedName name="FAMERangeMGSVAC27" localSheetId="9">#REF!</definedName>
    <definedName name="FAMERangeMGSVAC28" localSheetId="9">#REF!</definedName>
    <definedName name="FAMERangeMGSVAC29" localSheetId="9">#REF!</definedName>
    <definedName name="FAMERangeMGSVAC30" localSheetId="9">#REF!</definedName>
    <definedName name="FAMERangeMGSVAC31" localSheetId="9">#REF!</definedName>
    <definedName name="FAMERangeMGSVAC32" localSheetId="9">#REF!</definedName>
    <definedName name="FAMERangeMGSVAC33" localSheetId="9">#REF!</definedName>
    <definedName name="FAMERangeMGSVAC34" localSheetId="9">#REF!</definedName>
    <definedName name="FAMERangeMGSVAC35" localSheetId="9">#REF!</definedName>
    <definedName name="FAMERangeMGSVAC36" localSheetId="9">#REF!</definedName>
    <definedName name="FAMERangeMGSVAC38" localSheetId="9">#REF!</definedName>
    <definedName name="FAMERangeMGSVAC5" localSheetId="9">#REF!</definedName>
    <definedName name="FAMERangeMGSVAC6" localSheetId="9">#REF!</definedName>
    <definedName name="FAMERangeMGSVAC7" localSheetId="9">#REF!</definedName>
    <definedName name="FAMERangeMGSVAC8" localSheetId="9">#REF!</definedName>
    <definedName name="FAMERangeMGSVAC9" localSheetId="9">#REF!</definedName>
    <definedName name="FAMERangeMGSVAD10" localSheetId="9">#REF!</definedName>
    <definedName name="FAMERangeMGSVAD11" localSheetId="9">#REF!</definedName>
    <definedName name="FAMERangeMGSVAD12" localSheetId="9">#REF!</definedName>
    <definedName name="FAMERangeMGSVAD13" localSheetId="9">#REF!</definedName>
    <definedName name="FAMERangeMGSVAD14" localSheetId="9">#REF!</definedName>
    <definedName name="FAMERangeMGSVAD15" localSheetId="9">#REF!</definedName>
    <definedName name="FAMERangeMGSVAD16" localSheetId="9">#REF!</definedName>
    <definedName name="FAMERangeMGSVAD17" localSheetId="9">#REF!</definedName>
    <definedName name="FAMERangeMGSVAD18" localSheetId="9">#REF!</definedName>
    <definedName name="FAMERangeMGSVAD19" localSheetId="9">#REF!</definedName>
    <definedName name="FAMERangeMGSVAD20" localSheetId="9">#REF!</definedName>
    <definedName name="FAMERangeMGSVAD21" localSheetId="9">#REF!</definedName>
    <definedName name="FAMERangeMGSVAD22" localSheetId="9">#REF!</definedName>
    <definedName name="FAMERangeMGSVAD23" localSheetId="9">#REF!</definedName>
    <definedName name="FAMERangeMGSVAD24" localSheetId="9">#REF!</definedName>
    <definedName name="FAMERangeMGSVAD25" localSheetId="9">#REF!</definedName>
    <definedName name="FAMERangeMGSVAD26" localSheetId="9">#REF!</definedName>
    <definedName name="FAMERangeMGSVAD27" localSheetId="9">#REF!</definedName>
    <definedName name="FAMERangeMGSVAD28" localSheetId="9">#REF!</definedName>
    <definedName name="FAMERangeMGSVAD29" localSheetId="9">#REF!</definedName>
    <definedName name="FAMERangeMGSVAD30" localSheetId="9">#REF!</definedName>
    <definedName name="FAMERangeMGSVAD31" localSheetId="9">#REF!</definedName>
    <definedName name="FAMERangeMGSVAD32" localSheetId="9">#REF!</definedName>
    <definedName name="FAMERangeMGSVAD33" localSheetId="9">#REF!</definedName>
    <definedName name="FAMERangeMGSVAD34" localSheetId="9">#REF!</definedName>
    <definedName name="FAMERangeMGSVAD35" localSheetId="9">#REF!</definedName>
    <definedName name="FAMERangeMGSVAD36" localSheetId="9">#REF!</definedName>
    <definedName name="FAMERangeMGSVAD38" localSheetId="9">#REF!</definedName>
    <definedName name="FAMERangeMGSVAD5" localSheetId="9">#REF!</definedName>
    <definedName name="FAMERangeMGSVAD6" localSheetId="9">#REF!</definedName>
    <definedName name="FAMERangeMGSVAD7" localSheetId="9">#REF!</definedName>
    <definedName name="FAMERangeMGSVAD8" localSheetId="9">#REF!</definedName>
    <definedName name="FAMERangeMGSVAD9" localSheetId="9">#REF!</definedName>
    <definedName name="fjsldkfjsdljflsdkjf" localSheetId="9">#REF!</definedName>
    <definedName name="hhhh" localSheetId="9">#REF!</definedName>
    <definedName name="kkkk" localSheetId="9">#REF!</definedName>
    <definedName name="Print_Area_MI" localSheetId="9">#REF!</definedName>
    <definedName name="qqqqqqqqqqqqqqqqqqqqqqq" localSheetId="9">#REF!</definedName>
    <definedName name="sheng" localSheetId="9">#REF!</definedName>
    <definedName name="summary" localSheetId="9">#REF!</definedName>
    <definedName name="UniqueRange_37" localSheetId="9">#REF!</definedName>
    <definedName name="UniqueRange_38" localSheetId="9">#REF!</definedName>
    <definedName name="UniqueRange_39" localSheetId="9">#REF!</definedName>
    <definedName name="UniqueRange_40" localSheetId="9">#REF!</definedName>
    <definedName name="UniqueRange_41" localSheetId="9">#REF!</definedName>
    <definedName name="UniqueRange_42" localSheetId="9">#REF!</definedName>
    <definedName name="UniqueRange_43" localSheetId="9">#REF!</definedName>
    <definedName name="UniqueRange_44" localSheetId="9">#REF!</definedName>
    <definedName name="UniqueRange_45" localSheetId="9">#REF!</definedName>
    <definedName name="UniqueRange_46" localSheetId="9">#REF!</definedName>
    <definedName name="UniqueRange_47" localSheetId="9">#REF!</definedName>
    <definedName name="xxxx" localSheetId="9">[33]人民银行!#REF!</definedName>
    <definedName name="zqlx" localSheetId="9">[34]DB!$M$43:$M$46</definedName>
    <definedName name="北京市行政区划" localSheetId="9">#REF!</definedName>
    <definedName name="财政供养" localSheetId="9">#REF!</definedName>
    <definedName name="产品" localSheetId="9">[35]Chap5_1!$A$1:$E$72</definedName>
    <definedName name="处室" localSheetId="9">#REF!</definedName>
    <definedName name="还有" localSheetId="9">#REF!</definedName>
    <definedName name="汇率" localSheetId="9">#REF!</definedName>
    <definedName name="基金处室" localSheetId="9">#REF!</definedName>
    <definedName name="基金金额" localSheetId="9">#REF!</definedName>
    <definedName name="基金科目" localSheetId="9">#REF!</definedName>
    <definedName name="基金类型" localSheetId="9">#REF!</definedName>
    <definedName name="金额" localSheetId="9">#REF!</definedName>
    <definedName name="科目" localSheetId="9">#REF!</definedName>
    <definedName name="类型" localSheetId="9">#REF!</definedName>
    <definedName name="区划" localSheetId="9">#REF!</definedName>
    <definedName name="生产列1" localSheetId="9">#REF!</definedName>
    <definedName name="生产列11" localSheetId="9">#REF!</definedName>
    <definedName name="生产列15" localSheetId="9">#REF!</definedName>
    <definedName name="生产列16" localSheetId="9">#REF!</definedName>
    <definedName name="生产列17" localSheetId="9">#REF!</definedName>
    <definedName name="生产列19" localSheetId="9">#REF!</definedName>
    <definedName name="生产列2" localSheetId="9">#REF!</definedName>
    <definedName name="生产列20" localSheetId="9">#REF!</definedName>
    <definedName name="生产列3" localSheetId="9">#REF!</definedName>
    <definedName name="生产列4" localSheetId="9">#REF!</definedName>
    <definedName name="生产列5" localSheetId="9">#REF!</definedName>
    <definedName name="生产列6" localSheetId="9">#REF!</definedName>
    <definedName name="生产列7" localSheetId="9">#REF!</definedName>
    <definedName name="生产列8" localSheetId="9">#REF!</definedName>
    <definedName name="生产列9" localSheetId="9">#REF!</definedName>
    <definedName name="生产期" localSheetId="9">#REF!</definedName>
    <definedName name="生产期1" localSheetId="9">#REF!</definedName>
    <definedName name="生产期11" localSheetId="9">#REF!</definedName>
    <definedName name="生产期123" localSheetId="9">#REF!</definedName>
    <definedName name="生产期15" localSheetId="9">#REF!</definedName>
    <definedName name="生产期16" localSheetId="9">#REF!</definedName>
    <definedName name="生产期17" localSheetId="9">#REF!</definedName>
    <definedName name="生产期18" localSheetId="9">#REF!</definedName>
    <definedName name="生产期19" localSheetId="9">#REF!</definedName>
    <definedName name="生产期2" localSheetId="9">#REF!</definedName>
    <definedName name="生产期20" localSheetId="9">#REF!</definedName>
    <definedName name="生产期3" localSheetId="9">#REF!</definedName>
    <definedName name="生产期4" localSheetId="9">#REF!</definedName>
    <definedName name="生产期5" localSheetId="9">#REF!</definedName>
    <definedName name="生产期6" localSheetId="9">#REF!</definedName>
    <definedName name="生产期7" localSheetId="9">#REF!</definedName>
    <definedName name="生产期8" localSheetId="9">#REF!</definedName>
    <definedName name="生产期9" localSheetId="9">#REF!</definedName>
    <definedName name="전" localSheetId="9">#REF!</definedName>
    <definedName name="주택사업본부" localSheetId="9">#REF!</definedName>
    <definedName name="철구사업본부" localSheetId="9">#REF!</definedName>
    <definedName name="_xlnm.Print_Area" localSheetId="9">'（附表8）政府性基金预算支出项目'!$A$1:$N$186</definedName>
    <definedName name="_xlnm.Print_Titles" localSheetId="9">'（附表8）政府性基金预算支出项目'!$1:$5</definedName>
    <definedName name="_123">OFFSET(#REF!,,,COUNTA(#REF!)-1)</definedName>
    <definedName name="a">#REF!</definedName>
    <definedName name="aa">#REF!</definedName>
    <definedName name="ABC">#REF!</definedName>
    <definedName name="ABD">#REF!</definedName>
    <definedName name="county">#REF!</definedName>
    <definedName name="data">#REF!</definedName>
    <definedName name="database2">#REF!</definedName>
    <definedName name="database3">#REF!</definedName>
    <definedName name="ddd">#REF!</definedName>
    <definedName name="dddd">[36]人民银行!#REF!</definedName>
    <definedName name="FAMERangeexchebAD12">#REF!</definedName>
    <definedName name="FAMERangeirsAD12">#REF!</definedName>
    <definedName name="FAMERangeMGSV">#REF!</definedName>
    <definedName name="FAMERangeMGSVAB10">#REF!</definedName>
    <definedName name="FAMERangeMGSVAB11">#REF!</definedName>
    <definedName name="FAMERangeMGSVAB12">#REF!</definedName>
    <definedName name="FAMERangeMGSVAB13">#REF!</definedName>
    <definedName name="FAMERangeMGSVAB14">#REF!</definedName>
    <definedName name="FAMERangeMGSVAB15">#REF!</definedName>
    <definedName name="FAMERangeMGSVAB16">#REF!</definedName>
    <definedName name="FAMERangeMGSVAB17">#REF!</definedName>
    <definedName name="FAMERangeMGSVAB18">#REF!</definedName>
    <definedName name="FAMERangeMGSVAB19">#REF!</definedName>
    <definedName name="FAMERangeMGSVAB20">#REF!</definedName>
    <definedName name="FAMERangeMGSVAB21">#REF!</definedName>
    <definedName name="FAMERangeMGSVAB22">#REF!</definedName>
    <definedName name="FAMERangeMGSVAB23">#REF!</definedName>
    <definedName name="FAMERangeMGSVAB24">#REF!</definedName>
    <definedName name="FAMERangeMGSVAB25">#REF!</definedName>
    <definedName name="FAMERangeMGSVAB26">#REF!</definedName>
    <definedName name="FAMERangeMGSVAB27">#REF!</definedName>
    <definedName name="FAMERangeMGSVAB28">#REF!</definedName>
    <definedName name="FAMERangeMGSVAB29">#REF!</definedName>
    <definedName name="FAMERangeMGSVAB30">#REF!</definedName>
    <definedName name="FAMERangeMGSVAB31">#REF!</definedName>
    <definedName name="FAMERangeMGSVAB32">#REF!</definedName>
    <definedName name="FAMERangeMGSVAB33">#REF!</definedName>
    <definedName name="FAMERangeMGSVAB34">#REF!</definedName>
    <definedName name="FAMERangeMGSVAB35">#REF!</definedName>
    <definedName name="FAMERangeMGSVAB36">#REF!</definedName>
    <definedName name="FAMERangeMGSVAB38">#REF!</definedName>
    <definedName name="FAMERangeMGSVAB5">#REF!</definedName>
    <definedName name="FAMERangeMGSVAB6">#REF!</definedName>
    <definedName name="FAMERangeMGSVAB7">#REF!</definedName>
    <definedName name="FAMERangeMGSVAB8">#REF!</definedName>
    <definedName name="FAMERangeMGSVAB9">#REF!</definedName>
    <definedName name="FAMERangeMGSVAC10">#REF!</definedName>
    <definedName name="FAMERangeMGSVAC11">#REF!</definedName>
    <definedName name="FAMERangeMGSVAC12">#REF!</definedName>
    <definedName name="FAMERangeMGSVAC13">#REF!</definedName>
    <definedName name="FAMERangeMGSVAC14">#REF!</definedName>
    <definedName name="FAMERangeMGSVAC15">#REF!</definedName>
    <definedName name="FAMERangeMGSVAC16">#REF!</definedName>
    <definedName name="FAMERangeMGSVAC17">#REF!</definedName>
    <definedName name="FAMERangeMGSVAC18">#REF!</definedName>
    <definedName name="FAMERangeMGSVAC19">#REF!</definedName>
    <definedName name="FAMERangeMGSVAC20">#REF!</definedName>
    <definedName name="FAMERangeMGSVAC21">#REF!</definedName>
    <definedName name="FAMERangeMGSVAC22">#REF!</definedName>
    <definedName name="FAMERangeMGSVAC23">#REF!</definedName>
    <definedName name="FAMERangeMGSVAC24">#REF!</definedName>
    <definedName name="FAMERangeMGSVAC25">#REF!</definedName>
    <definedName name="FAMERangeMGSVAC26">#REF!</definedName>
    <definedName name="FAMERangeMGSVAC27">#REF!</definedName>
    <definedName name="FAMERangeMGSVAC28">#REF!</definedName>
    <definedName name="FAMERangeMGSVAC29">#REF!</definedName>
    <definedName name="FAMERangeMGSVAC30">#REF!</definedName>
    <definedName name="FAMERangeMGSVAC31">#REF!</definedName>
    <definedName name="FAMERangeMGSVAC32">#REF!</definedName>
    <definedName name="FAMERangeMGSVAC33">#REF!</definedName>
    <definedName name="FAMERangeMGSVAC34">#REF!</definedName>
    <definedName name="FAMERangeMGSVAC35">#REF!</definedName>
    <definedName name="FAMERangeMGSVAC36">#REF!</definedName>
    <definedName name="FAMERangeMGSVAC38">#REF!</definedName>
    <definedName name="FAMERangeMGSVAC5">#REF!</definedName>
    <definedName name="FAMERangeMGSVAC6">#REF!</definedName>
    <definedName name="FAMERangeMGSVAC7">#REF!</definedName>
    <definedName name="FAMERangeMGSVAC8">#REF!</definedName>
    <definedName name="FAMERangeMGSVAC9">#REF!</definedName>
    <definedName name="FAMERangeMGSVAD10">#REF!</definedName>
    <definedName name="FAMERangeMGSVAD11">#REF!</definedName>
    <definedName name="FAMERangeMGSVAD12">#REF!</definedName>
    <definedName name="FAMERangeMGSVAD13">#REF!</definedName>
    <definedName name="FAMERangeMGSVAD14">#REF!</definedName>
    <definedName name="FAMERangeMGSVAD15">#REF!</definedName>
    <definedName name="FAMERangeMGSVAD16">#REF!</definedName>
    <definedName name="FAMERangeMGSVAD17">#REF!</definedName>
    <definedName name="FAMERangeMGSVAD18">#REF!</definedName>
    <definedName name="FAMERangeMGSVAD19">#REF!</definedName>
    <definedName name="FAMERangeMGSVAD20">#REF!</definedName>
    <definedName name="FAMERangeMGSVAD21">#REF!</definedName>
    <definedName name="FAMERangeMGSVAD22">#REF!</definedName>
    <definedName name="FAMERangeMGSVAD23">#REF!</definedName>
    <definedName name="FAMERangeMGSVAD24">#REF!</definedName>
    <definedName name="FAMERangeMGSVAD25">#REF!</definedName>
    <definedName name="FAMERangeMGSVAD26">#REF!</definedName>
    <definedName name="FAMERangeMGSVAD27">#REF!</definedName>
    <definedName name="FAMERangeMGSVAD28">#REF!</definedName>
    <definedName name="FAMERangeMGSVAD29">#REF!</definedName>
    <definedName name="FAMERangeMGSVAD30">#REF!</definedName>
    <definedName name="FAMERangeMGSVAD31">#REF!</definedName>
    <definedName name="FAMERangeMGSVAD32">#REF!</definedName>
    <definedName name="FAMERangeMGSVAD33">#REF!</definedName>
    <definedName name="FAMERangeMGSVAD34">#REF!</definedName>
    <definedName name="FAMERangeMGSVAD35">#REF!</definedName>
    <definedName name="FAMERangeMGSVAD36">#REF!</definedName>
    <definedName name="FAMERangeMGSVAD38">#REF!</definedName>
    <definedName name="FAMERangeMGSVAD5">#REF!</definedName>
    <definedName name="FAMERangeMGSVAD6">#REF!</definedName>
    <definedName name="FAMERangeMGSVAD7">#REF!</definedName>
    <definedName name="FAMERangeMGSVAD8">#REF!</definedName>
    <definedName name="FAMERangeMGSVAD9">#REF!</definedName>
    <definedName name="fjsldkfjsdljflsdkjf">#REF!</definedName>
    <definedName name="hhhh">#REF!</definedName>
    <definedName name="kkkk">#REF!</definedName>
    <definedName name="Print_Area_MI">#REF!</definedName>
    <definedName name="qqqqqqqqqqqqqqqqqqqqqqq">#REF!</definedName>
    <definedName name="sheng">#REF!</definedName>
    <definedName name="summary">#REF!</definedName>
    <definedName name="UniqueRange_37">#REF!</definedName>
    <definedName name="UniqueRange_38">#REF!</definedName>
    <definedName name="UniqueRange_39">#REF!</definedName>
    <definedName name="UniqueRange_40">#REF!</definedName>
    <definedName name="UniqueRange_41">#REF!</definedName>
    <definedName name="UniqueRange_42">#REF!</definedName>
    <definedName name="UniqueRange_43">#REF!</definedName>
    <definedName name="UniqueRange_44">#REF!</definedName>
    <definedName name="UniqueRange_45">#REF!</definedName>
    <definedName name="UniqueRange_46">#REF!</definedName>
    <definedName name="UniqueRange_47">#REF!</definedName>
    <definedName name="xxxx">[36]人民银行!#REF!</definedName>
    <definedName name="zqlx">[37]DB!$M$43:$M$46</definedName>
    <definedName name="北京市行政区划">#REF!</definedName>
    <definedName name="财政供养">#REF!</definedName>
    <definedName name="产品">[38]Chap5_1!$A$1:$E$72</definedName>
    <definedName name="处室">#REF!</definedName>
    <definedName name="还有">#REF!</definedName>
    <definedName name="汇率">#REF!</definedName>
    <definedName name="基金处室">#REF!</definedName>
    <definedName name="基金金额">#REF!</definedName>
    <definedName name="基金科目">#REF!</definedName>
    <definedName name="基金类型">#REF!</definedName>
    <definedName name="金额">#REF!</definedName>
    <definedName name="科目">#REF!</definedName>
    <definedName name="类型">#REF!</definedName>
    <definedName name="区划">#REF!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8">#REF!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전">#REF!</definedName>
    <definedName name="주택사업본부">#REF!</definedName>
    <definedName name="철구사업본부">#REF!</definedName>
    <definedName name="_123" localSheetId="0">OFFSET(#REF!,,,COUNTA(#REF!)-1)</definedName>
    <definedName name="a" localSheetId="0">#REF!</definedName>
    <definedName name="aa" localSheetId="0">#REF!</definedName>
    <definedName name="ABC" localSheetId="0">#REF!</definedName>
    <definedName name="ABD" localSheetId="0">#REF!</definedName>
    <definedName name="county" localSheetId="0">#REF!</definedName>
    <definedName name="data" localSheetId="0">#REF!</definedName>
    <definedName name="database2" localSheetId="0">#REF!</definedName>
    <definedName name="database3" localSheetId="0">#REF!</definedName>
    <definedName name="ddd" localSheetId="0">#REF!</definedName>
    <definedName name="FAMERangeexchebAD12" localSheetId="0">#REF!</definedName>
    <definedName name="FAMERangeirsAD12" localSheetId="0">#REF!</definedName>
    <definedName name="FAMERangeMGSV" localSheetId="0">#REF!</definedName>
    <definedName name="FAMERangeMGSVAB10" localSheetId="0">#REF!</definedName>
    <definedName name="FAMERangeMGSVAB11" localSheetId="0">#REF!</definedName>
    <definedName name="FAMERangeMGSVAB12" localSheetId="0">#REF!</definedName>
    <definedName name="FAMERangeMGSVAB13" localSheetId="0">#REF!</definedName>
    <definedName name="FAMERangeMGSVAB14" localSheetId="0">#REF!</definedName>
    <definedName name="FAMERangeMGSVAB15" localSheetId="0">#REF!</definedName>
    <definedName name="FAMERangeMGSVAB16" localSheetId="0">#REF!</definedName>
    <definedName name="FAMERangeMGSVAB17" localSheetId="0">#REF!</definedName>
    <definedName name="FAMERangeMGSVAB18" localSheetId="0">#REF!</definedName>
    <definedName name="FAMERangeMGSVAB19" localSheetId="0">#REF!</definedName>
    <definedName name="FAMERangeMGSVAB20" localSheetId="0">#REF!</definedName>
    <definedName name="FAMERangeMGSVAB21" localSheetId="0">#REF!</definedName>
    <definedName name="FAMERangeMGSVAB22" localSheetId="0">#REF!</definedName>
    <definedName name="FAMERangeMGSVAB23" localSheetId="0">#REF!</definedName>
    <definedName name="FAMERangeMGSVAB24" localSheetId="0">#REF!</definedName>
    <definedName name="FAMERangeMGSVAB25" localSheetId="0">#REF!</definedName>
    <definedName name="FAMERangeMGSVAB26" localSheetId="0">#REF!</definedName>
    <definedName name="FAMERangeMGSVAB27" localSheetId="0">#REF!</definedName>
    <definedName name="FAMERangeMGSVAB28" localSheetId="0">#REF!</definedName>
    <definedName name="FAMERangeMGSVAB29" localSheetId="0">#REF!</definedName>
    <definedName name="FAMERangeMGSVAB30" localSheetId="0">#REF!</definedName>
    <definedName name="FAMERangeMGSVAB31" localSheetId="0">#REF!</definedName>
    <definedName name="FAMERangeMGSVAB32" localSheetId="0">#REF!</definedName>
    <definedName name="FAMERangeMGSVAB33" localSheetId="0">#REF!</definedName>
    <definedName name="FAMERangeMGSVAB34" localSheetId="0">#REF!</definedName>
    <definedName name="FAMERangeMGSVAB35" localSheetId="0">#REF!</definedName>
    <definedName name="FAMERangeMGSVAB36" localSheetId="0">#REF!</definedName>
    <definedName name="FAMERangeMGSVAB38" localSheetId="0">#REF!</definedName>
    <definedName name="FAMERangeMGSVAB5" localSheetId="0">#REF!</definedName>
    <definedName name="FAMERangeMGSVAB6" localSheetId="0">#REF!</definedName>
    <definedName name="FAMERangeMGSVAB7" localSheetId="0">#REF!</definedName>
    <definedName name="FAMERangeMGSVAB8" localSheetId="0">#REF!</definedName>
    <definedName name="FAMERangeMGSVAB9" localSheetId="0">#REF!</definedName>
    <definedName name="FAMERangeMGSVAC10" localSheetId="0">#REF!</definedName>
    <definedName name="FAMERangeMGSVAC11" localSheetId="0">#REF!</definedName>
    <definedName name="FAMERangeMGSVAC12" localSheetId="0">#REF!</definedName>
    <definedName name="FAMERangeMGSVAC13" localSheetId="0">#REF!</definedName>
    <definedName name="FAMERangeMGSVAC14" localSheetId="0">#REF!</definedName>
    <definedName name="FAMERangeMGSVAC15" localSheetId="0">#REF!</definedName>
    <definedName name="FAMERangeMGSVAC16" localSheetId="0">#REF!</definedName>
    <definedName name="FAMERangeMGSVAC17" localSheetId="0">#REF!</definedName>
    <definedName name="FAMERangeMGSVAC18" localSheetId="0">#REF!</definedName>
    <definedName name="FAMERangeMGSVAC19" localSheetId="0">#REF!</definedName>
    <definedName name="FAMERangeMGSVAC20" localSheetId="0">#REF!</definedName>
    <definedName name="FAMERangeMGSVAC21" localSheetId="0">#REF!</definedName>
    <definedName name="FAMERangeMGSVAC22" localSheetId="0">#REF!</definedName>
    <definedName name="FAMERangeMGSVAC23" localSheetId="0">#REF!</definedName>
    <definedName name="FAMERangeMGSVAC24" localSheetId="0">#REF!</definedName>
    <definedName name="FAMERangeMGSVAC25" localSheetId="0">#REF!</definedName>
    <definedName name="FAMERangeMGSVAC26" localSheetId="0">#REF!</definedName>
    <definedName name="FAMERangeMGSVAC27" localSheetId="0">#REF!</definedName>
    <definedName name="FAMERangeMGSVAC28" localSheetId="0">#REF!</definedName>
    <definedName name="FAMERangeMGSVAC29" localSheetId="0">#REF!</definedName>
    <definedName name="FAMERangeMGSVAC30" localSheetId="0">#REF!</definedName>
    <definedName name="FAMERangeMGSVAC31" localSheetId="0">#REF!</definedName>
    <definedName name="FAMERangeMGSVAC32" localSheetId="0">#REF!</definedName>
    <definedName name="FAMERangeMGSVAC33" localSheetId="0">#REF!</definedName>
    <definedName name="FAMERangeMGSVAC34" localSheetId="0">#REF!</definedName>
    <definedName name="FAMERangeMGSVAC35" localSheetId="0">#REF!</definedName>
    <definedName name="FAMERangeMGSVAC36" localSheetId="0">#REF!</definedName>
    <definedName name="FAMERangeMGSVAC38" localSheetId="0">#REF!</definedName>
    <definedName name="FAMERangeMGSVAC5" localSheetId="0">#REF!</definedName>
    <definedName name="FAMERangeMGSVAC6" localSheetId="0">#REF!</definedName>
    <definedName name="FAMERangeMGSVAC7" localSheetId="0">#REF!</definedName>
    <definedName name="FAMERangeMGSVAC8" localSheetId="0">#REF!</definedName>
    <definedName name="FAMERangeMGSVAC9" localSheetId="0">#REF!</definedName>
    <definedName name="FAMERangeMGSVAD10" localSheetId="0">#REF!</definedName>
    <definedName name="FAMERangeMGSVAD11" localSheetId="0">#REF!</definedName>
    <definedName name="FAMERangeMGSVAD12" localSheetId="0">#REF!</definedName>
    <definedName name="FAMERangeMGSVAD13" localSheetId="0">#REF!</definedName>
    <definedName name="FAMERangeMGSVAD14" localSheetId="0">#REF!</definedName>
    <definedName name="FAMERangeMGSVAD15" localSheetId="0">#REF!</definedName>
    <definedName name="FAMERangeMGSVAD16" localSheetId="0">#REF!</definedName>
    <definedName name="FAMERangeMGSVAD17" localSheetId="0">#REF!</definedName>
    <definedName name="FAMERangeMGSVAD18" localSheetId="0">#REF!</definedName>
    <definedName name="FAMERangeMGSVAD19" localSheetId="0">#REF!</definedName>
    <definedName name="FAMERangeMGSVAD20" localSheetId="0">#REF!</definedName>
    <definedName name="FAMERangeMGSVAD21" localSheetId="0">#REF!</definedName>
    <definedName name="FAMERangeMGSVAD22" localSheetId="0">#REF!</definedName>
    <definedName name="FAMERangeMGSVAD23" localSheetId="0">#REF!</definedName>
    <definedName name="FAMERangeMGSVAD24" localSheetId="0">#REF!</definedName>
    <definedName name="FAMERangeMGSVAD25" localSheetId="0">#REF!</definedName>
    <definedName name="FAMERangeMGSVAD26" localSheetId="0">#REF!</definedName>
    <definedName name="FAMERangeMGSVAD27" localSheetId="0">#REF!</definedName>
    <definedName name="FAMERangeMGSVAD28" localSheetId="0">#REF!</definedName>
    <definedName name="FAMERangeMGSVAD29" localSheetId="0">#REF!</definedName>
    <definedName name="FAMERangeMGSVAD30" localSheetId="0">#REF!</definedName>
    <definedName name="FAMERangeMGSVAD31" localSheetId="0">#REF!</definedName>
    <definedName name="FAMERangeMGSVAD32" localSheetId="0">#REF!</definedName>
    <definedName name="FAMERangeMGSVAD33" localSheetId="0">#REF!</definedName>
    <definedName name="FAMERangeMGSVAD34" localSheetId="0">#REF!</definedName>
    <definedName name="FAMERangeMGSVAD35" localSheetId="0">#REF!</definedName>
    <definedName name="FAMERangeMGSVAD36" localSheetId="0">#REF!</definedName>
    <definedName name="FAMERangeMGSVAD38" localSheetId="0">#REF!</definedName>
    <definedName name="FAMERangeMGSVAD5" localSheetId="0">#REF!</definedName>
    <definedName name="FAMERangeMGSVAD6" localSheetId="0">#REF!</definedName>
    <definedName name="FAMERangeMGSVAD7" localSheetId="0">#REF!</definedName>
    <definedName name="FAMERangeMGSVAD8" localSheetId="0">#REF!</definedName>
    <definedName name="FAMERangeMGSVAD9" localSheetId="0">#REF!</definedName>
    <definedName name="fjsldkfjsdljflsdkjf" localSheetId="0">#REF!</definedName>
    <definedName name="hhhh" localSheetId="0">#REF!</definedName>
    <definedName name="kkkk" localSheetId="0">#REF!</definedName>
    <definedName name="Print_Area_MI" localSheetId="0">#REF!</definedName>
    <definedName name="qqqqqqqqqqqqqqqqqqqqqqq" localSheetId="0">#REF!</definedName>
    <definedName name="sheng" localSheetId="0">#REF!</definedName>
    <definedName name="summary" localSheetId="0">#REF!</definedName>
    <definedName name="UniqueRange_37" localSheetId="0">#REF!</definedName>
    <definedName name="UniqueRange_38" localSheetId="0">#REF!</definedName>
    <definedName name="UniqueRange_39" localSheetId="0">#REF!</definedName>
    <definedName name="UniqueRange_40" localSheetId="0">#REF!</definedName>
    <definedName name="UniqueRange_41" localSheetId="0">#REF!</definedName>
    <definedName name="UniqueRange_42" localSheetId="0">#REF!</definedName>
    <definedName name="UniqueRange_43" localSheetId="0">#REF!</definedName>
    <definedName name="UniqueRange_44" localSheetId="0">#REF!</definedName>
    <definedName name="UniqueRange_45" localSheetId="0">#REF!</definedName>
    <definedName name="UniqueRange_46" localSheetId="0">#REF!</definedName>
    <definedName name="UniqueRange_47" localSheetId="0">#REF!</definedName>
    <definedName name="北京市行政区划" localSheetId="0">#REF!</definedName>
    <definedName name="财政供养" localSheetId="0">#REF!</definedName>
    <definedName name="处室" localSheetId="0">#REF!</definedName>
    <definedName name="还有" localSheetId="0">#REF!</definedName>
    <definedName name="汇率" localSheetId="0">#REF!</definedName>
    <definedName name="基金处室" localSheetId="0">#REF!</definedName>
    <definedName name="基金金额" localSheetId="0">#REF!</definedName>
    <definedName name="基金科目" localSheetId="0">#REF!</definedName>
    <definedName name="基金类型" localSheetId="0">#REF!</definedName>
    <definedName name="金额" localSheetId="0">#REF!</definedName>
    <definedName name="科目" localSheetId="0">#REF!</definedName>
    <definedName name="类型" localSheetId="0">#REF!</definedName>
    <definedName name="区划" localSheetId="0">#REF!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23" localSheetId="0">#REF!</definedName>
    <definedName name="生产期15" localSheetId="0">#REF!</definedName>
    <definedName name="生产期16" localSheetId="0">#REF!</definedName>
    <definedName name="生产期17" localSheetId="0">#REF!</definedName>
    <definedName name="生产期18"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전" localSheetId="0">#REF!</definedName>
    <definedName name="주택사업본부" localSheetId="0">#REF!</definedName>
    <definedName name="철구사업본부" localSheetId="0">#REF!</definedName>
    <definedName name="_xlnm.Print_Area" localSheetId="0">封面!$A$1:$K$18</definedName>
    <definedName name="_123" localSheetId="8">OFFSET(#REF!,,,COUNTA(#REF!)-1)</definedName>
    <definedName name="a" localSheetId="8">#REF!</definedName>
    <definedName name="aa" localSheetId="8">#REF!</definedName>
    <definedName name="ABC" localSheetId="8">#REF!</definedName>
    <definedName name="ABD" localSheetId="8">#REF!</definedName>
    <definedName name="county" localSheetId="8">#REF!</definedName>
    <definedName name="data" localSheetId="8">#REF!</definedName>
    <definedName name="database2" localSheetId="8">#REF!</definedName>
    <definedName name="database3" localSheetId="8">#REF!</definedName>
    <definedName name="ddd" localSheetId="8">#REF!</definedName>
    <definedName name="dddd" localSheetId="8">[33]人民银行!#REF!</definedName>
    <definedName name="FAMERangeexchebAD12" localSheetId="8">#REF!</definedName>
    <definedName name="FAMERangeirsAD12" localSheetId="8">#REF!</definedName>
    <definedName name="FAMERangeMGSV" localSheetId="8">#REF!</definedName>
    <definedName name="FAMERangeMGSVAB10" localSheetId="8">#REF!</definedName>
    <definedName name="FAMERangeMGSVAB11" localSheetId="8">#REF!</definedName>
    <definedName name="FAMERangeMGSVAB12" localSheetId="8">#REF!</definedName>
    <definedName name="FAMERangeMGSVAB13" localSheetId="8">#REF!</definedName>
    <definedName name="FAMERangeMGSVAB14" localSheetId="8">#REF!</definedName>
    <definedName name="FAMERangeMGSVAB15" localSheetId="8">#REF!</definedName>
    <definedName name="FAMERangeMGSVAB16" localSheetId="8">#REF!</definedName>
    <definedName name="FAMERangeMGSVAB17" localSheetId="8">#REF!</definedName>
    <definedName name="FAMERangeMGSVAB18" localSheetId="8">#REF!</definedName>
    <definedName name="FAMERangeMGSVAB19" localSheetId="8">#REF!</definedName>
    <definedName name="FAMERangeMGSVAB20" localSheetId="8">#REF!</definedName>
    <definedName name="FAMERangeMGSVAB21" localSheetId="8">#REF!</definedName>
    <definedName name="FAMERangeMGSVAB22" localSheetId="8">#REF!</definedName>
    <definedName name="FAMERangeMGSVAB23" localSheetId="8">#REF!</definedName>
    <definedName name="FAMERangeMGSVAB24" localSheetId="8">#REF!</definedName>
    <definedName name="FAMERangeMGSVAB25" localSheetId="8">#REF!</definedName>
    <definedName name="FAMERangeMGSVAB26" localSheetId="8">#REF!</definedName>
    <definedName name="FAMERangeMGSVAB27" localSheetId="8">#REF!</definedName>
    <definedName name="FAMERangeMGSVAB28" localSheetId="8">#REF!</definedName>
    <definedName name="FAMERangeMGSVAB29" localSheetId="8">#REF!</definedName>
    <definedName name="FAMERangeMGSVAB30" localSheetId="8">#REF!</definedName>
    <definedName name="FAMERangeMGSVAB31" localSheetId="8">#REF!</definedName>
    <definedName name="FAMERangeMGSVAB32" localSheetId="8">#REF!</definedName>
    <definedName name="FAMERangeMGSVAB33" localSheetId="8">#REF!</definedName>
    <definedName name="FAMERangeMGSVAB34" localSheetId="8">#REF!</definedName>
    <definedName name="FAMERangeMGSVAB35" localSheetId="8">#REF!</definedName>
    <definedName name="FAMERangeMGSVAB36" localSheetId="8">#REF!</definedName>
    <definedName name="FAMERangeMGSVAB38" localSheetId="8">#REF!</definedName>
    <definedName name="FAMERangeMGSVAB5" localSheetId="8">#REF!</definedName>
    <definedName name="FAMERangeMGSVAB6" localSheetId="8">#REF!</definedName>
    <definedName name="FAMERangeMGSVAB7" localSheetId="8">#REF!</definedName>
    <definedName name="FAMERangeMGSVAB8" localSheetId="8">#REF!</definedName>
    <definedName name="FAMERangeMGSVAB9" localSheetId="8">#REF!</definedName>
    <definedName name="FAMERangeMGSVAC10" localSheetId="8">#REF!</definedName>
    <definedName name="FAMERangeMGSVAC11" localSheetId="8">#REF!</definedName>
    <definedName name="FAMERangeMGSVAC12" localSheetId="8">#REF!</definedName>
    <definedName name="FAMERangeMGSVAC13" localSheetId="8">#REF!</definedName>
    <definedName name="FAMERangeMGSVAC14" localSheetId="8">#REF!</definedName>
    <definedName name="FAMERangeMGSVAC15" localSheetId="8">#REF!</definedName>
    <definedName name="FAMERangeMGSVAC16" localSheetId="8">#REF!</definedName>
    <definedName name="FAMERangeMGSVAC17" localSheetId="8">#REF!</definedName>
    <definedName name="FAMERangeMGSVAC18" localSheetId="8">#REF!</definedName>
    <definedName name="FAMERangeMGSVAC19" localSheetId="8">#REF!</definedName>
    <definedName name="FAMERangeMGSVAC20" localSheetId="8">#REF!</definedName>
    <definedName name="FAMERangeMGSVAC21" localSheetId="8">#REF!</definedName>
    <definedName name="FAMERangeMGSVAC22" localSheetId="8">#REF!</definedName>
    <definedName name="FAMERangeMGSVAC23" localSheetId="8">#REF!</definedName>
    <definedName name="FAMERangeMGSVAC24" localSheetId="8">#REF!</definedName>
    <definedName name="FAMERangeMGSVAC25" localSheetId="8">#REF!</definedName>
    <definedName name="FAMERangeMGSVAC26" localSheetId="8">#REF!</definedName>
    <definedName name="FAMERangeMGSVAC27" localSheetId="8">#REF!</definedName>
    <definedName name="FAMERangeMGSVAC28" localSheetId="8">#REF!</definedName>
    <definedName name="FAMERangeMGSVAC29" localSheetId="8">#REF!</definedName>
    <definedName name="FAMERangeMGSVAC30" localSheetId="8">#REF!</definedName>
    <definedName name="FAMERangeMGSVAC31" localSheetId="8">#REF!</definedName>
    <definedName name="FAMERangeMGSVAC32" localSheetId="8">#REF!</definedName>
    <definedName name="FAMERangeMGSVAC33" localSheetId="8">#REF!</definedName>
    <definedName name="FAMERangeMGSVAC34" localSheetId="8">#REF!</definedName>
    <definedName name="FAMERangeMGSVAC35" localSheetId="8">#REF!</definedName>
    <definedName name="FAMERangeMGSVAC36" localSheetId="8">#REF!</definedName>
    <definedName name="FAMERangeMGSVAC38" localSheetId="8">#REF!</definedName>
    <definedName name="FAMERangeMGSVAC5" localSheetId="8">#REF!</definedName>
    <definedName name="FAMERangeMGSVAC6" localSheetId="8">#REF!</definedName>
    <definedName name="FAMERangeMGSVAC7" localSheetId="8">#REF!</definedName>
    <definedName name="FAMERangeMGSVAC8" localSheetId="8">#REF!</definedName>
    <definedName name="FAMERangeMGSVAC9" localSheetId="8">#REF!</definedName>
    <definedName name="FAMERangeMGSVAD10" localSheetId="8">#REF!</definedName>
    <definedName name="FAMERangeMGSVAD11" localSheetId="8">#REF!</definedName>
    <definedName name="FAMERangeMGSVAD12" localSheetId="8">#REF!</definedName>
    <definedName name="FAMERangeMGSVAD13" localSheetId="8">#REF!</definedName>
    <definedName name="FAMERangeMGSVAD14" localSheetId="8">#REF!</definedName>
    <definedName name="FAMERangeMGSVAD15" localSheetId="8">#REF!</definedName>
    <definedName name="FAMERangeMGSVAD16" localSheetId="8">#REF!</definedName>
    <definedName name="FAMERangeMGSVAD17" localSheetId="8">#REF!</definedName>
    <definedName name="FAMERangeMGSVAD18" localSheetId="8">#REF!</definedName>
    <definedName name="FAMERangeMGSVAD19" localSheetId="8">#REF!</definedName>
    <definedName name="FAMERangeMGSVAD20" localSheetId="8">#REF!</definedName>
    <definedName name="FAMERangeMGSVAD21" localSheetId="8">#REF!</definedName>
    <definedName name="FAMERangeMGSVAD22" localSheetId="8">#REF!</definedName>
    <definedName name="FAMERangeMGSVAD23" localSheetId="8">#REF!</definedName>
    <definedName name="FAMERangeMGSVAD24" localSheetId="8">#REF!</definedName>
    <definedName name="FAMERangeMGSVAD25" localSheetId="8">#REF!</definedName>
    <definedName name="FAMERangeMGSVAD26" localSheetId="8">#REF!</definedName>
    <definedName name="FAMERangeMGSVAD27" localSheetId="8">#REF!</definedName>
    <definedName name="FAMERangeMGSVAD28" localSheetId="8">#REF!</definedName>
    <definedName name="FAMERangeMGSVAD29" localSheetId="8">#REF!</definedName>
    <definedName name="FAMERangeMGSVAD30" localSheetId="8">#REF!</definedName>
    <definedName name="FAMERangeMGSVAD31" localSheetId="8">#REF!</definedName>
    <definedName name="FAMERangeMGSVAD32" localSheetId="8">#REF!</definedName>
    <definedName name="FAMERangeMGSVAD33" localSheetId="8">#REF!</definedName>
    <definedName name="FAMERangeMGSVAD34" localSheetId="8">#REF!</definedName>
    <definedName name="FAMERangeMGSVAD35" localSheetId="8">#REF!</definedName>
    <definedName name="FAMERangeMGSVAD36" localSheetId="8">#REF!</definedName>
    <definedName name="FAMERangeMGSVAD38" localSheetId="8">#REF!</definedName>
    <definedName name="FAMERangeMGSVAD5" localSheetId="8">#REF!</definedName>
    <definedName name="FAMERangeMGSVAD6" localSheetId="8">#REF!</definedName>
    <definedName name="FAMERangeMGSVAD7" localSheetId="8">#REF!</definedName>
    <definedName name="FAMERangeMGSVAD8" localSheetId="8">#REF!</definedName>
    <definedName name="FAMERangeMGSVAD9" localSheetId="8">#REF!</definedName>
    <definedName name="fjsldkfjsdljflsdkjf" localSheetId="8">#REF!</definedName>
    <definedName name="hhhh" localSheetId="8">#REF!</definedName>
    <definedName name="kkkk" localSheetId="8">#REF!</definedName>
    <definedName name="Print_Area_MI" localSheetId="8">#REF!</definedName>
    <definedName name="qqqqqqqqqqqqqqqqqqqqqqq" localSheetId="8">#REF!</definedName>
    <definedName name="sheng" localSheetId="8">#REF!</definedName>
    <definedName name="summary" localSheetId="8">#REF!</definedName>
    <definedName name="UniqueRange_37" localSheetId="8">#REF!</definedName>
    <definedName name="UniqueRange_38" localSheetId="8">#REF!</definedName>
    <definedName name="UniqueRange_39" localSheetId="8">#REF!</definedName>
    <definedName name="UniqueRange_40" localSheetId="8">#REF!</definedName>
    <definedName name="UniqueRange_41" localSheetId="8">#REF!</definedName>
    <definedName name="UniqueRange_42" localSheetId="8">#REF!</definedName>
    <definedName name="UniqueRange_43" localSheetId="8">#REF!</definedName>
    <definedName name="UniqueRange_44" localSheetId="8">#REF!</definedName>
    <definedName name="UniqueRange_45" localSheetId="8">#REF!</definedName>
    <definedName name="UniqueRange_46" localSheetId="8">#REF!</definedName>
    <definedName name="UniqueRange_47" localSheetId="8">#REF!</definedName>
    <definedName name="xxxx" localSheetId="8">[33]人民银行!#REF!</definedName>
    <definedName name="zqlx" localSheetId="8">[34]DB!$M$43:$M$46</definedName>
    <definedName name="北京市行政区划" localSheetId="8">#REF!</definedName>
    <definedName name="财政供养" localSheetId="8">#REF!</definedName>
    <definedName name="产品" localSheetId="8">[35]Chap5_1!$A$1:$E$72</definedName>
    <definedName name="处室" localSheetId="8">#REF!</definedName>
    <definedName name="还有" localSheetId="8">#REF!</definedName>
    <definedName name="汇率" localSheetId="8">#REF!</definedName>
    <definedName name="基金处室" localSheetId="8">#REF!</definedName>
    <definedName name="基金金额" localSheetId="8">#REF!</definedName>
    <definedName name="基金科目" localSheetId="8">#REF!</definedName>
    <definedName name="基金类型" localSheetId="8">#REF!</definedName>
    <definedName name="金额" localSheetId="8">#REF!</definedName>
    <definedName name="科目" localSheetId="8">#REF!</definedName>
    <definedName name="类型" localSheetId="8">#REF!</definedName>
    <definedName name="区划" localSheetId="8">#REF!</definedName>
    <definedName name="生产列1" localSheetId="8">#REF!</definedName>
    <definedName name="生产列11" localSheetId="8">#REF!</definedName>
    <definedName name="生产列15" localSheetId="8">#REF!</definedName>
    <definedName name="生产列16" localSheetId="8">#REF!</definedName>
    <definedName name="生产列17" localSheetId="8">#REF!</definedName>
    <definedName name="生产列19" localSheetId="8">#REF!</definedName>
    <definedName name="生产列2" localSheetId="8">#REF!</definedName>
    <definedName name="生产列20" localSheetId="8">#REF!</definedName>
    <definedName name="生产列3" localSheetId="8">#REF!</definedName>
    <definedName name="生产列4" localSheetId="8">#REF!</definedName>
    <definedName name="生产列5" localSheetId="8">#REF!</definedName>
    <definedName name="生产列6" localSheetId="8">#REF!</definedName>
    <definedName name="生产列7" localSheetId="8">#REF!</definedName>
    <definedName name="生产列8" localSheetId="8">#REF!</definedName>
    <definedName name="生产列9" localSheetId="8">#REF!</definedName>
    <definedName name="生产期" localSheetId="8">#REF!</definedName>
    <definedName name="生产期1" localSheetId="8">#REF!</definedName>
    <definedName name="生产期11" localSheetId="8">#REF!</definedName>
    <definedName name="生产期123" localSheetId="8">#REF!</definedName>
    <definedName name="生产期15" localSheetId="8">#REF!</definedName>
    <definedName name="生产期16" localSheetId="8">#REF!</definedName>
    <definedName name="生产期17" localSheetId="8">#REF!</definedName>
    <definedName name="生产期18" localSheetId="8">#REF!</definedName>
    <definedName name="生产期19" localSheetId="8">#REF!</definedName>
    <definedName name="生产期2" localSheetId="8">#REF!</definedName>
    <definedName name="生产期20" localSheetId="8">#REF!</definedName>
    <definedName name="生产期3" localSheetId="8">#REF!</definedName>
    <definedName name="生产期4" localSheetId="8">#REF!</definedName>
    <definedName name="生产期5" localSheetId="8">#REF!</definedName>
    <definedName name="生产期6" localSheetId="8">#REF!</definedName>
    <definedName name="生产期7" localSheetId="8">#REF!</definedName>
    <definedName name="生产期8" localSheetId="8">#REF!</definedName>
    <definedName name="生产期9" localSheetId="8">#REF!</definedName>
    <definedName name="전" localSheetId="8">#REF!</definedName>
    <definedName name="주택사업본부" localSheetId="8">#REF!</definedName>
    <definedName name="철구사업본부" localSheetId="8">#REF!</definedName>
    <definedName name="_xlnm.Print_Area" localSheetId="8">'（附表7）政府性基金预算支出科目'!$A$1:$M$111</definedName>
    <definedName name="_xlnm.Print_Titles" localSheetId="8">'（附表7）政府性基金预算支出科目'!$1:$5</definedName>
    <definedName name="_xlnm._FilterDatabase" localSheetId="7" hidden="1">'（附表6）政府性基金预算收入项目'!$A$4:$M$30</definedName>
    <definedName name="_123" localSheetId="7">OFFSET(#REF!,,,COUNTA(#REF!)-1)</definedName>
    <definedName name="a" localSheetId="7">#REF!</definedName>
    <definedName name="aa" localSheetId="7">#REF!</definedName>
    <definedName name="ABC" localSheetId="7">#REF!</definedName>
    <definedName name="ABD" localSheetId="7">#REF!</definedName>
    <definedName name="county" localSheetId="7">#REF!</definedName>
    <definedName name="data" localSheetId="7">#REF!</definedName>
    <definedName name="database2" localSheetId="7">#REF!</definedName>
    <definedName name="database3" localSheetId="7">#REF!</definedName>
    <definedName name="ddd" localSheetId="7">#REF!</definedName>
    <definedName name="FAMERangeexchebAD12" localSheetId="7">#REF!</definedName>
    <definedName name="FAMERangeirsAD12" localSheetId="7">#REF!</definedName>
    <definedName name="FAMERangeMGSV" localSheetId="7">#REF!</definedName>
    <definedName name="FAMERangeMGSVAB10" localSheetId="7">#REF!</definedName>
    <definedName name="FAMERangeMGSVAB11" localSheetId="7">#REF!</definedName>
    <definedName name="FAMERangeMGSVAB12" localSheetId="7">#REF!</definedName>
    <definedName name="FAMERangeMGSVAB13" localSheetId="7">#REF!</definedName>
    <definedName name="FAMERangeMGSVAB14" localSheetId="7">#REF!</definedName>
    <definedName name="FAMERangeMGSVAB15" localSheetId="7">#REF!</definedName>
    <definedName name="FAMERangeMGSVAB16" localSheetId="7">#REF!</definedName>
    <definedName name="FAMERangeMGSVAB17" localSheetId="7">#REF!</definedName>
    <definedName name="FAMERangeMGSVAB18" localSheetId="7">#REF!</definedName>
    <definedName name="FAMERangeMGSVAB19" localSheetId="7">#REF!</definedName>
    <definedName name="FAMERangeMGSVAB20" localSheetId="7">#REF!</definedName>
    <definedName name="FAMERangeMGSVAB21" localSheetId="7">#REF!</definedName>
    <definedName name="FAMERangeMGSVAB22" localSheetId="7">#REF!</definedName>
    <definedName name="FAMERangeMGSVAB23" localSheetId="7">#REF!</definedName>
    <definedName name="FAMERangeMGSVAB24" localSheetId="7">#REF!</definedName>
    <definedName name="FAMERangeMGSVAB25" localSheetId="7">#REF!</definedName>
    <definedName name="FAMERangeMGSVAB26" localSheetId="7">#REF!</definedName>
    <definedName name="FAMERangeMGSVAB27" localSheetId="7">#REF!</definedName>
    <definedName name="FAMERangeMGSVAB28" localSheetId="7">#REF!</definedName>
    <definedName name="FAMERangeMGSVAB29" localSheetId="7">#REF!</definedName>
    <definedName name="FAMERangeMGSVAB30" localSheetId="7">#REF!</definedName>
    <definedName name="FAMERangeMGSVAB31" localSheetId="7">#REF!</definedName>
    <definedName name="FAMERangeMGSVAB32" localSheetId="7">#REF!</definedName>
    <definedName name="FAMERangeMGSVAB33" localSheetId="7">#REF!</definedName>
    <definedName name="FAMERangeMGSVAB34" localSheetId="7">#REF!</definedName>
    <definedName name="FAMERangeMGSVAB35" localSheetId="7">#REF!</definedName>
    <definedName name="FAMERangeMGSVAB36" localSheetId="7">#REF!</definedName>
    <definedName name="FAMERangeMGSVAB38" localSheetId="7">#REF!</definedName>
    <definedName name="FAMERangeMGSVAB5" localSheetId="7">#REF!</definedName>
    <definedName name="FAMERangeMGSVAB6" localSheetId="7">#REF!</definedName>
    <definedName name="FAMERangeMGSVAB7" localSheetId="7">#REF!</definedName>
    <definedName name="FAMERangeMGSVAB8" localSheetId="7">#REF!</definedName>
    <definedName name="FAMERangeMGSVAB9" localSheetId="7">#REF!</definedName>
    <definedName name="FAMERangeMGSVAC10" localSheetId="7">#REF!</definedName>
    <definedName name="FAMERangeMGSVAC11" localSheetId="7">#REF!</definedName>
    <definedName name="FAMERangeMGSVAC12" localSheetId="7">#REF!</definedName>
    <definedName name="FAMERangeMGSVAC13" localSheetId="7">#REF!</definedName>
    <definedName name="FAMERangeMGSVAC14" localSheetId="7">#REF!</definedName>
    <definedName name="FAMERangeMGSVAC15" localSheetId="7">#REF!</definedName>
    <definedName name="FAMERangeMGSVAC16" localSheetId="7">#REF!</definedName>
    <definedName name="FAMERangeMGSVAC17" localSheetId="7">#REF!</definedName>
    <definedName name="FAMERangeMGSVAC18" localSheetId="7">#REF!</definedName>
    <definedName name="FAMERangeMGSVAC19" localSheetId="7">#REF!</definedName>
    <definedName name="FAMERangeMGSVAC20" localSheetId="7">#REF!</definedName>
    <definedName name="FAMERangeMGSVAC21" localSheetId="7">#REF!</definedName>
    <definedName name="FAMERangeMGSVAC22" localSheetId="7">#REF!</definedName>
    <definedName name="FAMERangeMGSVAC23" localSheetId="7">#REF!</definedName>
    <definedName name="FAMERangeMGSVAC24" localSheetId="7">#REF!</definedName>
    <definedName name="FAMERangeMGSVAC25" localSheetId="7">#REF!</definedName>
    <definedName name="FAMERangeMGSVAC26" localSheetId="7">#REF!</definedName>
    <definedName name="FAMERangeMGSVAC27" localSheetId="7">#REF!</definedName>
    <definedName name="FAMERangeMGSVAC28" localSheetId="7">#REF!</definedName>
    <definedName name="FAMERangeMGSVAC29" localSheetId="7">#REF!</definedName>
    <definedName name="FAMERangeMGSVAC30" localSheetId="7">#REF!</definedName>
    <definedName name="FAMERangeMGSVAC31" localSheetId="7">#REF!</definedName>
    <definedName name="FAMERangeMGSVAC32" localSheetId="7">#REF!</definedName>
    <definedName name="FAMERangeMGSVAC33" localSheetId="7">#REF!</definedName>
    <definedName name="FAMERangeMGSVAC34" localSheetId="7">#REF!</definedName>
    <definedName name="FAMERangeMGSVAC35" localSheetId="7">#REF!</definedName>
    <definedName name="FAMERangeMGSVAC36" localSheetId="7">#REF!</definedName>
    <definedName name="FAMERangeMGSVAC38" localSheetId="7">#REF!</definedName>
    <definedName name="FAMERangeMGSVAC5" localSheetId="7">#REF!</definedName>
    <definedName name="FAMERangeMGSVAC6" localSheetId="7">#REF!</definedName>
    <definedName name="FAMERangeMGSVAC7" localSheetId="7">#REF!</definedName>
    <definedName name="FAMERangeMGSVAC8" localSheetId="7">#REF!</definedName>
    <definedName name="FAMERangeMGSVAC9" localSheetId="7">#REF!</definedName>
    <definedName name="FAMERangeMGSVAD10" localSheetId="7">#REF!</definedName>
    <definedName name="FAMERangeMGSVAD11" localSheetId="7">#REF!</definedName>
    <definedName name="FAMERangeMGSVAD12" localSheetId="7">#REF!</definedName>
    <definedName name="FAMERangeMGSVAD13" localSheetId="7">#REF!</definedName>
    <definedName name="FAMERangeMGSVAD14" localSheetId="7">#REF!</definedName>
    <definedName name="FAMERangeMGSVAD15" localSheetId="7">#REF!</definedName>
    <definedName name="FAMERangeMGSVAD16" localSheetId="7">#REF!</definedName>
    <definedName name="FAMERangeMGSVAD17" localSheetId="7">#REF!</definedName>
    <definedName name="FAMERangeMGSVAD18" localSheetId="7">#REF!</definedName>
    <definedName name="FAMERangeMGSVAD19" localSheetId="7">#REF!</definedName>
    <definedName name="FAMERangeMGSVAD20" localSheetId="7">#REF!</definedName>
    <definedName name="FAMERangeMGSVAD21" localSheetId="7">#REF!</definedName>
    <definedName name="FAMERangeMGSVAD22" localSheetId="7">#REF!</definedName>
    <definedName name="FAMERangeMGSVAD23" localSheetId="7">#REF!</definedName>
    <definedName name="FAMERangeMGSVAD24" localSheetId="7">#REF!</definedName>
    <definedName name="FAMERangeMGSVAD25" localSheetId="7">#REF!</definedName>
    <definedName name="FAMERangeMGSVAD26" localSheetId="7">#REF!</definedName>
    <definedName name="FAMERangeMGSVAD27" localSheetId="7">#REF!</definedName>
    <definedName name="FAMERangeMGSVAD28" localSheetId="7">#REF!</definedName>
    <definedName name="FAMERangeMGSVAD29" localSheetId="7">#REF!</definedName>
    <definedName name="FAMERangeMGSVAD30" localSheetId="7">#REF!</definedName>
    <definedName name="FAMERangeMGSVAD31" localSheetId="7">#REF!</definedName>
    <definedName name="FAMERangeMGSVAD32" localSheetId="7">#REF!</definedName>
    <definedName name="FAMERangeMGSVAD33" localSheetId="7">#REF!</definedName>
    <definedName name="FAMERangeMGSVAD34" localSheetId="7">#REF!</definedName>
    <definedName name="FAMERangeMGSVAD35" localSheetId="7">#REF!</definedName>
    <definedName name="FAMERangeMGSVAD36" localSheetId="7">#REF!</definedName>
    <definedName name="FAMERangeMGSVAD38" localSheetId="7">#REF!</definedName>
    <definedName name="FAMERangeMGSVAD5" localSheetId="7">#REF!</definedName>
    <definedName name="FAMERangeMGSVAD6" localSheetId="7">#REF!</definedName>
    <definedName name="FAMERangeMGSVAD7" localSheetId="7">#REF!</definedName>
    <definedName name="FAMERangeMGSVAD8" localSheetId="7">#REF!</definedName>
    <definedName name="FAMERangeMGSVAD9" localSheetId="7">#REF!</definedName>
    <definedName name="fjsldkfjsdljflsdkjf" localSheetId="7">#REF!</definedName>
    <definedName name="hhhh" localSheetId="7">#REF!</definedName>
    <definedName name="kkkk" localSheetId="7">#REF!</definedName>
    <definedName name="_xlnm.Print_Area" localSheetId="7">'（附表6）政府性基金预算收入项目'!$A$1:$M$30</definedName>
    <definedName name="Print_Area_MI" localSheetId="7">#REF!</definedName>
    <definedName name="_xlnm.Print_Titles" localSheetId="7">'（附表6）政府性基金预算收入项目'!$1:$4</definedName>
    <definedName name="qqqqqqqqqqqqqqqqqqqqqqq" localSheetId="7">#REF!</definedName>
    <definedName name="sheng" localSheetId="7">#REF!</definedName>
    <definedName name="summary" localSheetId="7">#REF!</definedName>
    <definedName name="UniqueRange_37" localSheetId="7">#REF!</definedName>
    <definedName name="UniqueRange_38" localSheetId="7">#REF!</definedName>
    <definedName name="UniqueRange_39" localSheetId="7">#REF!</definedName>
    <definedName name="UniqueRange_40" localSheetId="7">#REF!</definedName>
    <definedName name="UniqueRange_41" localSheetId="7">#REF!</definedName>
    <definedName name="UniqueRange_42" localSheetId="7">#REF!</definedName>
    <definedName name="UniqueRange_43" localSheetId="7">#REF!</definedName>
    <definedName name="UniqueRange_44" localSheetId="7">#REF!</definedName>
    <definedName name="UniqueRange_45" localSheetId="7">#REF!</definedName>
    <definedName name="UniqueRange_46" localSheetId="7">#REF!</definedName>
    <definedName name="UniqueRange_47" localSheetId="7">#REF!</definedName>
    <definedName name="北京市行政区划" localSheetId="7">#REF!</definedName>
    <definedName name="财政供养" localSheetId="7">#REF!</definedName>
    <definedName name="处室" localSheetId="7">#REF!</definedName>
    <definedName name="还有" localSheetId="7">#REF!</definedName>
    <definedName name="汇率" localSheetId="7">#REF!</definedName>
    <definedName name="基金处室" localSheetId="7">#REF!</definedName>
    <definedName name="基金金额" localSheetId="7">#REF!</definedName>
    <definedName name="基金科目" localSheetId="7">#REF!</definedName>
    <definedName name="基金类型" localSheetId="7">#REF!</definedName>
    <definedName name="金额" localSheetId="7">#REF!</definedName>
    <definedName name="科目" localSheetId="7">#REF!</definedName>
    <definedName name="类型" localSheetId="7">#REF!</definedName>
    <definedName name="区划" localSheetId="7">#REF!</definedName>
    <definedName name="生产列1" localSheetId="7">#REF!</definedName>
    <definedName name="生产列11" localSheetId="7">#REF!</definedName>
    <definedName name="生产列15" localSheetId="7">#REF!</definedName>
    <definedName name="生产列16" localSheetId="7">#REF!</definedName>
    <definedName name="生产列17" localSheetId="7">#REF!</definedName>
    <definedName name="生产列19" localSheetId="7">#REF!</definedName>
    <definedName name="生产列2" localSheetId="7">#REF!</definedName>
    <definedName name="生产列20" localSheetId="7">#REF!</definedName>
    <definedName name="生产列3" localSheetId="7">#REF!</definedName>
    <definedName name="生产列4" localSheetId="7">#REF!</definedName>
    <definedName name="生产列5" localSheetId="7">#REF!</definedName>
    <definedName name="生产列6" localSheetId="7">#REF!</definedName>
    <definedName name="生产列7" localSheetId="7">#REF!</definedName>
    <definedName name="生产列8" localSheetId="7">#REF!</definedName>
    <definedName name="生产列9" localSheetId="7">#REF!</definedName>
    <definedName name="生产期" localSheetId="7">#REF!</definedName>
    <definedName name="生产期1" localSheetId="7">#REF!</definedName>
    <definedName name="生产期11" localSheetId="7">#REF!</definedName>
    <definedName name="生产期123" localSheetId="7">#REF!</definedName>
    <definedName name="生产期15" localSheetId="7">#REF!</definedName>
    <definedName name="生产期16" localSheetId="7">#REF!</definedName>
    <definedName name="生产期17" localSheetId="7">#REF!</definedName>
    <definedName name="生产期18" localSheetId="7">#REF!</definedName>
    <definedName name="生产期19" localSheetId="7">#REF!</definedName>
    <definedName name="生产期2" localSheetId="7">#REF!</definedName>
    <definedName name="生产期20" localSheetId="7">#REF!</definedName>
    <definedName name="生产期3" localSheetId="7">#REF!</definedName>
    <definedName name="生产期4" localSheetId="7">#REF!</definedName>
    <definedName name="生产期5" localSheetId="7">#REF!</definedName>
    <definedName name="生产期6" localSheetId="7">#REF!</definedName>
    <definedName name="生产期7" localSheetId="7">#REF!</definedName>
    <definedName name="生产期8" localSheetId="7">#REF!</definedName>
    <definedName name="生产期9" localSheetId="7">#REF!</definedName>
    <definedName name="전" localSheetId="7">#REF!</definedName>
    <definedName name="주택사업본부" localSheetId="7">#REF!</definedName>
    <definedName name="철구사업본부" localSheetId="7">#REF!</definedName>
    <definedName name="_xlnm.Print_Area" localSheetId="12">'（附表11）社会保险基金收入表'!$A$1:$I$27</definedName>
    <definedName name="_xlnm.Print_Area" localSheetId="13">'（附表12）社会保险基金支出表'!$A$1:$K$22</definedName>
    <definedName name="_123" localSheetId="2">OFFSET(#REF!,,,COUNTA(#REF!)-1)</definedName>
    <definedName name="_xlnm._FilterDatabase" localSheetId="2" hidden="1">'（附表1）公共财政预算收入'!$A$7:$K$50</definedName>
    <definedName name="a" localSheetId="2">#REF!</definedName>
    <definedName name="aa" localSheetId="2">#REF!</definedName>
    <definedName name="ABC" localSheetId="2">#REF!</definedName>
    <definedName name="ABD" localSheetId="2">#REF!</definedName>
    <definedName name="county" localSheetId="2">#REF!</definedName>
    <definedName name="data" localSheetId="2">#REF!</definedName>
    <definedName name="database2" localSheetId="2">#REF!</definedName>
    <definedName name="database3" localSheetId="2">#REF!</definedName>
    <definedName name="ddd" localSheetId="2">#REF!</definedName>
    <definedName name="FAMERangeexchebAD12" localSheetId="2">#REF!</definedName>
    <definedName name="FAMERangeirsAD12" localSheetId="2">#REF!</definedName>
    <definedName name="FAMERangeMGSV" localSheetId="2">#REF!</definedName>
    <definedName name="FAMERangeMGSVAB10" localSheetId="2">#REF!</definedName>
    <definedName name="FAMERangeMGSVAB11" localSheetId="2">#REF!</definedName>
    <definedName name="FAMERangeMGSVAB12" localSheetId="2">#REF!</definedName>
    <definedName name="FAMERangeMGSVAB13" localSheetId="2">#REF!</definedName>
    <definedName name="FAMERangeMGSVAB14" localSheetId="2">#REF!</definedName>
    <definedName name="FAMERangeMGSVAB15" localSheetId="2">#REF!</definedName>
    <definedName name="FAMERangeMGSVAB16" localSheetId="2">#REF!</definedName>
    <definedName name="FAMERangeMGSVAB17" localSheetId="2">#REF!</definedName>
    <definedName name="FAMERangeMGSVAB18" localSheetId="2">#REF!</definedName>
    <definedName name="FAMERangeMGSVAB19" localSheetId="2">#REF!</definedName>
    <definedName name="FAMERangeMGSVAB20" localSheetId="2">#REF!</definedName>
    <definedName name="FAMERangeMGSVAB21" localSheetId="2">#REF!</definedName>
    <definedName name="FAMERangeMGSVAB22" localSheetId="2">#REF!</definedName>
    <definedName name="FAMERangeMGSVAB23" localSheetId="2">#REF!</definedName>
    <definedName name="FAMERangeMGSVAB24" localSheetId="2">#REF!</definedName>
    <definedName name="FAMERangeMGSVAB25" localSheetId="2">#REF!</definedName>
    <definedName name="FAMERangeMGSVAB26" localSheetId="2">#REF!</definedName>
    <definedName name="FAMERangeMGSVAB27" localSheetId="2">#REF!</definedName>
    <definedName name="FAMERangeMGSVAB28" localSheetId="2">#REF!</definedName>
    <definedName name="FAMERangeMGSVAB29" localSheetId="2">#REF!</definedName>
    <definedName name="FAMERangeMGSVAB30" localSheetId="2">#REF!</definedName>
    <definedName name="FAMERangeMGSVAB31" localSheetId="2">#REF!</definedName>
    <definedName name="FAMERangeMGSVAB32" localSheetId="2">#REF!</definedName>
    <definedName name="FAMERangeMGSVAB33" localSheetId="2">#REF!</definedName>
    <definedName name="FAMERangeMGSVAB34" localSheetId="2">#REF!</definedName>
    <definedName name="FAMERangeMGSVAB35" localSheetId="2">#REF!</definedName>
    <definedName name="FAMERangeMGSVAB36" localSheetId="2">#REF!</definedName>
    <definedName name="FAMERangeMGSVAB38" localSheetId="2">#REF!</definedName>
    <definedName name="FAMERangeMGSVAB5" localSheetId="2">#REF!</definedName>
    <definedName name="FAMERangeMGSVAB6" localSheetId="2">#REF!</definedName>
    <definedName name="FAMERangeMGSVAB7" localSheetId="2">#REF!</definedName>
    <definedName name="FAMERangeMGSVAB8" localSheetId="2">#REF!</definedName>
    <definedName name="FAMERangeMGSVAB9" localSheetId="2">#REF!</definedName>
    <definedName name="FAMERangeMGSVAC10" localSheetId="2">#REF!</definedName>
    <definedName name="FAMERangeMGSVAC11" localSheetId="2">#REF!</definedName>
    <definedName name="FAMERangeMGSVAC12" localSheetId="2">#REF!</definedName>
    <definedName name="FAMERangeMGSVAC13" localSheetId="2">#REF!</definedName>
    <definedName name="FAMERangeMGSVAC14" localSheetId="2">#REF!</definedName>
    <definedName name="FAMERangeMGSVAC15" localSheetId="2">#REF!</definedName>
    <definedName name="FAMERangeMGSVAC16" localSheetId="2">#REF!</definedName>
    <definedName name="FAMERangeMGSVAC17" localSheetId="2">#REF!</definedName>
    <definedName name="FAMERangeMGSVAC18" localSheetId="2">#REF!</definedName>
    <definedName name="FAMERangeMGSVAC19" localSheetId="2">#REF!</definedName>
    <definedName name="FAMERangeMGSVAC20" localSheetId="2">#REF!</definedName>
    <definedName name="FAMERangeMGSVAC21" localSheetId="2">#REF!</definedName>
    <definedName name="FAMERangeMGSVAC22" localSheetId="2">#REF!</definedName>
    <definedName name="FAMERangeMGSVAC23" localSheetId="2">#REF!</definedName>
    <definedName name="FAMERangeMGSVAC24" localSheetId="2">#REF!</definedName>
    <definedName name="FAMERangeMGSVAC25" localSheetId="2">#REF!</definedName>
    <definedName name="FAMERangeMGSVAC26" localSheetId="2">#REF!</definedName>
    <definedName name="FAMERangeMGSVAC27" localSheetId="2">#REF!</definedName>
    <definedName name="FAMERangeMGSVAC28" localSheetId="2">#REF!</definedName>
    <definedName name="FAMERangeMGSVAC29" localSheetId="2">#REF!</definedName>
    <definedName name="FAMERangeMGSVAC30" localSheetId="2">#REF!</definedName>
    <definedName name="FAMERangeMGSVAC31" localSheetId="2">#REF!</definedName>
    <definedName name="FAMERangeMGSVAC32" localSheetId="2">#REF!</definedName>
    <definedName name="FAMERangeMGSVAC33" localSheetId="2">#REF!</definedName>
    <definedName name="FAMERangeMGSVAC34" localSheetId="2">#REF!</definedName>
    <definedName name="FAMERangeMGSVAC35" localSheetId="2">#REF!</definedName>
    <definedName name="FAMERangeMGSVAC36" localSheetId="2">#REF!</definedName>
    <definedName name="FAMERangeMGSVAC38" localSheetId="2">#REF!</definedName>
    <definedName name="FAMERangeMGSVAC5" localSheetId="2">#REF!</definedName>
    <definedName name="FAMERangeMGSVAC6" localSheetId="2">#REF!</definedName>
    <definedName name="FAMERangeMGSVAC7" localSheetId="2">#REF!</definedName>
    <definedName name="FAMERangeMGSVAC8" localSheetId="2">#REF!</definedName>
    <definedName name="FAMERangeMGSVAC9" localSheetId="2">#REF!</definedName>
    <definedName name="FAMERangeMGSVAD10" localSheetId="2">#REF!</definedName>
    <definedName name="FAMERangeMGSVAD11" localSheetId="2">#REF!</definedName>
    <definedName name="FAMERangeMGSVAD12" localSheetId="2">#REF!</definedName>
    <definedName name="FAMERangeMGSVAD13" localSheetId="2">#REF!</definedName>
    <definedName name="FAMERangeMGSVAD14" localSheetId="2">#REF!</definedName>
    <definedName name="FAMERangeMGSVAD15" localSheetId="2">#REF!</definedName>
    <definedName name="FAMERangeMGSVAD16" localSheetId="2">#REF!</definedName>
    <definedName name="FAMERangeMGSVAD17" localSheetId="2">#REF!</definedName>
    <definedName name="FAMERangeMGSVAD18" localSheetId="2">#REF!</definedName>
    <definedName name="FAMERangeMGSVAD19" localSheetId="2">#REF!</definedName>
    <definedName name="FAMERangeMGSVAD20" localSheetId="2">#REF!</definedName>
    <definedName name="FAMERangeMGSVAD21" localSheetId="2">#REF!</definedName>
    <definedName name="FAMERangeMGSVAD22" localSheetId="2">#REF!</definedName>
    <definedName name="FAMERangeMGSVAD23" localSheetId="2">#REF!</definedName>
    <definedName name="FAMERangeMGSVAD24" localSheetId="2">#REF!</definedName>
    <definedName name="FAMERangeMGSVAD25" localSheetId="2">#REF!</definedName>
    <definedName name="FAMERangeMGSVAD26" localSheetId="2">#REF!</definedName>
    <definedName name="FAMERangeMGSVAD27" localSheetId="2">#REF!</definedName>
    <definedName name="FAMERangeMGSVAD28" localSheetId="2">#REF!</definedName>
    <definedName name="FAMERangeMGSVAD29" localSheetId="2">#REF!</definedName>
    <definedName name="FAMERangeMGSVAD30" localSheetId="2">#REF!</definedName>
    <definedName name="FAMERangeMGSVAD31" localSheetId="2">#REF!</definedName>
    <definedName name="FAMERangeMGSVAD32" localSheetId="2">#REF!</definedName>
    <definedName name="FAMERangeMGSVAD33" localSheetId="2">#REF!</definedName>
    <definedName name="FAMERangeMGSVAD34" localSheetId="2">#REF!</definedName>
    <definedName name="FAMERangeMGSVAD35" localSheetId="2">#REF!</definedName>
    <definedName name="FAMERangeMGSVAD36" localSheetId="2">#REF!</definedName>
    <definedName name="FAMERangeMGSVAD38" localSheetId="2">#REF!</definedName>
    <definedName name="FAMERangeMGSVAD5" localSheetId="2">#REF!</definedName>
    <definedName name="FAMERangeMGSVAD6" localSheetId="2">#REF!</definedName>
    <definedName name="FAMERangeMGSVAD7" localSheetId="2">#REF!</definedName>
    <definedName name="FAMERangeMGSVAD8" localSheetId="2">#REF!</definedName>
    <definedName name="FAMERangeMGSVAD9" localSheetId="2">#REF!</definedName>
    <definedName name="fjsldkfjsdljflsdkjf" localSheetId="2">#REF!</definedName>
    <definedName name="hhhh" localSheetId="2">#REF!</definedName>
    <definedName name="kkkk" localSheetId="2">#REF!</definedName>
    <definedName name="Print_Area_MI" localSheetId="2">#REF!</definedName>
    <definedName name="_xlnm.Print_Titles" localSheetId="2">'（附表1）公共财政预算收入'!$1:$6</definedName>
    <definedName name="qqqqqqqqqqqqqqqqqqqqqqq" localSheetId="2">#REF!</definedName>
    <definedName name="sheng" localSheetId="2">#REF!</definedName>
    <definedName name="summary" localSheetId="2">#REF!</definedName>
    <definedName name="UniqueRange_37" localSheetId="2">#REF!</definedName>
    <definedName name="UniqueRange_38" localSheetId="2">#REF!</definedName>
    <definedName name="UniqueRange_39" localSheetId="2">#REF!</definedName>
    <definedName name="UniqueRange_40" localSheetId="2">#REF!</definedName>
    <definedName name="UniqueRange_41" localSheetId="2">#REF!</definedName>
    <definedName name="UniqueRange_42" localSheetId="2">#REF!</definedName>
    <definedName name="UniqueRange_43" localSheetId="2">#REF!</definedName>
    <definedName name="UniqueRange_44" localSheetId="2">#REF!</definedName>
    <definedName name="UniqueRange_45" localSheetId="2">#REF!</definedName>
    <definedName name="UniqueRange_46" localSheetId="2">#REF!</definedName>
    <definedName name="UniqueRange_47" localSheetId="2">#REF!</definedName>
    <definedName name="北京市行政区划" localSheetId="2">#REF!</definedName>
    <definedName name="财政供养" localSheetId="2">#REF!</definedName>
    <definedName name="处室" localSheetId="2">#REF!</definedName>
    <definedName name="还有" localSheetId="2">#REF!</definedName>
    <definedName name="汇率" localSheetId="2">#REF!</definedName>
    <definedName name="基金处室" localSheetId="2">#REF!</definedName>
    <definedName name="基金金额" localSheetId="2">#REF!</definedName>
    <definedName name="基金科目" localSheetId="2">#REF!</definedName>
    <definedName name="基金类型" localSheetId="2">#REF!</definedName>
    <definedName name="金额" localSheetId="2">#REF!</definedName>
    <definedName name="科目" localSheetId="2">#REF!</definedName>
    <definedName name="类型" localSheetId="2">#REF!</definedName>
    <definedName name="区划" localSheetId="2">#REF!</definedName>
    <definedName name="生产列1" localSheetId="2">#REF!</definedName>
    <definedName name="生产列11" localSheetId="2">#REF!</definedName>
    <definedName name="生产列15" localSheetId="2">#REF!</definedName>
    <definedName name="生产列16" localSheetId="2">#REF!</definedName>
    <definedName name="生产列17" localSheetId="2">#REF!</definedName>
    <definedName name="生产列19" localSheetId="2">#REF!</definedName>
    <definedName name="生产列2" localSheetId="2">#REF!</definedName>
    <definedName name="生产列20" localSheetId="2">#REF!</definedName>
    <definedName name="生产列3" localSheetId="2">#REF!</definedName>
    <definedName name="生产列4" localSheetId="2">#REF!</definedName>
    <definedName name="生产列5" localSheetId="2">#REF!</definedName>
    <definedName name="生产列6" localSheetId="2">#REF!</definedName>
    <definedName name="生产列7" localSheetId="2">#REF!</definedName>
    <definedName name="生产列8" localSheetId="2">#REF!</definedName>
    <definedName name="生产列9" localSheetId="2">#REF!</definedName>
    <definedName name="生产期" localSheetId="2">#REF!</definedName>
    <definedName name="生产期1" localSheetId="2">#REF!</definedName>
    <definedName name="生产期11" localSheetId="2">#REF!</definedName>
    <definedName name="生产期123" localSheetId="2">#REF!</definedName>
    <definedName name="生产期15" localSheetId="2">#REF!</definedName>
    <definedName name="生产期16" localSheetId="2">#REF!</definedName>
    <definedName name="生产期17" localSheetId="2">#REF!</definedName>
    <definedName name="生产期18" localSheetId="2">#REF!</definedName>
    <definedName name="生产期19" localSheetId="2">#REF!</definedName>
    <definedName name="生产期2" localSheetId="2">#REF!</definedName>
    <definedName name="生产期20" localSheetId="2">#REF!</definedName>
    <definedName name="生产期3" localSheetId="2">#REF!</definedName>
    <definedName name="生产期4" localSheetId="2">#REF!</definedName>
    <definedName name="生产期5" localSheetId="2">#REF!</definedName>
    <definedName name="生产期6" localSheetId="2">#REF!</definedName>
    <definedName name="生产期7" localSheetId="2">#REF!</definedName>
    <definedName name="生产期8" localSheetId="2">#REF!</definedName>
    <definedName name="生产期9" localSheetId="2">#REF!</definedName>
    <definedName name="전" localSheetId="2">#REF!</definedName>
    <definedName name="주택사업본부" localSheetId="2">#REF!</definedName>
    <definedName name="철구사업본부" localSheetId="2">#REF!</definedName>
    <definedName name="地区名称" localSheetId="6">'[40]01北京市'!#REF!</definedName>
    <definedName name="_123" localSheetId="6">OFFSET(#REF!,,,COUNTA(#REF!)-1)</definedName>
    <definedName name="a" localSheetId="6">#REF!</definedName>
    <definedName name="aa" localSheetId="6">#REF!</definedName>
    <definedName name="ABC" localSheetId="6">#REF!</definedName>
    <definedName name="ABD" localSheetId="6">#REF!</definedName>
    <definedName name="county" localSheetId="6">#REF!</definedName>
    <definedName name="data" localSheetId="6">#REF!</definedName>
    <definedName name="database2" localSheetId="6">#REF!</definedName>
    <definedName name="database3" localSheetId="6">#REF!</definedName>
    <definedName name="ddd" localSheetId="6">#REF!</definedName>
    <definedName name="dddd" localSheetId="6">[33]人民银行!#REF!</definedName>
    <definedName name="FAMERangeexchebAD12" localSheetId="6">#REF!</definedName>
    <definedName name="FAMERangeirsAD12" localSheetId="6">#REF!</definedName>
    <definedName name="FAMERangeMGSV" localSheetId="6">#REF!</definedName>
    <definedName name="FAMERangeMGSVAB10" localSheetId="6">#REF!</definedName>
    <definedName name="FAMERangeMGSVAB11" localSheetId="6">#REF!</definedName>
    <definedName name="FAMERangeMGSVAB12" localSheetId="6">#REF!</definedName>
    <definedName name="FAMERangeMGSVAB13" localSheetId="6">#REF!</definedName>
    <definedName name="FAMERangeMGSVAB14" localSheetId="6">#REF!</definedName>
    <definedName name="FAMERangeMGSVAB15" localSheetId="6">#REF!</definedName>
    <definedName name="FAMERangeMGSVAB16" localSheetId="6">#REF!</definedName>
    <definedName name="FAMERangeMGSVAB17" localSheetId="6">#REF!</definedName>
    <definedName name="FAMERangeMGSVAB18" localSheetId="6">#REF!</definedName>
    <definedName name="FAMERangeMGSVAB19" localSheetId="6">#REF!</definedName>
    <definedName name="FAMERangeMGSVAB20" localSheetId="6">#REF!</definedName>
    <definedName name="FAMERangeMGSVAB21" localSheetId="6">#REF!</definedName>
    <definedName name="FAMERangeMGSVAB22" localSheetId="6">#REF!</definedName>
    <definedName name="FAMERangeMGSVAB23" localSheetId="6">#REF!</definedName>
    <definedName name="FAMERangeMGSVAB24" localSheetId="6">#REF!</definedName>
    <definedName name="FAMERangeMGSVAB25" localSheetId="6">#REF!</definedName>
    <definedName name="FAMERangeMGSVAB26" localSheetId="6">#REF!</definedName>
    <definedName name="FAMERangeMGSVAB27" localSheetId="6">#REF!</definedName>
    <definedName name="FAMERangeMGSVAB28" localSheetId="6">#REF!</definedName>
    <definedName name="FAMERangeMGSVAB29" localSheetId="6">#REF!</definedName>
    <definedName name="FAMERangeMGSVAB30" localSheetId="6">#REF!</definedName>
    <definedName name="FAMERangeMGSVAB31" localSheetId="6">#REF!</definedName>
    <definedName name="FAMERangeMGSVAB32" localSheetId="6">#REF!</definedName>
    <definedName name="FAMERangeMGSVAB33" localSheetId="6">#REF!</definedName>
    <definedName name="FAMERangeMGSVAB34" localSheetId="6">#REF!</definedName>
    <definedName name="FAMERangeMGSVAB35" localSheetId="6">#REF!</definedName>
    <definedName name="FAMERangeMGSVAB36" localSheetId="6">#REF!</definedName>
    <definedName name="FAMERangeMGSVAB38" localSheetId="6">#REF!</definedName>
    <definedName name="FAMERangeMGSVAB5" localSheetId="6">#REF!</definedName>
    <definedName name="FAMERangeMGSVAB6" localSheetId="6">#REF!</definedName>
    <definedName name="FAMERangeMGSVAB7" localSheetId="6">#REF!</definedName>
    <definedName name="FAMERangeMGSVAB8" localSheetId="6">#REF!</definedName>
    <definedName name="FAMERangeMGSVAB9" localSheetId="6">#REF!</definedName>
    <definedName name="FAMERangeMGSVAC10" localSheetId="6">#REF!</definedName>
    <definedName name="FAMERangeMGSVAC11" localSheetId="6">#REF!</definedName>
    <definedName name="FAMERangeMGSVAC12" localSheetId="6">#REF!</definedName>
    <definedName name="FAMERangeMGSVAC13" localSheetId="6">#REF!</definedName>
    <definedName name="FAMERangeMGSVAC14" localSheetId="6">#REF!</definedName>
    <definedName name="FAMERangeMGSVAC15" localSheetId="6">#REF!</definedName>
    <definedName name="FAMERangeMGSVAC16" localSheetId="6">#REF!</definedName>
    <definedName name="FAMERangeMGSVAC17" localSheetId="6">#REF!</definedName>
    <definedName name="FAMERangeMGSVAC18" localSheetId="6">#REF!</definedName>
    <definedName name="FAMERangeMGSVAC19" localSheetId="6">#REF!</definedName>
    <definedName name="FAMERangeMGSVAC20" localSheetId="6">#REF!</definedName>
    <definedName name="FAMERangeMGSVAC21" localSheetId="6">#REF!</definedName>
    <definedName name="FAMERangeMGSVAC22" localSheetId="6">#REF!</definedName>
    <definedName name="FAMERangeMGSVAC23" localSheetId="6">#REF!</definedName>
    <definedName name="FAMERangeMGSVAC24" localSheetId="6">#REF!</definedName>
    <definedName name="FAMERangeMGSVAC25" localSheetId="6">#REF!</definedName>
    <definedName name="FAMERangeMGSVAC26" localSheetId="6">#REF!</definedName>
    <definedName name="FAMERangeMGSVAC27" localSheetId="6">#REF!</definedName>
    <definedName name="FAMERangeMGSVAC28" localSheetId="6">#REF!</definedName>
    <definedName name="FAMERangeMGSVAC29" localSheetId="6">#REF!</definedName>
    <definedName name="FAMERangeMGSVAC30" localSheetId="6">#REF!</definedName>
    <definedName name="FAMERangeMGSVAC31" localSheetId="6">#REF!</definedName>
    <definedName name="FAMERangeMGSVAC32" localSheetId="6">#REF!</definedName>
    <definedName name="FAMERangeMGSVAC33" localSheetId="6">#REF!</definedName>
    <definedName name="FAMERangeMGSVAC34" localSheetId="6">#REF!</definedName>
    <definedName name="FAMERangeMGSVAC35" localSheetId="6">#REF!</definedName>
    <definedName name="FAMERangeMGSVAC36" localSheetId="6">#REF!</definedName>
    <definedName name="FAMERangeMGSVAC38" localSheetId="6">#REF!</definedName>
    <definedName name="FAMERangeMGSVAC5" localSheetId="6">#REF!</definedName>
    <definedName name="FAMERangeMGSVAC6" localSheetId="6">#REF!</definedName>
    <definedName name="FAMERangeMGSVAC7" localSheetId="6">#REF!</definedName>
    <definedName name="FAMERangeMGSVAC8" localSheetId="6">#REF!</definedName>
    <definedName name="FAMERangeMGSVAC9" localSheetId="6">#REF!</definedName>
    <definedName name="FAMERangeMGSVAD10" localSheetId="6">#REF!</definedName>
    <definedName name="FAMERangeMGSVAD11" localSheetId="6">#REF!</definedName>
    <definedName name="FAMERangeMGSVAD12" localSheetId="6">#REF!</definedName>
    <definedName name="FAMERangeMGSVAD13" localSheetId="6">#REF!</definedName>
    <definedName name="FAMERangeMGSVAD14" localSheetId="6">#REF!</definedName>
    <definedName name="FAMERangeMGSVAD15" localSheetId="6">#REF!</definedName>
    <definedName name="FAMERangeMGSVAD16" localSheetId="6">#REF!</definedName>
    <definedName name="FAMERangeMGSVAD17" localSheetId="6">#REF!</definedName>
    <definedName name="FAMERangeMGSVAD18" localSheetId="6">#REF!</definedName>
    <definedName name="FAMERangeMGSVAD19" localSheetId="6">#REF!</definedName>
    <definedName name="FAMERangeMGSVAD20" localSheetId="6">#REF!</definedName>
    <definedName name="FAMERangeMGSVAD21" localSheetId="6">#REF!</definedName>
    <definedName name="FAMERangeMGSVAD22" localSheetId="6">#REF!</definedName>
    <definedName name="FAMERangeMGSVAD23" localSheetId="6">#REF!</definedName>
    <definedName name="FAMERangeMGSVAD24" localSheetId="6">#REF!</definedName>
    <definedName name="FAMERangeMGSVAD25" localSheetId="6">#REF!</definedName>
    <definedName name="FAMERangeMGSVAD26" localSheetId="6">#REF!</definedName>
    <definedName name="FAMERangeMGSVAD27" localSheetId="6">#REF!</definedName>
    <definedName name="FAMERangeMGSVAD28" localSheetId="6">#REF!</definedName>
    <definedName name="FAMERangeMGSVAD29" localSheetId="6">#REF!</definedName>
    <definedName name="FAMERangeMGSVAD30" localSheetId="6">#REF!</definedName>
    <definedName name="FAMERangeMGSVAD31" localSheetId="6">#REF!</definedName>
    <definedName name="FAMERangeMGSVAD32" localSheetId="6">#REF!</definedName>
    <definedName name="FAMERangeMGSVAD33" localSheetId="6">#REF!</definedName>
    <definedName name="FAMERangeMGSVAD34" localSheetId="6">#REF!</definedName>
    <definedName name="FAMERangeMGSVAD35" localSheetId="6">#REF!</definedName>
    <definedName name="FAMERangeMGSVAD36" localSheetId="6">#REF!</definedName>
    <definedName name="FAMERangeMGSVAD38" localSheetId="6">#REF!</definedName>
    <definedName name="FAMERangeMGSVAD5" localSheetId="6">#REF!</definedName>
    <definedName name="FAMERangeMGSVAD6" localSheetId="6">#REF!</definedName>
    <definedName name="FAMERangeMGSVAD7" localSheetId="6">#REF!</definedName>
    <definedName name="FAMERangeMGSVAD8" localSheetId="6">#REF!</definedName>
    <definedName name="FAMERangeMGSVAD9" localSheetId="6">#REF!</definedName>
    <definedName name="fjsldkfjsdljflsdkjf" localSheetId="6">#REF!</definedName>
    <definedName name="hhhh" localSheetId="6">#REF!</definedName>
    <definedName name="kkkk" localSheetId="6">#REF!</definedName>
    <definedName name="Print_Area_MI" localSheetId="6">#REF!</definedName>
    <definedName name="qqqqqqqqqqqqqqqqqqqqqqq" localSheetId="6">#REF!</definedName>
    <definedName name="sheng" localSheetId="6">#REF!</definedName>
    <definedName name="summary" localSheetId="6">#REF!</definedName>
    <definedName name="UniqueRange_37" localSheetId="6">#REF!</definedName>
    <definedName name="UniqueRange_38" localSheetId="6">#REF!</definedName>
    <definedName name="UniqueRange_39" localSheetId="6">#REF!</definedName>
    <definedName name="UniqueRange_40" localSheetId="6">#REF!</definedName>
    <definedName name="UniqueRange_41" localSheetId="6">#REF!</definedName>
    <definedName name="UniqueRange_42" localSheetId="6">#REF!</definedName>
    <definedName name="UniqueRange_43" localSheetId="6">#REF!</definedName>
    <definedName name="UniqueRange_44" localSheetId="6">#REF!</definedName>
    <definedName name="UniqueRange_45" localSheetId="6">#REF!</definedName>
    <definedName name="UniqueRange_46" localSheetId="6">#REF!</definedName>
    <definedName name="UniqueRange_47" localSheetId="6">#REF!</definedName>
    <definedName name="xxxx" localSheetId="6">[33]人民银行!#REF!</definedName>
    <definedName name="zqlx" localSheetId="6">[34]DB!$M$43:$M$46</definedName>
    <definedName name="北京市行政区划" localSheetId="6">#REF!</definedName>
    <definedName name="本年" localSheetId="6">'[39]1-4余额表'!$L$3</definedName>
    <definedName name="财政供养" localSheetId="6">#REF!</definedName>
    <definedName name="产品" localSheetId="6">[35]Chap5_1!$A$1:$E$72</definedName>
    <definedName name="处室" localSheetId="6">#REF!</definedName>
    <definedName name="还有" localSheetId="6">#REF!</definedName>
    <definedName name="汇率" localSheetId="6">#REF!</definedName>
    <definedName name="基金处室" localSheetId="6">#REF!</definedName>
    <definedName name="基金金额" localSheetId="6">#REF!</definedName>
    <definedName name="基金科目" localSheetId="6">#REF!</definedName>
    <definedName name="基金类型" localSheetId="6">#REF!</definedName>
    <definedName name="金额" localSheetId="6">#REF!</definedName>
    <definedName name="科目" localSheetId="6">#REF!</definedName>
    <definedName name="类型" localSheetId="6">#REF!</definedName>
    <definedName name="区划" localSheetId="6">#REF!</definedName>
    <definedName name="去年" localSheetId="6">'[39]1-4余额表'!$L$4</definedName>
    <definedName name="上年" localSheetId="6">'[39]1-4余额表'!$L$2</definedName>
    <definedName name="生产列1" localSheetId="6">#REF!</definedName>
    <definedName name="生产列11" localSheetId="6">#REF!</definedName>
    <definedName name="生产列15" localSheetId="6">#REF!</definedName>
    <definedName name="生产列16" localSheetId="6">#REF!</definedName>
    <definedName name="生产列17" localSheetId="6">#REF!</definedName>
    <definedName name="生产列19" localSheetId="6">#REF!</definedName>
    <definedName name="生产列2" localSheetId="6">#REF!</definedName>
    <definedName name="生产列20" localSheetId="6">#REF!</definedName>
    <definedName name="生产列3" localSheetId="6">#REF!</definedName>
    <definedName name="生产列4" localSheetId="6">#REF!</definedName>
    <definedName name="生产列5" localSheetId="6">#REF!</definedName>
    <definedName name="生产列6" localSheetId="6">#REF!</definedName>
    <definedName name="生产列7" localSheetId="6">#REF!</definedName>
    <definedName name="生产列8" localSheetId="6">#REF!</definedName>
    <definedName name="生产列9" localSheetId="6">#REF!</definedName>
    <definedName name="生产期" localSheetId="6">#REF!</definedName>
    <definedName name="生产期1" localSheetId="6">#REF!</definedName>
    <definedName name="生产期11" localSheetId="6">#REF!</definedName>
    <definedName name="生产期123" localSheetId="6">#REF!</definedName>
    <definedName name="生产期15" localSheetId="6">#REF!</definedName>
    <definedName name="生产期16" localSheetId="6">#REF!</definedName>
    <definedName name="生产期17" localSheetId="6">#REF!</definedName>
    <definedName name="生产期18" localSheetId="6">#REF!</definedName>
    <definedName name="生产期19" localSheetId="6">#REF!</definedName>
    <definedName name="生产期2" localSheetId="6">#REF!</definedName>
    <definedName name="生产期20" localSheetId="6">#REF!</definedName>
    <definedName name="生产期3" localSheetId="6">#REF!</definedName>
    <definedName name="生产期4" localSheetId="6">#REF!</definedName>
    <definedName name="生产期5" localSheetId="6">#REF!</definedName>
    <definedName name="生产期6" localSheetId="6">#REF!</definedName>
    <definedName name="生产期7" localSheetId="6">#REF!</definedName>
    <definedName name="生产期8" localSheetId="6">#REF!</definedName>
    <definedName name="生产期9" localSheetId="6">#REF!</definedName>
    <definedName name="전" localSheetId="6">#REF!</definedName>
    <definedName name="주택사업본부" localSheetId="6">#REF!</definedName>
    <definedName name="철구사업본부" localSheetId="6">#REF!</definedName>
    <definedName name="_xlnm.Print_Titles" localSheetId="6">'（附表5）政府性基金预算收入科目'!$1:$5</definedName>
    <definedName name="_123" localSheetId="5">OFFSET(#REF!,,,COUNTA(#REF!)-1)</definedName>
    <definedName name="a" localSheetId="5">#REF!</definedName>
    <definedName name="aa" localSheetId="5">#REF!</definedName>
    <definedName name="ABC" localSheetId="5">#REF!</definedName>
    <definedName name="ABD" localSheetId="5">#REF!</definedName>
    <definedName name="county" localSheetId="5">#REF!</definedName>
    <definedName name="data" localSheetId="5">#REF!</definedName>
    <definedName name="database2" localSheetId="5">#REF!</definedName>
    <definedName name="database3" localSheetId="5">#REF!</definedName>
    <definedName name="ddd" localSheetId="5">#REF!</definedName>
    <definedName name="FAMERangeexchebAD12" localSheetId="5">#REF!</definedName>
    <definedName name="FAMERangeirsAD12" localSheetId="5">#REF!</definedName>
    <definedName name="FAMERangeMGSV" localSheetId="5">#REF!</definedName>
    <definedName name="FAMERangeMGSVAB10" localSheetId="5">#REF!</definedName>
    <definedName name="FAMERangeMGSVAB11" localSheetId="5">#REF!</definedName>
    <definedName name="FAMERangeMGSVAB12" localSheetId="5">#REF!</definedName>
    <definedName name="FAMERangeMGSVAB13" localSheetId="5">#REF!</definedName>
    <definedName name="FAMERangeMGSVAB14" localSheetId="5">#REF!</definedName>
    <definedName name="FAMERangeMGSVAB15" localSheetId="5">#REF!</definedName>
    <definedName name="FAMERangeMGSVAB16" localSheetId="5">#REF!</definedName>
    <definedName name="FAMERangeMGSVAB17" localSheetId="5">#REF!</definedName>
    <definedName name="FAMERangeMGSVAB18" localSheetId="5">#REF!</definedName>
    <definedName name="FAMERangeMGSVAB19" localSheetId="5">#REF!</definedName>
    <definedName name="FAMERangeMGSVAB20" localSheetId="5">#REF!</definedName>
    <definedName name="FAMERangeMGSVAB21" localSheetId="5">#REF!</definedName>
    <definedName name="FAMERangeMGSVAB22" localSheetId="5">#REF!</definedName>
    <definedName name="FAMERangeMGSVAB23" localSheetId="5">#REF!</definedName>
    <definedName name="FAMERangeMGSVAB24" localSheetId="5">#REF!</definedName>
    <definedName name="FAMERangeMGSVAB25" localSheetId="5">#REF!</definedName>
    <definedName name="FAMERangeMGSVAB26" localSheetId="5">#REF!</definedName>
    <definedName name="FAMERangeMGSVAB27" localSheetId="5">#REF!</definedName>
    <definedName name="FAMERangeMGSVAB28" localSheetId="5">#REF!</definedName>
    <definedName name="FAMERangeMGSVAB29" localSheetId="5">#REF!</definedName>
    <definedName name="FAMERangeMGSVAB30" localSheetId="5">#REF!</definedName>
    <definedName name="FAMERangeMGSVAB31" localSheetId="5">#REF!</definedName>
    <definedName name="FAMERangeMGSVAB32" localSheetId="5">#REF!</definedName>
    <definedName name="FAMERangeMGSVAB33" localSheetId="5">#REF!</definedName>
    <definedName name="FAMERangeMGSVAB34" localSheetId="5">#REF!</definedName>
    <definedName name="FAMERangeMGSVAB35" localSheetId="5">#REF!</definedName>
    <definedName name="FAMERangeMGSVAB36" localSheetId="5">#REF!</definedName>
    <definedName name="FAMERangeMGSVAB38" localSheetId="5">#REF!</definedName>
    <definedName name="FAMERangeMGSVAB5" localSheetId="5">#REF!</definedName>
    <definedName name="FAMERangeMGSVAB6" localSheetId="5">#REF!</definedName>
    <definedName name="FAMERangeMGSVAB7" localSheetId="5">#REF!</definedName>
    <definedName name="FAMERangeMGSVAB8" localSheetId="5">#REF!</definedName>
    <definedName name="FAMERangeMGSVAB9" localSheetId="5">#REF!</definedName>
    <definedName name="FAMERangeMGSVAC10" localSheetId="5">#REF!</definedName>
    <definedName name="FAMERangeMGSVAC11" localSheetId="5">#REF!</definedName>
    <definedName name="FAMERangeMGSVAC12" localSheetId="5">#REF!</definedName>
    <definedName name="FAMERangeMGSVAC13" localSheetId="5">#REF!</definedName>
    <definedName name="FAMERangeMGSVAC14" localSheetId="5">#REF!</definedName>
    <definedName name="FAMERangeMGSVAC15" localSheetId="5">#REF!</definedName>
    <definedName name="FAMERangeMGSVAC16" localSheetId="5">#REF!</definedName>
    <definedName name="FAMERangeMGSVAC17" localSheetId="5">#REF!</definedName>
    <definedName name="FAMERangeMGSVAC18" localSheetId="5">#REF!</definedName>
    <definedName name="FAMERangeMGSVAC19" localSheetId="5">#REF!</definedName>
    <definedName name="FAMERangeMGSVAC20" localSheetId="5">#REF!</definedName>
    <definedName name="FAMERangeMGSVAC21" localSheetId="5">#REF!</definedName>
    <definedName name="FAMERangeMGSVAC22" localSheetId="5">#REF!</definedName>
    <definedName name="FAMERangeMGSVAC23" localSheetId="5">#REF!</definedName>
    <definedName name="FAMERangeMGSVAC24" localSheetId="5">#REF!</definedName>
    <definedName name="FAMERangeMGSVAC25" localSheetId="5">#REF!</definedName>
    <definedName name="FAMERangeMGSVAC26" localSheetId="5">#REF!</definedName>
    <definedName name="FAMERangeMGSVAC27" localSheetId="5">#REF!</definedName>
    <definedName name="FAMERangeMGSVAC28" localSheetId="5">#REF!</definedName>
    <definedName name="FAMERangeMGSVAC29" localSheetId="5">#REF!</definedName>
    <definedName name="FAMERangeMGSVAC30" localSheetId="5">#REF!</definedName>
    <definedName name="FAMERangeMGSVAC31" localSheetId="5">#REF!</definedName>
    <definedName name="FAMERangeMGSVAC32" localSheetId="5">#REF!</definedName>
    <definedName name="FAMERangeMGSVAC33" localSheetId="5">#REF!</definedName>
    <definedName name="FAMERangeMGSVAC34" localSheetId="5">#REF!</definedName>
    <definedName name="FAMERangeMGSVAC35" localSheetId="5">#REF!</definedName>
    <definedName name="FAMERangeMGSVAC36" localSheetId="5">#REF!</definedName>
    <definedName name="FAMERangeMGSVAC38" localSheetId="5">#REF!</definedName>
    <definedName name="FAMERangeMGSVAC5" localSheetId="5">#REF!</definedName>
    <definedName name="FAMERangeMGSVAC6" localSheetId="5">#REF!</definedName>
    <definedName name="FAMERangeMGSVAC7" localSheetId="5">#REF!</definedName>
    <definedName name="FAMERangeMGSVAC8" localSheetId="5">#REF!</definedName>
    <definedName name="FAMERangeMGSVAC9" localSheetId="5">#REF!</definedName>
    <definedName name="FAMERangeMGSVAD10" localSheetId="5">#REF!</definedName>
    <definedName name="FAMERangeMGSVAD11" localSheetId="5">#REF!</definedName>
    <definedName name="FAMERangeMGSVAD12" localSheetId="5">#REF!</definedName>
    <definedName name="FAMERangeMGSVAD13" localSheetId="5">#REF!</definedName>
    <definedName name="FAMERangeMGSVAD14" localSheetId="5">#REF!</definedName>
    <definedName name="FAMERangeMGSVAD15" localSheetId="5">#REF!</definedName>
    <definedName name="FAMERangeMGSVAD16" localSheetId="5">#REF!</definedName>
    <definedName name="FAMERangeMGSVAD17" localSheetId="5">#REF!</definedName>
    <definedName name="FAMERangeMGSVAD18" localSheetId="5">#REF!</definedName>
    <definedName name="FAMERangeMGSVAD19" localSheetId="5">#REF!</definedName>
    <definedName name="FAMERangeMGSVAD20" localSheetId="5">#REF!</definedName>
    <definedName name="FAMERangeMGSVAD21" localSheetId="5">#REF!</definedName>
    <definedName name="FAMERangeMGSVAD22" localSheetId="5">#REF!</definedName>
    <definedName name="FAMERangeMGSVAD23" localSheetId="5">#REF!</definedName>
    <definedName name="FAMERangeMGSVAD24" localSheetId="5">#REF!</definedName>
    <definedName name="FAMERangeMGSVAD25" localSheetId="5">#REF!</definedName>
    <definedName name="FAMERangeMGSVAD26" localSheetId="5">#REF!</definedName>
    <definedName name="FAMERangeMGSVAD27" localSheetId="5">#REF!</definedName>
    <definedName name="FAMERangeMGSVAD28" localSheetId="5">#REF!</definedName>
    <definedName name="FAMERangeMGSVAD29" localSheetId="5">#REF!</definedName>
    <definedName name="FAMERangeMGSVAD30" localSheetId="5">#REF!</definedName>
    <definedName name="FAMERangeMGSVAD31" localSheetId="5">#REF!</definedName>
    <definedName name="FAMERangeMGSVAD32" localSheetId="5">#REF!</definedName>
    <definedName name="FAMERangeMGSVAD33" localSheetId="5">#REF!</definedName>
    <definedName name="FAMERangeMGSVAD34" localSheetId="5">#REF!</definedName>
    <definedName name="FAMERangeMGSVAD35" localSheetId="5">#REF!</definedName>
    <definedName name="FAMERangeMGSVAD36" localSheetId="5">#REF!</definedName>
    <definedName name="FAMERangeMGSVAD38" localSheetId="5">#REF!</definedName>
    <definedName name="FAMERangeMGSVAD5" localSheetId="5">#REF!</definedName>
    <definedName name="FAMERangeMGSVAD6" localSheetId="5">#REF!</definedName>
    <definedName name="FAMERangeMGSVAD7" localSheetId="5">#REF!</definedName>
    <definedName name="FAMERangeMGSVAD8" localSheetId="5">#REF!</definedName>
    <definedName name="FAMERangeMGSVAD9" localSheetId="5">#REF!</definedName>
    <definedName name="fjsldkfjsdljflsdkjf" localSheetId="5">#REF!</definedName>
    <definedName name="hhhh" localSheetId="5">#REF!</definedName>
    <definedName name="kkkk" localSheetId="5">#REF!</definedName>
    <definedName name="Print_Area_MI" localSheetId="5">#REF!</definedName>
    <definedName name="qqqqqqqqqqqqqqqqqqqqqqq" localSheetId="5">#REF!</definedName>
    <definedName name="sheng" localSheetId="5">#REF!</definedName>
    <definedName name="summary" localSheetId="5">#REF!</definedName>
    <definedName name="UniqueRange_37" localSheetId="5">#REF!</definedName>
    <definedName name="UniqueRange_38" localSheetId="5">#REF!</definedName>
    <definedName name="UniqueRange_39" localSheetId="5">#REF!</definedName>
    <definedName name="UniqueRange_40" localSheetId="5">#REF!</definedName>
    <definedName name="UniqueRange_41" localSheetId="5">#REF!</definedName>
    <definedName name="UniqueRange_42" localSheetId="5">#REF!</definedName>
    <definedName name="UniqueRange_43" localSheetId="5">#REF!</definedName>
    <definedName name="UniqueRange_44" localSheetId="5">#REF!</definedName>
    <definedName name="UniqueRange_45" localSheetId="5">#REF!</definedName>
    <definedName name="UniqueRange_46" localSheetId="5">#REF!</definedName>
    <definedName name="UniqueRange_47" localSheetId="5">#REF!</definedName>
    <definedName name="北京市行政区划" localSheetId="5">#REF!</definedName>
    <definedName name="财政供养" localSheetId="5">#REF!</definedName>
    <definedName name="处室" localSheetId="5">#REF!</definedName>
    <definedName name="还有" localSheetId="5">#REF!</definedName>
    <definedName name="汇率" localSheetId="5">#REF!</definedName>
    <definedName name="基金处室" localSheetId="5">#REF!</definedName>
    <definedName name="基金金额" localSheetId="5">#REF!</definedName>
    <definedName name="基金科目" localSheetId="5">#REF!</definedName>
    <definedName name="基金类型" localSheetId="5">#REF!</definedName>
    <definedName name="金额" localSheetId="5">#REF!</definedName>
    <definedName name="科目" localSheetId="5">#REF!</definedName>
    <definedName name="类型" localSheetId="5">#REF!</definedName>
    <definedName name="区划" localSheetId="5">#REF!</definedName>
    <definedName name="生产列1" localSheetId="5">#REF!</definedName>
    <definedName name="生产列11" localSheetId="5">#REF!</definedName>
    <definedName name="生产列15" localSheetId="5">#REF!</definedName>
    <definedName name="生产列16" localSheetId="5">#REF!</definedName>
    <definedName name="生产列17" localSheetId="5">#REF!</definedName>
    <definedName name="生产列19" localSheetId="5">#REF!</definedName>
    <definedName name="生产列2" localSheetId="5">#REF!</definedName>
    <definedName name="生产列20" localSheetId="5">#REF!</definedName>
    <definedName name="生产列3" localSheetId="5">#REF!</definedName>
    <definedName name="生产列4" localSheetId="5">#REF!</definedName>
    <definedName name="生产列5" localSheetId="5">#REF!</definedName>
    <definedName name="生产列6" localSheetId="5">#REF!</definedName>
    <definedName name="生产列7" localSheetId="5">#REF!</definedName>
    <definedName name="生产列8" localSheetId="5">#REF!</definedName>
    <definedName name="生产列9" localSheetId="5">#REF!</definedName>
    <definedName name="生产期" localSheetId="5">#REF!</definedName>
    <definedName name="生产期1" localSheetId="5">#REF!</definedName>
    <definedName name="生产期11" localSheetId="5">#REF!</definedName>
    <definedName name="生产期123" localSheetId="5">#REF!</definedName>
    <definedName name="生产期15" localSheetId="5">#REF!</definedName>
    <definedName name="生产期16" localSheetId="5">#REF!</definedName>
    <definedName name="生产期17" localSheetId="5">#REF!</definedName>
    <definedName name="生产期18" localSheetId="5">#REF!</definedName>
    <definedName name="生产期19" localSheetId="5">#REF!</definedName>
    <definedName name="生产期2" localSheetId="5">#REF!</definedName>
    <definedName name="生产期20" localSheetId="5">#REF!</definedName>
    <definedName name="生产期3" localSheetId="5">#REF!</definedName>
    <definedName name="生产期4" localSheetId="5">#REF!</definedName>
    <definedName name="生产期5" localSheetId="5">#REF!</definedName>
    <definedName name="生产期6" localSheetId="5">#REF!</definedName>
    <definedName name="生产期7" localSheetId="5">#REF!</definedName>
    <definedName name="生产期8" localSheetId="5">#REF!</definedName>
    <definedName name="生产期9" localSheetId="5">#REF!</definedName>
    <definedName name="전" localSheetId="5">#REF!</definedName>
    <definedName name="주택사업본부" localSheetId="5">#REF!</definedName>
    <definedName name="철구사업본부" localSheetId="5">#REF!</definedName>
    <definedName name="_123" localSheetId="10">OFFSET(#REF!,,,COUNTA(#REF!)-1)</definedName>
    <definedName name="a" localSheetId="10">#REF!</definedName>
    <definedName name="aa" localSheetId="10">#REF!</definedName>
    <definedName name="ABC" localSheetId="10">#REF!</definedName>
    <definedName name="ABD" localSheetId="10">#REF!</definedName>
    <definedName name="county" localSheetId="10">#REF!</definedName>
    <definedName name="data" localSheetId="10">#REF!</definedName>
    <definedName name="database2" localSheetId="10">#REF!</definedName>
    <definedName name="database3" localSheetId="10">#REF!</definedName>
    <definedName name="ddd" localSheetId="10">#REF!</definedName>
    <definedName name="FAMERangeexchebAD12" localSheetId="10">#REF!</definedName>
    <definedName name="FAMERangeirsAD12" localSheetId="10">#REF!</definedName>
    <definedName name="FAMERangeMGSV" localSheetId="10">#REF!</definedName>
    <definedName name="FAMERangeMGSVAB10" localSheetId="10">#REF!</definedName>
    <definedName name="FAMERangeMGSVAB11" localSheetId="10">#REF!</definedName>
    <definedName name="FAMERangeMGSVAB12" localSheetId="10">#REF!</definedName>
    <definedName name="FAMERangeMGSVAB13" localSheetId="10">#REF!</definedName>
    <definedName name="FAMERangeMGSVAB14" localSheetId="10">#REF!</definedName>
    <definedName name="FAMERangeMGSVAB15" localSheetId="10">#REF!</definedName>
    <definedName name="FAMERangeMGSVAB16" localSheetId="10">#REF!</definedName>
    <definedName name="FAMERangeMGSVAB17" localSheetId="10">#REF!</definedName>
    <definedName name="FAMERangeMGSVAB18" localSheetId="10">#REF!</definedName>
    <definedName name="FAMERangeMGSVAB19" localSheetId="10">#REF!</definedName>
    <definedName name="FAMERangeMGSVAB20" localSheetId="10">#REF!</definedName>
    <definedName name="FAMERangeMGSVAB21" localSheetId="10">#REF!</definedName>
    <definedName name="FAMERangeMGSVAB22" localSheetId="10">#REF!</definedName>
    <definedName name="FAMERangeMGSVAB23" localSheetId="10">#REF!</definedName>
    <definedName name="FAMERangeMGSVAB24" localSheetId="10">#REF!</definedName>
    <definedName name="FAMERangeMGSVAB25" localSheetId="10">#REF!</definedName>
    <definedName name="FAMERangeMGSVAB26" localSheetId="10">#REF!</definedName>
    <definedName name="FAMERangeMGSVAB27" localSheetId="10">#REF!</definedName>
    <definedName name="FAMERangeMGSVAB28" localSheetId="10">#REF!</definedName>
    <definedName name="FAMERangeMGSVAB29" localSheetId="10">#REF!</definedName>
    <definedName name="FAMERangeMGSVAB30" localSheetId="10">#REF!</definedName>
    <definedName name="FAMERangeMGSVAB31" localSheetId="10">#REF!</definedName>
    <definedName name="FAMERangeMGSVAB32" localSheetId="10">#REF!</definedName>
    <definedName name="FAMERangeMGSVAB33" localSheetId="10">#REF!</definedName>
    <definedName name="FAMERangeMGSVAB34" localSheetId="10">#REF!</definedName>
    <definedName name="FAMERangeMGSVAB35" localSheetId="10">#REF!</definedName>
    <definedName name="FAMERangeMGSVAB36" localSheetId="10">#REF!</definedName>
    <definedName name="FAMERangeMGSVAB38" localSheetId="10">#REF!</definedName>
    <definedName name="FAMERangeMGSVAB5" localSheetId="10">#REF!</definedName>
    <definedName name="FAMERangeMGSVAB6" localSheetId="10">#REF!</definedName>
    <definedName name="FAMERangeMGSVAB7" localSheetId="10">#REF!</definedName>
    <definedName name="FAMERangeMGSVAB8" localSheetId="10">#REF!</definedName>
    <definedName name="FAMERangeMGSVAB9" localSheetId="10">#REF!</definedName>
    <definedName name="FAMERangeMGSVAC10" localSheetId="10">#REF!</definedName>
    <definedName name="FAMERangeMGSVAC11" localSheetId="10">#REF!</definedName>
    <definedName name="FAMERangeMGSVAC12" localSheetId="10">#REF!</definedName>
    <definedName name="FAMERangeMGSVAC13" localSheetId="10">#REF!</definedName>
    <definedName name="FAMERangeMGSVAC14" localSheetId="10">#REF!</definedName>
    <definedName name="FAMERangeMGSVAC15" localSheetId="10">#REF!</definedName>
    <definedName name="FAMERangeMGSVAC16" localSheetId="10">#REF!</definedName>
    <definedName name="FAMERangeMGSVAC17" localSheetId="10">#REF!</definedName>
    <definedName name="FAMERangeMGSVAC18" localSheetId="10">#REF!</definedName>
    <definedName name="FAMERangeMGSVAC19" localSheetId="10">#REF!</definedName>
    <definedName name="FAMERangeMGSVAC20" localSheetId="10">#REF!</definedName>
    <definedName name="FAMERangeMGSVAC21" localSheetId="10">#REF!</definedName>
    <definedName name="FAMERangeMGSVAC22" localSheetId="10">#REF!</definedName>
    <definedName name="FAMERangeMGSVAC23" localSheetId="10">#REF!</definedName>
    <definedName name="FAMERangeMGSVAC24" localSheetId="10">#REF!</definedName>
    <definedName name="FAMERangeMGSVAC25" localSheetId="10">#REF!</definedName>
    <definedName name="FAMERangeMGSVAC26" localSheetId="10">#REF!</definedName>
    <definedName name="FAMERangeMGSVAC27" localSheetId="10">#REF!</definedName>
    <definedName name="FAMERangeMGSVAC28" localSheetId="10">#REF!</definedName>
    <definedName name="FAMERangeMGSVAC29" localSheetId="10">#REF!</definedName>
    <definedName name="FAMERangeMGSVAC30" localSheetId="10">#REF!</definedName>
    <definedName name="FAMERangeMGSVAC31" localSheetId="10">#REF!</definedName>
    <definedName name="FAMERangeMGSVAC32" localSheetId="10">#REF!</definedName>
    <definedName name="FAMERangeMGSVAC33" localSheetId="10">#REF!</definedName>
    <definedName name="FAMERangeMGSVAC34" localSheetId="10">#REF!</definedName>
    <definedName name="FAMERangeMGSVAC35" localSheetId="10">#REF!</definedName>
    <definedName name="FAMERangeMGSVAC36" localSheetId="10">#REF!</definedName>
    <definedName name="FAMERangeMGSVAC38" localSheetId="10">#REF!</definedName>
    <definedName name="FAMERangeMGSVAC5" localSheetId="10">#REF!</definedName>
    <definedName name="FAMERangeMGSVAC6" localSheetId="10">#REF!</definedName>
    <definedName name="FAMERangeMGSVAC7" localSheetId="10">#REF!</definedName>
    <definedName name="FAMERangeMGSVAC8" localSheetId="10">#REF!</definedName>
    <definedName name="FAMERangeMGSVAC9" localSheetId="10">#REF!</definedName>
    <definedName name="FAMERangeMGSVAD10" localSheetId="10">#REF!</definedName>
    <definedName name="FAMERangeMGSVAD11" localSheetId="10">#REF!</definedName>
    <definedName name="FAMERangeMGSVAD12" localSheetId="10">#REF!</definedName>
    <definedName name="FAMERangeMGSVAD13" localSheetId="10">#REF!</definedName>
    <definedName name="FAMERangeMGSVAD14" localSheetId="10">#REF!</definedName>
    <definedName name="FAMERangeMGSVAD15" localSheetId="10">#REF!</definedName>
    <definedName name="FAMERangeMGSVAD16" localSheetId="10">#REF!</definedName>
    <definedName name="FAMERangeMGSVAD17" localSheetId="10">#REF!</definedName>
    <definedName name="FAMERangeMGSVAD18" localSheetId="10">#REF!</definedName>
    <definedName name="FAMERangeMGSVAD19" localSheetId="10">#REF!</definedName>
    <definedName name="FAMERangeMGSVAD20" localSheetId="10">#REF!</definedName>
    <definedName name="FAMERangeMGSVAD21" localSheetId="10">#REF!</definedName>
    <definedName name="FAMERangeMGSVAD22" localSheetId="10">#REF!</definedName>
    <definedName name="FAMERangeMGSVAD23" localSheetId="10">#REF!</definedName>
    <definedName name="FAMERangeMGSVAD24" localSheetId="10">#REF!</definedName>
    <definedName name="FAMERangeMGSVAD25" localSheetId="10">#REF!</definedName>
    <definedName name="FAMERangeMGSVAD26" localSheetId="10">#REF!</definedName>
    <definedName name="FAMERangeMGSVAD27" localSheetId="10">#REF!</definedName>
    <definedName name="FAMERangeMGSVAD28" localSheetId="10">#REF!</definedName>
    <definedName name="FAMERangeMGSVAD29" localSheetId="10">#REF!</definedName>
    <definedName name="FAMERangeMGSVAD30" localSheetId="10">#REF!</definedName>
    <definedName name="FAMERangeMGSVAD31" localSheetId="10">#REF!</definedName>
    <definedName name="FAMERangeMGSVAD32" localSheetId="10">#REF!</definedName>
    <definedName name="FAMERangeMGSVAD33" localSheetId="10">#REF!</definedName>
    <definedName name="FAMERangeMGSVAD34" localSheetId="10">#REF!</definedName>
    <definedName name="FAMERangeMGSVAD35" localSheetId="10">#REF!</definedName>
    <definedName name="FAMERangeMGSVAD36" localSheetId="10">#REF!</definedName>
    <definedName name="FAMERangeMGSVAD38" localSheetId="10">#REF!</definedName>
    <definedName name="FAMERangeMGSVAD5" localSheetId="10">#REF!</definedName>
    <definedName name="FAMERangeMGSVAD6" localSheetId="10">#REF!</definedName>
    <definedName name="FAMERangeMGSVAD7" localSheetId="10">#REF!</definedName>
    <definedName name="FAMERangeMGSVAD8" localSheetId="10">#REF!</definedName>
    <definedName name="FAMERangeMGSVAD9" localSheetId="10">#REF!</definedName>
    <definedName name="fjsldkfjsdljflsdkjf" localSheetId="10">#REF!</definedName>
    <definedName name="hhhh" localSheetId="10">#REF!</definedName>
    <definedName name="kkkk" localSheetId="10">#REF!</definedName>
    <definedName name="Print_Area_MI" localSheetId="10">#REF!</definedName>
    <definedName name="qqqqqqqqqqqqqqqqqqqqqqq" localSheetId="10">#REF!</definedName>
    <definedName name="sheng" localSheetId="10">#REF!</definedName>
    <definedName name="summary" localSheetId="10">#REF!</definedName>
    <definedName name="UniqueRange_37" localSheetId="10">#REF!</definedName>
    <definedName name="UniqueRange_38" localSheetId="10">#REF!</definedName>
    <definedName name="UniqueRange_39" localSheetId="10">#REF!</definedName>
    <definedName name="UniqueRange_40" localSheetId="10">#REF!</definedName>
    <definedName name="UniqueRange_41" localSheetId="10">#REF!</definedName>
    <definedName name="UniqueRange_42" localSheetId="10">#REF!</definedName>
    <definedName name="UniqueRange_43" localSheetId="10">#REF!</definedName>
    <definedName name="UniqueRange_44" localSheetId="10">#REF!</definedName>
    <definedName name="UniqueRange_45" localSheetId="10">#REF!</definedName>
    <definedName name="UniqueRange_46" localSheetId="10">#REF!</definedName>
    <definedName name="UniqueRange_47" localSheetId="10">#REF!</definedName>
    <definedName name="北京市行政区划" localSheetId="10">#REF!</definedName>
    <definedName name="本年" localSheetId="10">'[33]1-4余额表'!$L$3</definedName>
    <definedName name="财政供养" localSheetId="10">#REF!</definedName>
    <definedName name="处室" localSheetId="10">#REF!</definedName>
    <definedName name="当年" localSheetId="10">'[34]1-1余额表'!$L$1</definedName>
    <definedName name="地区" localSheetId="10">OFFSET('[34]1-1余额表'!$A$7,,,COUNTA('[34]1-1余额表'!$A:$A)-1)</definedName>
    <definedName name="地区名称" localSheetId="10">'[35]01北京市'!#REF!</definedName>
    <definedName name="还有" localSheetId="10">#REF!</definedName>
    <definedName name="汇率" localSheetId="10">#REF!</definedName>
    <definedName name="基金处室" localSheetId="10">#REF!</definedName>
    <definedName name="基金金额" localSheetId="10">#REF!</definedName>
    <definedName name="基金科目" localSheetId="10">#REF!</definedName>
    <definedName name="基金类型" localSheetId="10">#REF!</definedName>
    <definedName name="金额" localSheetId="10">#REF!</definedName>
    <definedName name="科目" localSheetId="10">#REF!</definedName>
    <definedName name="类型" localSheetId="10">#REF!</definedName>
    <definedName name="区划" localSheetId="10">#REF!</definedName>
    <definedName name="去年" localSheetId="10">'[33]1-4余额表'!$L$4</definedName>
    <definedName name="全部担保" localSheetId="10">OFFSET('[34]1-1余额表'!$G$7,,,COUNTA('[34]1-1余额表'!$G:$G)-1)</definedName>
    <definedName name="全部一般" localSheetId="10">OFFSET('[34]1-1余额表'!$E$7,,,COUNTA('[34]1-1余额表'!$E:$E)-1)</definedName>
    <definedName name="全部余额" localSheetId="10">OFFSET('[34]1-1余额表'!$C$7,,,COUNTA('[34]1-1余额表'!$C:$C)-1)</definedName>
    <definedName name="全部直接" localSheetId="10">OFFSET('[34]1-1余额表'!$D$7,,,COUNTA('[34]1-1余额表'!$D:$D)-1)</definedName>
    <definedName name="全部专项" localSheetId="10">OFFSET('[34]1-1余额表'!$F$7,,,COUNTA('[34]1-1余额表'!$F:$F)-1)</definedName>
    <definedName name="上年" localSheetId="10">'[33]1-4余额表'!$L$2</definedName>
    <definedName name="生产列1" localSheetId="10">#REF!</definedName>
    <definedName name="生产列11" localSheetId="10">#REF!</definedName>
    <definedName name="生产列15" localSheetId="10">#REF!</definedName>
    <definedName name="生产列16" localSheetId="10">#REF!</definedName>
    <definedName name="生产列17" localSheetId="10">#REF!</definedName>
    <definedName name="生产列19" localSheetId="10">#REF!</definedName>
    <definedName name="生产列2" localSheetId="10">#REF!</definedName>
    <definedName name="生产列20" localSheetId="10">#REF!</definedName>
    <definedName name="生产列3" localSheetId="10">#REF!</definedName>
    <definedName name="生产列4" localSheetId="10">#REF!</definedName>
    <definedName name="生产列5" localSheetId="10">#REF!</definedName>
    <definedName name="生产列6" localSheetId="10">#REF!</definedName>
    <definedName name="生产列7" localSheetId="10">#REF!</definedName>
    <definedName name="生产列8" localSheetId="10">#REF!</definedName>
    <definedName name="生产列9" localSheetId="10">#REF!</definedName>
    <definedName name="生产期" localSheetId="10">#REF!</definedName>
    <definedName name="生产期1" localSheetId="10">#REF!</definedName>
    <definedName name="生产期11" localSheetId="10">#REF!</definedName>
    <definedName name="生产期123" localSheetId="10">#REF!</definedName>
    <definedName name="生产期15" localSheetId="10">#REF!</definedName>
    <definedName name="生产期16" localSheetId="10">#REF!</definedName>
    <definedName name="生产期17" localSheetId="10">#REF!</definedName>
    <definedName name="生产期18" localSheetId="10">#REF!</definedName>
    <definedName name="生产期19" localSheetId="10">#REF!</definedName>
    <definedName name="生产期2" localSheetId="10">#REF!</definedName>
    <definedName name="生产期20" localSheetId="10">#REF!</definedName>
    <definedName name="生产期3" localSheetId="10">#REF!</definedName>
    <definedName name="生产期4" localSheetId="10">#REF!</definedName>
    <definedName name="生产期5" localSheetId="10">#REF!</definedName>
    <definedName name="生产期6" localSheetId="10">#REF!</definedName>
    <definedName name="生产期7" localSheetId="10">#REF!</definedName>
    <definedName name="生产期8" localSheetId="10">#REF!</definedName>
    <definedName name="生产期9" localSheetId="10">#REF!</definedName>
    <definedName name="省级担保" localSheetId="10">OFFSET('[34]2-11担保分级表'!$C$6,,,COUNTA('[34]2-11担保分级表'!$C:$C)-1)</definedName>
    <definedName name="省级一般" localSheetId="10">OFFSET('[34]2-7一般分级表'!$C$6,,,COUNTA('[34]2-7一般分级表'!$C:$C)-1)</definedName>
    <definedName name="省级余额" localSheetId="10">OFFSET('[34]2-1余额分级表'!$C$6,,,COUNTA('[34]2-1余额分级表'!$C:$C)-1)</definedName>
    <definedName name="省级直接" localSheetId="10">OFFSET('[34]2-5直接分级表'!$C$6,,,COUNTA('[34]2-5直接分级表'!$C:$C)-1)</definedName>
    <definedName name="省级专项" localSheetId="10">OFFSET('[34]2-9专项分级表'!$C$6,,,COUNTA('[34]2-9专项分级表'!$C:$C)-1)</definedName>
    <definedName name="市级担保" localSheetId="10">OFFSET('[34]2-11担保分级表'!$E$6,,,COUNTA('[34]2-11担保分级表'!$E:$E)-1)</definedName>
    <definedName name="市级一般" localSheetId="10">OFFSET('[34]2-7一般分级表'!$E$6,,,COUNTA('[34]2-7一般分级表'!$E:$E)-1)</definedName>
    <definedName name="市级余额" localSheetId="10">OFFSET('[34]2-1余额分级表'!$E$6,,,COUNTA('[34]2-1余额分级表'!$E:$E)-1)</definedName>
    <definedName name="市级直接" localSheetId="10">OFFSET('[34]2-5直接分级表'!$E$6,,,COUNTA('[34]2-5直接分级表'!$E:$E)-1)</definedName>
    <definedName name="市级专项" localSheetId="10">OFFSET('[34]2-9专项分级表'!$E$6,,,COUNTA('[34]2-9专项分级表'!$E:$E)-1)</definedName>
    <definedName name="县级担保" localSheetId="10">OFFSET('[34]2-11担保分级表'!$G$6,,,COUNTA('[34]2-11担保分级表'!$G:$G)-1)</definedName>
    <definedName name="县级一般" localSheetId="10">OFFSET('[34]2-7一般分级表'!$G$6,,,COUNTA('[34]2-7一般分级表'!$G:$G)-1)</definedName>
    <definedName name="县级余额" localSheetId="10">OFFSET('[34]2-1余额分级表'!$G$6,,,COUNTA('[34]2-1余额分级表'!$G:$G)-1)</definedName>
    <definedName name="县级直接" localSheetId="10">OFFSET('[34]2-5直接分级表'!$G$6,,,COUNTA('[34]2-5直接分级表'!$G:$G)-1)</definedName>
    <definedName name="县级专项" localSheetId="10">OFFSET('[34]2-9专项分级表'!$G$6,,,COUNTA('[34]2-9专项分级表'!$G:$G)-1)</definedName>
    <definedName name="乡级担保" localSheetId="10">OFFSET('[34]2-11担保分级表'!$I$6,,,COUNTA('[34]2-11担保分级表'!$I:$I)-1)</definedName>
    <definedName name="乡级一般" localSheetId="10">OFFSET('[34]2-7一般分级表'!$I$6,,,COUNTA('[34]2-7一般分级表'!$I:$I)-1)</definedName>
    <definedName name="乡级余额" localSheetId="10">OFFSET('[34]2-1余额分级表'!$I$6,,,COUNTA('[34]2-1余额分级表'!$I:$I)-1)</definedName>
    <definedName name="乡级直接" localSheetId="10">OFFSET('[34]2-5直接分级表'!$I$6,,,COUNTA('[34]2-5直接分级表'!$I:$I)-1)</definedName>
    <definedName name="乡级专项" localSheetId="10">OFFSET('[34]2-9专项分级表'!$I$6,,,COUNTA('[34]2-9专项分级表'!$I:$I)-1)</definedName>
    <definedName name="项目类型" localSheetId="10">[39]基础数据!$A$1:$A$66</definedName>
    <definedName name="银行类型二" localSheetId="10">[39]基础数据!$E$1:$E$216</definedName>
    <definedName name="银行类型一" localSheetId="10">[39]基础数据!$C$1:$C$21</definedName>
    <definedName name="政策性挂账" localSheetId="10">OFFSET('[34]1-1余额表'!$H$7,,,COUNTA('[34]1-1余额表'!$H:$H)-1)</definedName>
    <definedName name="전" localSheetId="10">#REF!</definedName>
    <definedName name="주택사업본부" localSheetId="10">#REF!</definedName>
    <definedName name="철구사업본부" localSheetId="10">#REF!</definedName>
    <definedName name="dddd" localSheetId="10">[36]人民银行!#REF!</definedName>
    <definedName name="xxxx" localSheetId="10">[36]人民银行!#REF!</definedName>
    <definedName name="zqlx" localSheetId="10">[37]DB!$M$43:$M$46</definedName>
    <definedName name="产品" localSheetId="10">[38]Chap5_1!$A$1:$E$72</definedName>
    <definedName name="_xlnm.Print_Area" localSheetId="3">'（附表2）公共预算支出科目'!$A$1:$O$438</definedName>
    <definedName name="_xlnm.Print_Titles" localSheetId="3">'（附表2）公共预算支出科目'!$1:$5</definedName>
    <definedName name="_xlnm.Print_Area" localSheetId="4">'（附表3）公共预算支出项目'!$A$1:$J$734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曾燕婷</author>
  </authors>
  <commentList>
    <comment ref="G298" authorId="0">
      <text>
        <r>
          <rPr>
            <b/>
            <sz val="9"/>
            <rFont val="宋体"/>
            <charset val="134"/>
          </rPr>
          <t xml:space="preserve">11.3日领导批示给工作经费
</t>
        </r>
        <r>
          <rPr>
            <sz val="9"/>
            <rFont val="宋体"/>
            <charset val="134"/>
          </rPr>
          <t xml:space="preserve">
</t>
        </r>
      </text>
    </comment>
    <comment ref="H298" authorId="0">
      <text>
        <r>
          <rPr>
            <b/>
            <sz val="9"/>
            <rFont val="宋体"/>
            <charset val="134"/>
          </rPr>
          <t xml:space="preserve">11.3日领导批示给工作经费
</t>
        </r>
        <r>
          <rPr>
            <sz val="9"/>
            <rFont val="宋体"/>
            <charset val="134"/>
          </rPr>
          <t xml:space="preserve">
</t>
        </r>
      </text>
    </comment>
    <comment ref="G363" authorId="0">
      <text>
        <r>
          <rPr>
            <sz val="9"/>
            <rFont val="宋体"/>
            <charset val="134"/>
          </rPr>
          <t>12.3日领导批示增加2万</t>
        </r>
      </text>
    </comment>
    <comment ref="G456" authorId="0">
      <text>
        <r>
          <rPr>
            <sz val="9"/>
            <rFont val="宋体"/>
            <charset val="134"/>
          </rPr>
          <t>12.3日领导批示不保留，并列入次年预算</t>
        </r>
      </text>
    </comment>
    <comment ref="G458" authorId="0">
      <text>
        <r>
          <rPr>
            <b/>
            <sz val="9"/>
            <rFont val="宋体"/>
            <charset val="134"/>
          </rPr>
          <t>172万在这里列支</t>
        </r>
        <r>
          <rPr>
            <sz val="9"/>
            <rFont val="宋体"/>
            <charset val="134"/>
          </rPr>
          <t xml:space="preserve">
</t>
        </r>
      </text>
    </comment>
    <comment ref="G474" authorId="0">
      <text>
        <r>
          <rPr>
            <sz val="9"/>
            <rFont val="宋体"/>
            <charset val="134"/>
          </rPr>
          <t>12.3领导批示留2万工作经费</t>
        </r>
      </text>
    </comment>
    <comment ref="J486" authorId="1">
      <text>
        <r>
          <rPr>
            <b/>
            <sz val="9"/>
            <rFont val="宋体"/>
            <charset val="134"/>
          </rPr>
          <t>全年监护区级应补助</t>
        </r>
        <r>
          <rPr>
            <b/>
            <sz val="9"/>
            <rFont val="Tahoma"/>
            <charset val="134"/>
          </rPr>
          <t>134.7</t>
        </r>
        <r>
          <rPr>
            <b/>
            <sz val="9"/>
            <rFont val="宋体"/>
            <charset val="134"/>
          </rPr>
          <t>万（市级有对应资金文件）、新增监护区级应补助</t>
        </r>
        <r>
          <rPr>
            <b/>
            <sz val="9"/>
            <rFont val="Tahoma"/>
            <charset val="134"/>
          </rPr>
          <t>12.264</t>
        </r>
        <r>
          <rPr>
            <b/>
            <sz val="9"/>
            <rFont val="宋体"/>
            <charset val="134"/>
          </rPr>
          <t>万（市级未下达资金文件）。区级今年年初预算</t>
        </r>
        <r>
          <rPr>
            <b/>
            <sz val="9"/>
            <rFont val="Tahoma"/>
            <charset val="134"/>
          </rPr>
          <t>126</t>
        </r>
        <r>
          <rPr>
            <b/>
            <sz val="9"/>
            <rFont val="宋体"/>
            <charset val="134"/>
          </rPr>
          <t>万，故本次需预算调增</t>
        </r>
        <r>
          <rPr>
            <b/>
            <sz val="9"/>
            <rFont val="Tahoma"/>
            <charset val="134"/>
          </rPr>
          <t>20.97</t>
        </r>
        <r>
          <rPr>
            <b/>
            <sz val="9"/>
            <rFont val="宋体"/>
            <charset val="134"/>
          </rPr>
          <t xml:space="preserve">万。
</t>
        </r>
      </text>
    </comment>
    <comment ref="J488" authorId="1">
      <text>
        <r>
          <rPr>
            <b/>
            <sz val="9"/>
            <rFont val="宋体"/>
            <charset val="134"/>
          </rPr>
          <t>标准咨询市四医院</t>
        </r>
      </text>
    </comment>
    <comment ref="G492" authorId="0">
      <text>
        <r>
          <rPr>
            <sz val="9"/>
            <rFont val="宋体"/>
            <charset val="134"/>
          </rPr>
          <t>12.3领导批示不留，次年列入预算</t>
        </r>
      </text>
    </comment>
    <comment ref="G503" authorId="0">
      <text>
        <r>
          <rPr>
            <sz val="9"/>
            <rFont val="宋体"/>
            <charset val="134"/>
          </rPr>
          <t>12.3日领导批示，剩余3.59万收掉，调整的24万元列入2023年预算</t>
        </r>
      </text>
    </comment>
    <comment ref="G509" authorId="0">
      <text>
        <r>
          <rPr>
            <b/>
            <sz val="9"/>
            <rFont val="宋体"/>
            <charset val="134"/>
          </rPr>
          <t>12.3日领导批示不调增，并且剩余额度调整列入次年预算</t>
        </r>
      </text>
    </comment>
    <comment ref="G516" authorId="0">
      <text>
        <r>
          <rPr>
            <sz val="9"/>
            <rFont val="宋体"/>
            <charset val="134"/>
          </rPr>
          <t>12.3日领导批示，增加10万工作经费</t>
        </r>
      </text>
    </comment>
    <comment ref="G650" authorId="0">
      <text>
        <r>
          <rPr>
            <sz val="9"/>
            <rFont val="宋体"/>
            <charset val="134"/>
          </rPr>
          <t>12.3日领导批示该笔资金收掉，今年不出了</t>
        </r>
      </text>
    </comment>
    <comment ref="J650" authorId="1">
      <text>
        <r>
          <rPr>
            <b/>
            <sz val="9"/>
            <rFont val="宋体"/>
            <charset val="134"/>
          </rPr>
          <t>去年当年缺口</t>
        </r>
        <r>
          <rPr>
            <b/>
            <sz val="9"/>
            <rFont val="Tahoma"/>
            <charset val="134"/>
          </rPr>
          <t>3103+</t>
        </r>
        <r>
          <rPr>
            <b/>
            <sz val="9"/>
            <rFont val="宋体"/>
            <charset val="134"/>
          </rPr>
          <t>去年清算缺口</t>
        </r>
        <r>
          <rPr>
            <b/>
            <sz val="9"/>
            <rFont val="Tahoma"/>
            <charset val="134"/>
          </rPr>
          <t>2978+</t>
        </r>
        <r>
          <rPr>
            <b/>
            <sz val="9"/>
            <rFont val="宋体"/>
            <charset val="134"/>
          </rPr>
          <t>当年需求（</t>
        </r>
        <r>
          <rPr>
            <b/>
            <sz val="9"/>
            <rFont val="Tahoma"/>
            <charset val="134"/>
          </rPr>
          <t>535*12+</t>
        </r>
        <r>
          <rPr>
            <b/>
            <sz val="9"/>
            <rFont val="宋体"/>
            <charset val="134"/>
          </rPr>
          <t>当年清算缺口</t>
        </r>
        <r>
          <rPr>
            <b/>
            <sz val="9"/>
            <rFont val="Tahoma"/>
            <charset val="134"/>
          </rPr>
          <t>14</t>
        </r>
        <r>
          <rPr>
            <b/>
            <sz val="9"/>
            <rFont val="宋体"/>
            <charset val="134"/>
          </rPr>
          <t>）</t>
        </r>
        <r>
          <rPr>
            <b/>
            <sz val="9"/>
            <rFont val="Tahoma"/>
            <charset val="134"/>
          </rPr>
          <t>-</t>
        </r>
        <r>
          <rPr>
            <b/>
            <sz val="9"/>
            <rFont val="宋体"/>
            <charset val="134"/>
          </rPr>
          <t>年初编列预算</t>
        </r>
        <r>
          <rPr>
            <b/>
            <sz val="9"/>
            <rFont val="Tahoma"/>
            <charset val="134"/>
          </rPr>
          <t>11481</t>
        </r>
        <r>
          <rPr>
            <b/>
            <sz val="9"/>
            <rFont val="宋体"/>
            <charset val="134"/>
          </rPr>
          <t>万元</t>
        </r>
        <r>
          <rPr>
            <b/>
            <sz val="9"/>
            <rFont val="Tahoma"/>
            <charset val="134"/>
          </rPr>
          <t>=1034</t>
        </r>
        <r>
          <rPr>
            <b/>
            <sz val="9"/>
            <rFont val="宋体"/>
            <charset val="134"/>
          </rPr>
          <t>万元</t>
        </r>
        <r>
          <rPr>
            <sz val="9"/>
            <rFont val="Tahoma"/>
            <charset val="134"/>
          </rPr>
          <t xml:space="preserve">
</t>
        </r>
      </text>
    </comment>
  </commentList>
</comments>
</file>

<file path=xl/comments2.xml><?xml version="1.0" encoding="utf-8"?>
<comments xmlns="http://schemas.openxmlformats.org/spreadsheetml/2006/main">
  <authors>
    <author>Administrator</author>
  </authors>
  <commentList>
    <comment ref="J28" authorId="0">
      <text>
        <r>
          <rPr>
            <sz val="9"/>
            <rFont val="宋体"/>
            <charset val="134"/>
          </rPr>
          <t>调整后计划数按年初数填列，差额部分填列在本空</t>
        </r>
      </text>
    </comment>
  </commentList>
</comments>
</file>

<file path=xl/sharedStrings.xml><?xml version="1.0" encoding="utf-8"?>
<sst xmlns="http://schemas.openxmlformats.org/spreadsheetml/2006/main" count="4567" uniqueCount="2149">
  <si>
    <t>汕头市濠江区2022年政府预算调整草案</t>
  </si>
  <si>
    <t>编制部门：汕头市濠江区财政局</t>
  </si>
  <si>
    <t>编制时间：2022年11月</t>
  </si>
  <si>
    <t>汕头市濠江区2022年政府预算调整草案目录</t>
  </si>
  <si>
    <t>一、一般公共预算</t>
  </si>
  <si>
    <t>1.汕头市濠江区2022年公共财政预算收入计划调整表</t>
  </si>
  <si>
    <t>2.汕头市濠江区2022年一般公共预算支出科目调整情况表</t>
  </si>
  <si>
    <t>3.汕头市濠江区2022年一般公共预算支出项目调整情况表</t>
  </si>
  <si>
    <t>4.汕头市濠江区2022年公共财政上级财力性补助收支预算调整表</t>
  </si>
  <si>
    <t>二、政府性基金预算</t>
  </si>
  <si>
    <t>5.汕头市濠江区2022年政府性基金预算收入计划调整表</t>
  </si>
  <si>
    <t>6.汕头市濠江区2022年本级政府性基金预算收入项目调整表</t>
  </si>
  <si>
    <t>7.汕头市濠江区2022年政府性基金预算支出计划功能科目调整表</t>
  </si>
  <si>
    <t>8.汕头市濠江区2022年本级政府性基金预算支出项目调整表</t>
  </si>
  <si>
    <t>三、国有资本经营预算</t>
  </si>
  <si>
    <t>9.汕头市濠江区2022年国有资本经营预算收入计划调整表</t>
  </si>
  <si>
    <t>10.汕头市濠江区2022年国有资本经营预算支出计划调整表</t>
  </si>
  <si>
    <t>四、社会保险基金预算</t>
  </si>
  <si>
    <t>11.汕头市濠江区2022年社会保险基金预算收入计划调整表</t>
  </si>
  <si>
    <t>12.汕头市濠江区2022年社会保险基金预算支出计划调整表</t>
  </si>
  <si>
    <t>五、其他</t>
  </si>
  <si>
    <t>13.2022年收回存量资金及安排表</t>
  </si>
  <si>
    <t>附表1</t>
  </si>
  <si>
    <t>汕头市濠江区2022年公共财政预算收入计划调整表</t>
  </si>
  <si>
    <t>单位：万元</t>
  </si>
  <si>
    <t>科目</t>
  </si>
  <si>
    <t>第二次预算调整数</t>
  </si>
  <si>
    <t>变动因素</t>
  </si>
  <si>
    <t>调整后计划数</t>
  </si>
  <si>
    <t>比增%</t>
  </si>
  <si>
    <t>备注</t>
  </si>
  <si>
    <t>总库</t>
  </si>
  <si>
    <t>本级</t>
  </si>
  <si>
    <t>一、税收收入</t>
  </si>
  <si>
    <t xml:space="preserve">   1.增值税</t>
  </si>
  <si>
    <t>其中留抵退税调库12306万元</t>
  </si>
  <si>
    <t>市与区共享收入</t>
  </si>
  <si>
    <t xml:space="preserve">   2.消费税</t>
  </si>
  <si>
    <t xml:space="preserve">   3.车辆购置税</t>
  </si>
  <si>
    <t>市本级固定收入</t>
  </si>
  <si>
    <t xml:space="preserve">   4.企业所得税</t>
  </si>
  <si>
    <t xml:space="preserve">   5.个人所得税</t>
  </si>
  <si>
    <t xml:space="preserve">   6.资源税</t>
  </si>
  <si>
    <t>区级固定收入</t>
  </si>
  <si>
    <t xml:space="preserve">   7.城市维护建设税</t>
  </si>
  <si>
    <t xml:space="preserve">   8.房产税</t>
  </si>
  <si>
    <t xml:space="preserve">   9.印花税</t>
  </si>
  <si>
    <t xml:space="preserve">   10.城镇土地使用税</t>
  </si>
  <si>
    <t xml:space="preserve">   11.土地增值税</t>
  </si>
  <si>
    <t xml:space="preserve">   12.车船税</t>
  </si>
  <si>
    <t xml:space="preserve">   13.耕地占用税</t>
  </si>
  <si>
    <t xml:space="preserve">   14.契税</t>
  </si>
  <si>
    <t xml:space="preserve">   15.环境保护税</t>
  </si>
  <si>
    <t xml:space="preserve">   16.其他税收收入</t>
  </si>
  <si>
    <t>二、非税收入</t>
  </si>
  <si>
    <t xml:space="preserve">   1.教育费附加收入</t>
  </si>
  <si>
    <t xml:space="preserve">   2.地方教育费附加收入</t>
  </si>
  <si>
    <t xml:space="preserve">   3.农田水利建设资金收入</t>
  </si>
  <si>
    <t xml:space="preserve">   4.教育资金收入</t>
  </si>
  <si>
    <t xml:space="preserve">   5.森林植被恢复费</t>
  </si>
  <si>
    <t xml:space="preserve">   6.捐赠收入</t>
  </si>
  <si>
    <t xml:space="preserve">   7.政府住房基金收入</t>
  </si>
  <si>
    <t xml:space="preserve">   8.行政事业性收费收入</t>
  </si>
  <si>
    <t xml:space="preserve">   9.罚没收入</t>
  </si>
  <si>
    <t xml:space="preserve">   10.国有资产经营收入</t>
  </si>
  <si>
    <t xml:space="preserve">   11.国有资源(资产)有偿使用收入</t>
  </si>
  <si>
    <t xml:space="preserve">   12.水土保持补偿费</t>
  </si>
  <si>
    <t xml:space="preserve">   13.防空地下室易地建设费</t>
  </si>
  <si>
    <t xml:space="preserve">   14.其他收入</t>
  </si>
  <si>
    <t>征收收入小计</t>
  </si>
  <si>
    <t xml:space="preserve">   其中：税务局</t>
  </si>
  <si>
    <t xml:space="preserve">         财政局</t>
  </si>
  <si>
    <t>三、转移性收入</t>
  </si>
  <si>
    <t xml:space="preserve">   1.上级财力性补助收入</t>
  </si>
  <si>
    <t xml:space="preserve">   2.上级专项性补助收入</t>
  </si>
  <si>
    <t xml:space="preserve">   3.上级债券转贷收入</t>
  </si>
  <si>
    <t xml:space="preserve">   4.再融资一般债券转贷收入</t>
  </si>
  <si>
    <t xml:space="preserve">   5.上年结余收入</t>
  </si>
  <si>
    <t xml:space="preserve">   6.预算稳定调节基金</t>
  </si>
  <si>
    <t xml:space="preserve">   7.调入资金</t>
  </si>
  <si>
    <t>收入合计</t>
  </si>
  <si>
    <t>附表2</t>
  </si>
  <si>
    <t>汕头市濠江区2022年一般公共预算支出科目调整情况表</t>
  </si>
  <si>
    <t>功能分类代码</t>
  </si>
  <si>
    <t>功能分类名称</t>
  </si>
  <si>
    <t>本级支出</t>
  </si>
  <si>
    <t>上级支出</t>
  </si>
  <si>
    <t>合计</t>
  </si>
  <si>
    <t>政策性调整</t>
  </si>
  <si>
    <t>其他调整
（非税）</t>
  </si>
  <si>
    <t>结转资金
收回</t>
  </si>
  <si>
    <t>预留、功能分类调整</t>
  </si>
  <si>
    <t>一般公共服务支出</t>
  </si>
  <si>
    <t>人大事务</t>
  </si>
  <si>
    <t>行政运行</t>
  </si>
  <si>
    <t>人员经费调剂。</t>
  </si>
  <si>
    <t>人大会议</t>
  </si>
  <si>
    <t>人大监督</t>
  </si>
  <si>
    <t>代表工作</t>
  </si>
  <si>
    <t>调减代表履职活动保障经费。</t>
  </si>
  <si>
    <t>其他人大事务支出</t>
  </si>
  <si>
    <t>调减人大工委工作经费。</t>
  </si>
  <si>
    <t>政协事务</t>
  </si>
  <si>
    <t>调减政协机关及专委会经费、公用经费，人员经费调剂。</t>
  </si>
  <si>
    <t>政协会议</t>
  </si>
  <si>
    <t>调减全会工作经费。</t>
  </si>
  <si>
    <t>参政议政</t>
  </si>
  <si>
    <t>调减参政议政。</t>
  </si>
  <si>
    <t>其他政协事务支出</t>
  </si>
  <si>
    <t>调减委员活动经费。</t>
  </si>
  <si>
    <t>政府办公厅（室）及相关机构事务</t>
  </si>
  <si>
    <t>调减公用经费，人员经费调剂。</t>
  </si>
  <si>
    <t>其他政府办公厅（室）及相关机构事务支出</t>
  </si>
  <si>
    <t>调减机关事务管理经费、政府在线二期和区委大院后勤物业服务社会化购买费用等。</t>
  </si>
  <si>
    <t>发展与改革事务</t>
  </si>
  <si>
    <t>人员经费调剂、调减。</t>
  </si>
  <si>
    <t>一般行政管理事务</t>
  </si>
  <si>
    <t>战略规划与实施</t>
  </si>
  <si>
    <t>物价管理</t>
  </si>
  <si>
    <t>其他发展与改革事务支出</t>
  </si>
  <si>
    <t>调减概算审查经费、可行性研究报告专家评审费等，人员经费调剂。</t>
  </si>
  <si>
    <t>统计信息事务</t>
  </si>
  <si>
    <t>专项普查活动</t>
  </si>
  <si>
    <t>调减第五次全国经济普查经费。</t>
  </si>
  <si>
    <t>统计抽样调查</t>
  </si>
  <si>
    <t>事业运行</t>
  </si>
  <si>
    <t>其他统计信息事务支出</t>
  </si>
  <si>
    <t>收回2021年街道（镇）统计工作补助资金。</t>
  </si>
  <si>
    <t>财政事务</t>
  </si>
  <si>
    <t>信息化建设</t>
  </si>
  <si>
    <t>调减数字政府工作经费和财政信息系统建设和维护经费。</t>
  </si>
  <si>
    <t>财政委托业务支出</t>
  </si>
  <si>
    <t>调减财政委托业务支出经费。</t>
  </si>
  <si>
    <t>其他财政事务支出</t>
  </si>
  <si>
    <t>调减会计监督检查（绩评）工作经费、农村财务工作经费等。</t>
  </si>
  <si>
    <t>税收事务</t>
  </si>
  <si>
    <t>调整为存量资金支出。</t>
  </si>
  <si>
    <t>审计事务</t>
  </si>
  <si>
    <t>人员经费调减。</t>
  </si>
  <si>
    <t>审计业务</t>
  </si>
  <si>
    <t>调减经济责任审计工作经费等。</t>
  </si>
  <si>
    <t>其他审计事务支出</t>
  </si>
  <si>
    <t>调减公务车购置费。</t>
  </si>
  <si>
    <t>纪检监察事务</t>
  </si>
  <si>
    <t>2011104</t>
  </si>
  <si>
    <t>大案要案查处</t>
  </si>
  <si>
    <t>调减大案要案查处经费。</t>
  </si>
  <si>
    <t>2011105</t>
  </si>
  <si>
    <t>派驻派出机构</t>
  </si>
  <si>
    <t>其他纪检监察事务支出</t>
  </si>
  <si>
    <t>调减纪检监察机关陪护队伍工作经费等。</t>
  </si>
  <si>
    <t>商贸事务</t>
  </si>
  <si>
    <t>招商引资</t>
  </si>
  <si>
    <t>调减招商引资工作经费。</t>
  </si>
  <si>
    <t>其他商贸事务支出</t>
  </si>
  <si>
    <t>知识产权事务</t>
  </si>
  <si>
    <t>知识产权宏观管理</t>
  </si>
  <si>
    <t>其他知识产权事务支出</t>
  </si>
  <si>
    <t>调减区级商标品牌奖励资金，收回地理标志商标注册申请促进项目资金。</t>
  </si>
  <si>
    <t>港澳台事务</t>
  </si>
  <si>
    <t>港澳事务</t>
  </si>
  <si>
    <t>调减预留全区领导干部出境经费。</t>
  </si>
  <si>
    <t>档案事务</t>
  </si>
  <si>
    <t>档案馆</t>
  </si>
  <si>
    <t>调减档案馆楼宇外物业管理费、档案馆日常经费等。</t>
  </si>
  <si>
    <t>民主党派及工商联事务</t>
  </si>
  <si>
    <t>其他民主党派及工商联事务支出</t>
  </si>
  <si>
    <t>调减濠江区民营投诉中心经费。</t>
  </si>
  <si>
    <t>群众团体事务</t>
  </si>
  <si>
    <t>工会事务</t>
  </si>
  <si>
    <t>调减工会经费。</t>
  </si>
  <si>
    <t>其他群众团体事务支出</t>
  </si>
  <si>
    <t>党委办公厅（室）及相关机构事务</t>
  </si>
  <si>
    <t>其他党委办公厅（室）及相关机构事务支出</t>
  </si>
  <si>
    <t>组织事务</t>
  </si>
  <si>
    <t>其他组织事务支出</t>
  </si>
  <si>
    <t>调减千村党群服务中心提档升级启动资金、新一轮村（社区）党群服务中心提档升级资金和购车经费等，人员经费调剂。</t>
  </si>
  <si>
    <t>宣传事务</t>
  </si>
  <si>
    <t>其他宣传事务支出</t>
  </si>
  <si>
    <t>统战事务</t>
  </si>
  <si>
    <t>华侨事务</t>
  </si>
  <si>
    <t>调减预留外宾接待费。</t>
  </si>
  <si>
    <t>其他统战事务支出</t>
  </si>
  <si>
    <t>其他共产党事务支出</t>
  </si>
  <si>
    <t>2013650</t>
  </si>
  <si>
    <t>调减综治信息化建设工作经费、编办管理工作经费等。</t>
  </si>
  <si>
    <t>市场监督管理事务</t>
  </si>
  <si>
    <t>质量安全监管</t>
  </si>
  <si>
    <t>食品安全监管</t>
  </si>
  <si>
    <t>2013850</t>
  </si>
  <si>
    <t>其他市场监督管理事务</t>
  </si>
  <si>
    <t>调减市场监督管理各类工作经费。</t>
  </si>
  <si>
    <t>其他一般公共服务支出</t>
  </si>
  <si>
    <t>调减电子政务外网建设费用、区委区政府法律顾问服务费等，项目经费调剂。</t>
  </si>
  <si>
    <t>国防支出</t>
  </si>
  <si>
    <t>国防动员</t>
  </si>
  <si>
    <t>兵役征集</t>
  </si>
  <si>
    <t>收回2021年省财政大学毕业生入伍补助经费。</t>
  </si>
  <si>
    <t>人民防空</t>
  </si>
  <si>
    <t>调减人防知识教育进社区经费。</t>
  </si>
  <si>
    <t>民兵</t>
  </si>
  <si>
    <t>调减民兵事业费。</t>
  </si>
  <si>
    <t>其他国防支出</t>
  </si>
  <si>
    <t>2039999</t>
  </si>
  <si>
    <t>公共安全支出</t>
  </si>
  <si>
    <t>公安</t>
  </si>
  <si>
    <t>其他公安支出</t>
  </si>
  <si>
    <t>调减辅警人员经费、预留公安专项经费等。</t>
  </si>
  <si>
    <t>检察</t>
  </si>
  <si>
    <t>其他检察支出</t>
  </si>
  <si>
    <t>调减书记员经费。</t>
  </si>
  <si>
    <t>法院</t>
  </si>
  <si>
    <t>其他法院支出</t>
  </si>
  <si>
    <t>调减诉前调解中心工作经费、书记员经费等。</t>
  </si>
  <si>
    <t>司法</t>
  </si>
  <si>
    <t>调减依法治区工作经费等。</t>
  </si>
  <si>
    <t>基层司法业务</t>
  </si>
  <si>
    <t>调减安置帮教、社区矫正经费。</t>
  </si>
  <si>
    <t>普法宣传</t>
  </si>
  <si>
    <t>律师公证管理</t>
  </si>
  <si>
    <t>调减公共法律服务工作经费。</t>
  </si>
  <si>
    <t>法律援助</t>
  </si>
  <si>
    <t>社区矫正</t>
  </si>
  <si>
    <t>其他司法支出</t>
  </si>
  <si>
    <t>其他公共安全支出</t>
  </si>
  <si>
    <t>调减见义勇为奖励经费。</t>
  </si>
  <si>
    <t>教育支出</t>
  </si>
  <si>
    <t>教育管理事务</t>
  </si>
  <si>
    <t>普通教育</t>
  </si>
  <si>
    <t>学前教育</t>
  </si>
  <si>
    <t>小学教育</t>
  </si>
  <si>
    <t>初中教育</t>
  </si>
  <si>
    <t>高中教育</t>
  </si>
  <si>
    <t>其他普通教育支出</t>
  </si>
  <si>
    <t>职业教育</t>
  </si>
  <si>
    <t>中等职业教育</t>
  </si>
  <si>
    <t>技校教育</t>
  </si>
  <si>
    <t>高等职业教育</t>
  </si>
  <si>
    <t>收回汕头幼儿师范高等专科学校建设项目经费。</t>
  </si>
  <si>
    <t>特殊教育</t>
  </si>
  <si>
    <t>特殊学校教育</t>
  </si>
  <si>
    <t>其他特殊教育支出</t>
  </si>
  <si>
    <t>生均公用经费调剂、调减。</t>
  </si>
  <si>
    <t>进修及培训</t>
  </si>
  <si>
    <t>教师进修</t>
  </si>
  <si>
    <t>收回2021年教育发展专项资金。</t>
  </si>
  <si>
    <t>干部教育</t>
  </si>
  <si>
    <t>收回濠江区委党校办学经费补助。</t>
  </si>
  <si>
    <t>教育费附加安排的支出</t>
  </si>
  <si>
    <t>其他教育费附加安排的支出</t>
  </si>
  <si>
    <t>收回2021年教师学历提升专项补助资金。</t>
  </si>
  <si>
    <t>其他教育支出</t>
  </si>
  <si>
    <t>科学技术支出</t>
  </si>
  <si>
    <t>技术研究与开发支出</t>
  </si>
  <si>
    <t>其他技术研究与开发支出</t>
  </si>
  <si>
    <t>社会科学</t>
  </si>
  <si>
    <t>社会科学研究</t>
  </si>
  <si>
    <t>科学技术普及</t>
  </si>
  <si>
    <t>其他科学技术普及支出</t>
  </si>
  <si>
    <t>其他科学技术支出</t>
  </si>
  <si>
    <t>文化旅游体育与传媒支出</t>
  </si>
  <si>
    <t>文化和旅游</t>
  </si>
  <si>
    <t>图书馆</t>
  </si>
  <si>
    <t>群众文化</t>
  </si>
  <si>
    <t>文化和旅游市场管理</t>
  </si>
  <si>
    <t>旅游宣传</t>
  </si>
  <si>
    <t>其他文化和旅游支出</t>
  </si>
  <si>
    <t>调减预留国家级全域旅游示范区创建经费、促进旅游业发展扶持资金等。</t>
  </si>
  <si>
    <t>文物</t>
  </si>
  <si>
    <t>文物保护</t>
  </si>
  <si>
    <t>博物馆</t>
  </si>
  <si>
    <t>体育</t>
  </si>
  <si>
    <t>体育场馆</t>
  </si>
  <si>
    <t>其他体育支出</t>
  </si>
  <si>
    <t>其他文化旅游体育与传媒支出</t>
  </si>
  <si>
    <t>调减预留创建经费等，收回玉新街道黎明社区红色文化教育基地经费等。</t>
  </si>
  <si>
    <t>社会保障和就业支出</t>
  </si>
  <si>
    <t>人力资源和社会保障管理事务</t>
  </si>
  <si>
    <t>调减人力资源与就业服务经费等，调剂2021年事业单位公开招聘工作经费。</t>
  </si>
  <si>
    <t>公共就业服务和职业技能鉴定机构</t>
  </si>
  <si>
    <t>其他人力资源和社会保障管理事务支出</t>
  </si>
  <si>
    <t>调减人力资源和社会保障工作补充经费等。</t>
  </si>
  <si>
    <t>民政管理事务</t>
  </si>
  <si>
    <t>社会组织管理</t>
  </si>
  <si>
    <t>行政区划和地名管理</t>
  </si>
  <si>
    <t>调减行政区划界线及路标维护工作经费。</t>
  </si>
  <si>
    <t>基层政权建设和社区治理</t>
  </si>
  <si>
    <t>调减居务监督委员会成员区级补贴经费。</t>
  </si>
  <si>
    <t>其他民政管理事务支出</t>
  </si>
  <si>
    <t>行政事业单位养老支出</t>
  </si>
  <si>
    <t>行政单位离退休</t>
  </si>
  <si>
    <t>事业单位离退休</t>
  </si>
  <si>
    <t>离退休人员管理机构</t>
  </si>
  <si>
    <t>机关事业单位基本养老保险缴费支出</t>
  </si>
  <si>
    <t>养老保险经费调剂、调减。</t>
  </si>
  <si>
    <t>机关事业单位职业年金缴费支出</t>
  </si>
  <si>
    <t>职业年金缴费调剂、调减。</t>
  </si>
  <si>
    <t>对机关事业单位基本养老保险基金的补助</t>
  </si>
  <si>
    <t>调减机关事业单位工作人员养老保险经费。</t>
  </si>
  <si>
    <t>就业补助</t>
  </si>
  <si>
    <t>就业创业服务补贴</t>
  </si>
  <si>
    <t>其他就业补助支出</t>
  </si>
  <si>
    <t>调减就业创业政策性补贴。</t>
  </si>
  <si>
    <t>抚恤</t>
  </si>
  <si>
    <t>死亡抚恤</t>
  </si>
  <si>
    <t>调减丧葬费及抚恤金。</t>
  </si>
  <si>
    <t>在乡复员、退伍军人生活补助</t>
  </si>
  <si>
    <t>调减抚恤补助金。</t>
  </si>
  <si>
    <t>义务兵优待</t>
  </si>
  <si>
    <t>农村籍退役士兵老年生活补助</t>
  </si>
  <si>
    <t>退役安置</t>
  </si>
  <si>
    <t>退役士兵安置</t>
  </si>
  <si>
    <t>调减城乡退伍士兵安置补助金等。</t>
  </si>
  <si>
    <t>退役士兵管理教育</t>
  </si>
  <si>
    <t>军队转业干部安置</t>
  </si>
  <si>
    <t>调减自主择业军转干部医保单位缴费等。</t>
  </si>
  <si>
    <t>其他退役安置支出</t>
  </si>
  <si>
    <t>调减部分退役士兵社会保险接续经费等。</t>
  </si>
  <si>
    <t>社会福利</t>
  </si>
  <si>
    <t>儿童福利</t>
  </si>
  <si>
    <t>老年福利</t>
  </si>
  <si>
    <t>调减高龄老人政府津贴。</t>
  </si>
  <si>
    <t>殡葬</t>
  </si>
  <si>
    <t>调减殡葬惠民、殡改经费。</t>
  </si>
  <si>
    <t>社会福利事业单位</t>
  </si>
  <si>
    <t>养老服务</t>
  </si>
  <si>
    <t>收回2021年省财政养老服务体系建设补助资金。</t>
  </si>
  <si>
    <t>残疾人事业</t>
  </si>
  <si>
    <t>残疾人康复</t>
  </si>
  <si>
    <t>残疾人就业和扶贫</t>
  </si>
  <si>
    <t>残疾人生活和护理补贴</t>
  </si>
  <si>
    <t>调减困难残疾人生活补贴和重度残疾人护理补贴。</t>
  </si>
  <si>
    <t>其他残疾人事业支出</t>
  </si>
  <si>
    <t>调减0-6周岁残疾儿童康复训练购买服务经费等，收回2020年度残疾人就业保障金及年审工作经费等。</t>
  </si>
  <si>
    <t>红十字事业</t>
  </si>
  <si>
    <t>其他红十字事业支出</t>
  </si>
  <si>
    <t>最低生活保障</t>
  </si>
  <si>
    <t>城市最低生活保障金支出</t>
  </si>
  <si>
    <t>调减城市居民最低生活保障金。</t>
  </si>
  <si>
    <t>农村最低生活保障金支出</t>
  </si>
  <si>
    <t>临时救助</t>
  </si>
  <si>
    <t>临时救助支出</t>
  </si>
  <si>
    <t>调减临时救助资金。</t>
  </si>
  <si>
    <t>流浪乞讨人员救助支出</t>
  </si>
  <si>
    <t>特困人员救助供养</t>
  </si>
  <si>
    <t>城市特困人员救助供养支出</t>
  </si>
  <si>
    <t>调增全市低保对象、特困人员一次性生活补贴区级配套资金。</t>
  </si>
  <si>
    <t>农村特困人员救助供养支出</t>
  </si>
  <si>
    <t>其他生活救助</t>
  </si>
  <si>
    <t>其他城市生活救助</t>
  </si>
  <si>
    <t>其他农村生活救助</t>
  </si>
  <si>
    <t>财政对基本养老保险基金的补助</t>
  </si>
  <si>
    <t>财政对城乡居民基本养老保险基金的补助</t>
  </si>
  <si>
    <t>调减城乡居民社会养老保险。</t>
  </si>
  <si>
    <t>财政对其他基本养老保险基金的补助</t>
  </si>
  <si>
    <t>退役军人管理事务</t>
  </si>
  <si>
    <t>调减区退役军人服务体系工作经费等。</t>
  </si>
  <si>
    <t>拥军优属</t>
  </si>
  <si>
    <t>调减随军家属未就业生活补助。</t>
  </si>
  <si>
    <t>其他退役军人事务管理支出</t>
  </si>
  <si>
    <t>收回2021退役军人保障工作经费。</t>
  </si>
  <si>
    <t>财政代缴社会保险费支出</t>
  </si>
  <si>
    <t>财政代缴城乡居民基本养老保险费支出</t>
  </si>
  <si>
    <t>其他社会保障和就业支出</t>
  </si>
  <si>
    <t>工伤保险缴费调剂、调减。</t>
  </si>
  <si>
    <t>卫生健康支出</t>
  </si>
  <si>
    <t>卫生健康管理事务</t>
  </si>
  <si>
    <t>其他卫生健康管理事务支出</t>
  </si>
  <si>
    <t>调减严重精神障碍患者排查经费。</t>
  </si>
  <si>
    <t>公立医院</t>
  </si>
  <si>
    <t>综合医院</t>
  </si>
  <si>
    <t>妇幼保健医院</t>
  </si>
  <si>
    <t>调减妇幼保健院门诊部设备购置款。</t>
  </si>
  <si>
    <t>其他公立医院支出</t>
  </si>
  <si>
    <t>基层医疗卫生机构</t>
  </si>
  <si>
    <t>城市社区卫生机构</t>
  </si>
  <si>
    <t>乡镇卫生院</t>
  </si>
  <si>
    <t>其他基层医疗卫生机构支出</t>
  </si>
  <si>
    <t>收回基层医疗卫生机构设备配置更新建设市级补助资金等。</t>
  </si>
  <si>
    <t>公共卫生</t>
  </si>
  <si>
    <t>疾病预防控制机构</t>
  </si>
  <si>
    <t>调减二类疫苗费等，收回疾控体系现代化建设项目资金等，人员经费调剂。</t>
  </si>
  <si>
    <t>妇幼保健机构</t>
  </si>
  <si>
    <t>基本公共卫生服务</t>
  </si>
  <si>
    <t>收回、调减基本公共卫生服务补助资金等。</t>
  </si>
  <si>
    <t>重大公共卫生服务</t>
  </si>
  <si>
    <t>收回重大传染病防控项目资金等，病媒生物防制工作经费等。</t>
  </si>
  <si>
    <t>突发公共卫生事件应急处理</t>
  </si>
  <si>
    <t>收回新冠病毒疫苗接种服务费，调减新型冠状病毒感染的肺炎应急防控专项经费等。</t>
  </si>
  <si>
    <t>其他公共卫生支出</t>
  </si>
  <si>
    <t>调剂、调减严重精神障碍患者监护补助费用。</t>
  </si>
  <si>
    <t>中医药</t>
  </si>
  <si>
    <t>其他中医药支出</t>
  </si>
  <si>
    <t>计划生育事务</t>
  </si>
  <si>
    <t>计划生育服务</t>
  </si>
  <si>
    <t>收回区村（居）人口卫生健康专干补助等。</t>
  </si>
  <si>
    <t>其他计划生育事务支出</t>
  </si>
  <si>
    <t>调减计生家庭意外伤害保险等。</t>
  </si>
  <si>
    <t>行政事业单位医疗</t>
  </si>
  <si>
    <t>行政单位医疗</t>
  </si>
  <si>
    <t>医疗保险经费调剂。</t>
  </si>
  <si>
    <t>2101102</t>
  </si>
  <si>
    <t>事业单位医疗</t>
  </si>
  <si>
    <t>其他行政事业单位医疗支出</t>
  </si>
  <si>
    <t>财政对基本医疗保险基金的补助</t>
  </si>
  <si>
    <t>财政对职工基本医疗保险基金的补助</t>
  </si>
  <si>
    <t>财政对城乡居民基本医疗保险基金的补助</t>
  </si>
  <si>
    <t>调减城乡居民基本医疗保险和医保基金负担新冠病毒疫苗及接种费用补助。</t>
  </si>
  <si>
    <t>医疗救助</t>
  </si>
  <si>
    <t>城乡医疗救助</t>
  </si>
  <si>
    <t>优抚对象医疗</t>
  </si>
  <si>
    <t>优抚对象医疗补助</t>
  </si>
  <si>
    <t>调减优抚对象医疗保障资金等。</t>
  </si>
  <si>
    <t>医疗保障管理事务</t>
  </si>
  <si>
    <t>老龄卫生健康事务</t>
  </si>
  <si>
    <t>调减“银龄安康”行动60周岁以上老人保险费。</t>
  </si>
  <si>
    <t>其他卫生健康支出</t>
  </si>
  <si>
    <t>调减预留工作性和政策性专项经费。</t>
  </si>
  <si>
    <t>节能环保支出</t>
  </si>
  <si>
    <t>环境监测与监察</t>
  </si>
  <si>
    <t>其他环境监测与监察支出</t>
  </si>
  <si>
    <t>调减规划环境影响跟踪评价与年度环境管理状况评估报告编制工作经费。</t>
  </si>
  <si>
    <t>能源节约利用</t>
  </si>
  <si>
    <t>城乡社区环境卫生</t>
  </si>
  <si>
    <t>固体废弃物与化学品</t>
  </si>
  <si>
    <t>其他污染防治支出</t>
  </si>
  <si>
    <t>调减周边农村生活污水治理项目前期工作经费等。</t>
  </si>
  <si>
    <t>循环经济</t>
  </si>
  <si>
    <t>其他节能环保支出</t>
  </si>
  <si>
    <t>2119999</t>
  </si>
  <si>
    <t>调减区级节能专项资金。</t>
  </si>
  <si>
    <t>城乡社区支出</t>
  </si>
  <si>
    <t>城乡社区管理事务</t>
  </si>
  <si>
    <t>城管执法</t>
  </si>
  <si>
    <t>调减移动执法平台通信费用等。</t>
  </si>
  <si>
    <t>工程建设管理</t>
  </si>
  <si>
    <t>其他城乡社区管理事务支出</t>
  </si>
  <si>
    <t>人员经费调剂、调减，收回镇域经济发展奖补资金等。</t>
  </si>
  <si>
    <t>城乡社区规划与管理</t>
  </si>
  <si>
    <t>城乡社区公共设施</t>
  </si>
  <si>
    <t>其他城乡社区公共设施支出</t>
  </si>
  <si>
    <t>调减南滨绿地公园、石林湖公园代管养期间水费等。</t>
  </si>
  <si>
    <t>人员经费调剂、调减，收回中心城区居民生活垃圾袋装收集经费等。</t>
  </si>
  <si>
    <t>其他城乡社区支出</t>
  </si>
  <si>
    <t>农林水支出</t>
  </si>
  <si>
    <t>农业农村</t>
  </si>
  <si>
    <t>科技转化与推广服务</t>
  </si>
  <si>
    <t>收回濠江区东陇社区广佛手产业基地建设项目资金。</t>
  </si>
  <si>
    <t>病虫害控制</t>
  </si>
  <si>
    <t>调减突发重大动物疫情应急储备金等。</t>
  </si>
  <si>
    <t>农产品质量安全</t>
  </si>
  <si>
    <t>调减农产品质量安全监测项目经费等。</t>
  </si>
  <si>
    <t>执法监管</t>
  </si>
  <si>
    <t>调减渔业执法船、执法艇油料及维护保障经费等。</t>
  </si>
  <si>
    <t>防灾救灾</t>
  </si>
  <si>
    <t>收回农业救灾复产资金。</t>
  </si>
  <si>
    <t>农业生产发展</t>
  </si>
  <si>
    <t>收回农机购置补贴。</t>
  </si>
  <si>
    <t>农业资源保护修复与利用</t>
  </si>
  <si>
    <t>渔业发展</t>
  </si>
  <si>
    <t>收回区渔船渔港综合管理改革项目经费等。</t>
  </si>
  <si>
    <t>对高校毕业生到基层任职补助</t>
  </si>
  <si>
    <t>农田建设</t>
  </si>
  <si>
    <t>调减补建新建汕头至汕尾铁路（濠江区段）及虎头山隧道及南延工程建设项目用地占用高标准农田补建费。</t>
  </si>
  <si>
    <t>其他农业农村支出</t>
  </si>
  <si>
    <t>收回省级涉农统筹整合转移支付资金等。</t>
  </si>
  <si>
    <t>林业和草原</t>
  </si>
  <si>
    <t>森林资源培育</t>
  </si>
  <si>
    <t>森林生态效益补偿</t>
  </si>
  <si>
    <t>动植物保护</t>
  </si>
  <si>
    <t>林业草原防灾减灾</t>
  </si>
  <si>
    <t>其他林业和草原支出</t>
  </si>
  <si>
    <t>水利</t>
  </si>
  <si>
    <t>水利行业业务管理</t>
  </si>
  <si>
    <t>水利工程建设</t>
  </si>
  <si>
    <t>收回后江湾海堤修复加固工程经费等。</t>
  </si>
  <si>
    <t>水利工程运行与维护</t>
  </si>
  <si>
    <t>调减25宗小型水库集中管护经费。</t>
  </si>
  <si>
    <t>水资源节约管理与保护</t>
  </si>
  <si>
    <t>水利技术推广</t>
  </si>
  <si>
    <t>其他水利支出</t>
  </si>
  <si>
    <t>扶贫</t>
  </si>
  <si>
    <t>其他扶贫支出</t>
  </si>
  <si>
    <t>调减三支一扶大学生生活补助。</t>
  </si>
  <si>
    <t>农村综合改革</t>
  </si>
  <si>
    <t>对村级公益事业建设的补助</t>
  </si>
  <si>
    <t>对村民委员会和村党支部的补助</t>
  </si>
  <si>
    <t>调剂正常离任村干部生活补助经费。</t>
  </si>
  <si>
    <t>农村综合改革示范试点补助</t>
  </si>
  <si>
    <t>调减供销合作社新型乡村助农服务综合平台经费。</t>
  </si>
  <si>
    <t>普惠金融发展支出</t>
  </si>
  <si>
    <t>农业保险保费补贴</t>
  </si>
  <si>
    <t>调减农业（畜牧）保险补贴等。</t>
  </si>
  <si>
    <t>创业担保贷款贴息</t>
  </si>
  <si>
    <t>调减创业担保贷款贴息。</t>
  </si>
  <si>
    <t>其他农林水支出</t>
  </si>
  <si>
    <t>人员经费调剂、调减，收回区全面消灭砂土路项目经费等。</t>
  </si>
  <si>
    <t>交通运输支出</t>
  </si>
  <si>
    <t>公路水路运输</t>
  </si>
  <si>
    <t>公路建设</t>
  </si>
  <si>
    <t>收回汕头海湾隧道（G228线）经费。</t>
  </si>
  <si>
    <t>公路养护</t>
  </si>
  <si>
    <t>公路和运输安全</t>
  </si>
  <si>
    <t>其他公路水路运输支出</t>
  </si>
  <si>
    <t>其他交通运输支出</t>
  </si>
  <si>
    <t>公共交通运营补助</t>
  </si>
  <si>
    <t>资源勘探工业信息等支出</t>
  </si>
  <si>
    <t>工业和信息产业监管</t>
  </si>
  <si>
    <t>其他工业和信息产业监管支出</t>
  </si>
  <si>
    <t>收回市级标准厂房建设资金。</t>
  </si>
  <si>
    <t>支持中小企业发展和管理支出</t>
  </si>
  <si>
    <t>中小企业发展专项</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</si>
  <si>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</si>
  <si>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</si>
  <si>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</si>
  <si>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</si>
  <si>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</si>
  <si>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</si>
  <si>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</si>
  <si>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</si>
  <si>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金融部门监管支出</t>
  </si>
  <si>
    <t>金融部门其他监管支出</t>
  </si>
  <si>
    <t>调减限售股股权转让交易奖励。</t>
  </si>
  <si>
    <t>其他金融支出</t>
  </si>
  <si>
    <t>自然资源海洋气象等支出</t>
  </si>
  <si>
    <t>自然资源事务</t>
  </si>
  <si>
    <t>自然资源利用与保护</t>
  </si>
  <si>
    <t>收回2021年绿道建设项目经费。</t>
  </si>
  <si>
    <t>海域与海岛管理</t>
  </si>
  <si>
    <t>调减生态评估和生态保护修复编制费用等。</t>
  </si>
  <si>
    <t>其他自然资源事务支出</t>
  </si>
  <si>
    <t>调减非税返拨经费。</t>
  </si>
  <si>
    <t>住房保障支出</t>
  </si>
  <si>
    <t>保障性安居工程支出</t>
  </si>
  <si>
    <t>农村危房改造</t>
  </si>
  <si>
    <t>公共租赁住房</t>
  </si>
  <si>
    <t>保障性住房租金补贴</t>
  </si>
  <si>
    <t>老旧小区改造</t>
  </si>
  <si>
    <t>收回达濠街道西园里片区老旧小区改造项目经费。</t>
  </si>
  <si>
    <t>其他保障性安居工程支出</t>
  </si>
  <si>
    <t>住房改革支出</t>
  </si>
  <si>
    <t>住房公积金</t>
  </si>
  <si>
    <t>住房公积金调剂、调减。</t>
  </si>
  <si>
    <t>粮油物资储备支出</t>
  </si>
  <si>
    <t>粮油事务</t>
  </si>
  <si>
    <t>粮食风险基金</t>
  </si>
  <si>
    <t>其他粮油事务支出</t>
  </si>
  <si>
    <t>调减粮食质量安全监管工作经费。</t>
  </si>
  <si>
    <t>重要商品储备</t>
  </si>
  <si>
    <t>肉类储备</t>
  </si>
  <si>
    <t>食盐储备</t>
  </si>
  <si>
    <t>其他重要商品储备支出</t>
  </si>
  <si>
    <t>灾害防治及应急管理支出</t>
  </si>
  <si>
    <t>应急管理事务</t>
  </si>
  <si>
    <t>灾害风险防治</t>
  </si>
  <si>
    <t>安全监管</t>
  </si>
  <si>
    <t>2240109</t>
  </si>
  <si>
    <t>应急管理</t>
  </si>
  <si>
    <t>调减应急救援、安全生产、三防应急演练培训等。</t>
  </si>
  <si>
    <t>其他应急管理支出</t>
  </si>
  <si>
    <t>调减清明森林防火专项经费等。</t>
  </si>
  <si>
    <t>消防事务</t>
  </si>
  <si>
    <t>消防应急救援</t>
  </si>
  <si>
    <t>调减南滨消防站住宅片消防车辆购置经费。</t>
  </si>
  <si>
    <t>其他消防事务支出</t>
  </si>
  <si>
    <t>调减消防经费等。</t>
  </si>
  <si>
    <t>地震事务</t>
  </si>
  <si>
    <t>其他地震事务支出</t>
  </si>
  <si>
    <t>自然灾害防治</t>
  </si>
  <si>
    <t>地质灾害防治</t>
  </si>
  <si>
    <t>其他自然灾害防治支出</t>
  </si>
  <si>
    <t>调减第一次全国自然灾害综合风险普查专项经费。</t>
  </si>
  <si>
    <t>预备费</t>
  </si>
  <si>
    <t>其他支出</t>
  </si>
  <si>
    <t>调剂人员经费、工作经费。</t>
  </si>
  <si>
    <t>转移性支出</t>
  </si>
  <si>
    <t>上解支出</t>
  </si>
  <si>
    <t>专项上解支出</t>
  </si>
  <si>
    <t>债务还本支出</t>
  </si>
  <si>
    <t>地方政府一般债务还本支出</t>
  </si>
  <si>
    <t>地方政府一般债券还本支出</t>
  </si>
  <si>
    <t>债务付息支出</t>
  </si>
  <si>
    <t>地方政府一般债务付息支出</t>
  </si>
  <si>
    <t>地方政府一般债券付息支出</t>
  </si>
  <si>
    <t>债务发行费用支出</t>
  </si>
  <si>
    <t>地方政府一般债务发行费用支出</t>
  </si>
  <si>
    <t>附表3</t>
  </si>
  <si>
    <t>汕头市濠江区2022年一般公共预算支出项目调整情况表</t>
  </si>
  <si>
    <t>序号</t>
  </si>
  <si>
    <t>股室</t>
  </si>
  <si>
    <t>单位</t>
  </si>
  <si>
    <t>项目名称</t>
  </si>
  <si>
    <t>第二次
预算调整数</t>
  </si>
  <si>
    <t>11月30日 
余额</t>
  </si>
  <si>
    <t>调整情况</t>
  </si>
  <si>
    <t>单位申请</t>
  </si>
  <si>
    <t>财政建议</t>
  </si>
  <si>
    <t>基本支出小计</t>
  </si>
  <si>
    <t>工贸</t>
  </si>
  <si>
    <t>各单位</t>
  </si>
  <si>
    <t>基本支出</t>
  </si>
  <si>
    <t>社保</t>
  </si>
  <si>
    <t>归口单位</t>
  </si>
  <si>
    <t>预算</t>
  </si>
  <si>
    <t>各街道</t>
  </si>
  <si>
    <t>调减预留660.687322万元、休假补贴12.584436万元、年终考核优秀奖1.65万元、基础绩效奖（事业）83.49265万元、离退休干部慰问金71.893万元、已下达未支出基本支出323.114858万元</t>
  </si>
  <si>
    <t>国资</t>
  </si>
  <si>
    <t>区达濠华侨中学</t>
  </si>
  <si>
    <t>补充人员经费</t>
  </si>
  <si>
    <t>租金反拨，单位未申请，建议收回。</t>
  </si>
  <si>
    <t>区农产品质量安全中心</t>
  </si>
  <si>
    <t>社保股（代编）</t>
  </si>
  <si>
    <t>预留机关事业单位职业年金</t>
  </si>
  <si>
    <t>农业</t>
  </si>
  <si>
    <t>农口单位</t>
  </si>
  <si>
    <t>预留12月份统发工资、各项基本支出和年终绩效</t>
  </si>
  <si>
    <t>综合</t>
  </si>
  <si>
    <t>综合股（代编）</t>
  </si>
  <si>
    <t>预留基本支出</t>
  </si>
  <si>
    <t>钱塘小学</t>
  </si>
  <si>
    <t>钱塘小学补充公用经费</t>
  </si>
  <si>
    <t>南区幼儿园</t>
  </si>
  <si>
    <t>南区幼儿园补充公用经费</t>
  </si>
  <si>
    <t>区市场物业管理站</t>
  </si>
  <si>
    <t>行财</t>
  </si>
  <si>
    <t>预留年终绩效考核奖</t>
  </si>
  <si>
    <t>上年结转小计</t>
  </si>
  <si>
    <t>收回用于补充本级财力。</t>
  </si>
  <si>
    <t>新增一般债券支出小计</t>
  </si>
  <si>
    <t>项目支出小计</t>
  </si>
  <si>
    <t>社区“两委”干部岗位补贴</t>
  </si>
  <si>
    <t>社区“两委”干部养老保险</t>
  </si>
  <si>
    <t>社区“两委”干部医疗保险</t>
  </si>
  <si>
    <t>社区“两委”干部住房公积金</t>
  </si>
  <si>
    <t>退转后社区“两委”干部补助资金</t>
  </si>
  <si>
    <t>调增玉新街道2.3万元，其他街道余额收回。</t>
  </si>
  <si>
    <t>社区一般工作人员工作补贴</t>
  </si>
  <si>
    <t>困难社区办公经费</t>
  </si>
  <si>
    <t>调增达濠街道8万元、广澳街道4万元、马滘街道3万元、河浦街道6万元，调减石街道1万元、玉新街道7万元、滨海街道13万元。</t>
  </si>
  <si>
    <t>涉农社区办公经费</t>
  </si>
  <si>
    <t>社区党组织书记绩效奖励经费</t>
  </si>
  <si>
    <t>人大工委工作经费</t>
  </si>
  <si>
    <t>农税改</t>
  </si>
  <si>
    <t>补列中央选调生到村任职补助资金</t>
  </si>
  <si>
    <t>纯居社区办公经费</t>
  </si>
  <si>
    <t>社区党组织服务群众专项经费</t>
  </si>
  <si>
    <t>综治维稳、安全生产经费</t>
  </si>
  <si>
    <t>正常离任村干部生活补助</t>
  </si>
  <si>
    <t>经建</t>
  </si>
  <si>
    <t>达濠街道</t>
  </si>
  <si>
    <t>吴氏红字祠堂门前文化广场工程</t>
  </si>
  <si>
    <t>万人墓维护经费</t>
  </si>
  <si>
    <t>达濠古城日常管理和维护经费</t>
  </si>
  <si>
    <t>渔业联社和困难纯居社区补助经费</t>
  </si>
  <si>
    <t>行政村（居）配备动物疫病防治员补助</t>
  </si>
  <si>
    <t>老渔工生活困难补助</t>
  </si>
  <si>
    <t>每月28万。</t>
  </si>
  <si>
    <t>石街道</t>
  </si>
  <si>
    <t>尾村社区工作经费</t>
  </si>
  <si>
    <t>广澳街道</t>
  </si>
  <si>
    <t>殡改</t>
  </si>
  <si>
    <t>马滘街道</t>
  </si>
  <si>
    <t>河浦街道</t>
  </si>
  <si>
    <t>三屿围片区卫生整治工作经费</t>
  </si>
  <si>
    <t>滨海街道</t>
  </si>
  <si>
    <t>社区“两委”干部离任补偿经费</t>
  </si>
  <si>
    <t>玉新街道</t>
  </si>
  <si>
    <t>东牧养鸡场整改工作经费</t>
  </si>
  <si>
    <t>各街道小计</t>
  </si>
  <si>
    <t>区纪委监委机关</t>
  </si>
  <si>
    <t>干部培训费</t>
  </si>
  <si>
    <t>纪检监察机关陪护队伍工作经费</t>
  </si>
  <si>
    <t>纪律教育月</t>
  </si>
  <si>
    <t>年度例会</t>
  </si>
  <si>
    <t>巡察工作经费</t>
  </si>
  <si>
    <t>征订党报党刊资金</t>
  </si>
  <si>
    <t>政务公开</t>
  </si>
  <si>
    <t>纪检监察机关办案经费</t>
  </si>
  <si>
    <t>区纪委监委机关小计</t>
  </si>
  <si>
    <t>区委组织部</t>
  </si>
  <si>
    <t>新一轮村（社区）党群服务中心提档升级资金</t>
  </si>
  <si>
    <t>汕濠办〔2022〕7号（新建6个各50万，扩建9个各20万）。</t>
  </si>
  <si>
    <t>千村党群服务中心提档升级启动资金（区级配套）</t>
  </si>
  <si>
    <t>购车经费</t>
  </si>
  <si>
    <t>社区干部大专班培训经费</t>
  </si>
  <si>
    <t>党建办和党代表联络服务工作经费</t>
  </si>
  <si>
    <t>人才管理服务经费</t>
  </si>
  <si>
    <t>优秀拔尖人才津贴</t>
  </si>
  <si>
    <t>2022年老干部春节慰问活动经费</t>
  </si>
  <si>
    <t>重阳节离休干部及副处级以上退休干部活动经费</t>
  </si>
  <si>
    <t>党代表视察调研等活动经费</t>
  </si>
  <si>
    <t>濠江区整顿软弱涣散基层党组织经费</t>
  </si>
  <si>
    <t>街道党校区级配套运行经费</t>
  </si>
  <si>
    <t>全区党员教育、党政群干部、两委干部、党务干部及入党积极分子等培训经费</t>
  </si>
  <si>
    <t>七一活动经费</t>
  </si>
  <si>
    <t>全区“两新”组织党建工作区级配套经费</t>
  </si>
  <si>
    <t>区干部档案维护管理费用</t>
  </si>
  <si>
    <t>社区党组织为民办实事工作经费</t>
  </si>
  <si>
    <t>科级以上在职干部和离退休干部慰问经费</t>
  </si>
  <si>
    <t>党内关爱扶助金</t>
  </si>
  <si>
    <t>区委组织部小计</t>
  </si>
  <si>
    <t>区老干部服务中心</t>
  </si>
  <si>
    <t>老干部特需经费</t>
  </si>
  <si>
    <t>老干中心、老干室器材更新及维护经费</t>
  </si>
  <si>
    <t>老干部大学办学经费</t>
  </si>
  <si>
    <t>关工委计划经费</t>
  </si>
  <si>
    <t>管理经费补助</t>
  </si>
  <si>
    <t>区老干部服务中心小计</t>
  </si>
  <si>
    <t>区委宣传部</t>
  </si>
  <si>
    <t>精神文明工作经费</t>
  </si>
  <si>
    <t>党报党刊征订工作经费</t>
  </si>
  <si>
    <t>创文工作经费</t>
  </si>
  <si>
    <t>文明创建工作经费</t>
  </si>
  <si>
    <t>扫黄打非工作经费</t>
  </si>
  <si>
    <t>宣传工作费用</t>
  </si>
  <si>
    <t>中心组理论学习经费</t>
  </si>
  <si>
    <t>老放映员陈乙丰工作年限补助</t>
  </si>
  <si>
    <t>网信工作经费</t>
  </si>
  <si>
    <t>区创建办网报资料收集整理购买服务经费</t>
  </si>
  <si>
    <t>“濠江党建”专区建设经费</t>
  </si>
  <si>
    <t>建党100周年有关宣传工作经费</t>
  </si>
  <si>
    <t>“今日濠江”建设运维工作经费</t>
  </si>
  <si>
    <t>区委宣传部小计</t>
  </si>
  <si>
    <t>区委统战部</t>
  </si>
  <si>
    <t>统战专项工作经费</t>
  </si>
  <si>
    <t>预留外宾接待费</t>
  </si>
  <si>
    <t>预留全区领导干部出境经费</t>
  </si>
  <si>
    <t>春节慰问困难归侨侨眷经费</t>
  </si>
  <si>
    <t>春节前宗教工作专项经费</t>
  </si>
  <si>
    <t>区委统战部小计</t>
  </si>
  <si>
    <t>区委政法委</t>
  </si>
  <si>
    <t>综治中心中海信电费</t>
  </si>
  <si>
    <t>社会治理网格化工作专职网格员包干经费</t>
  </si>
  <si>
    <t>综治信息化建设工作经费</t>
  </si>
  <si>
    <t>综治、综治中心及综治宣传工作经费</t>
  </si>
  <si>
    <t>610工作经费</t>
  </si>
  <si>
    <t>防邪教经费</t>
  </si>
  <si>
    <t>情报信息工作经费</t>
  </si>
  <si>
    <t>维稳平安创建工作经费</t>
  </si>
  <si>
    <t>扫黑除恶常态化工作经费</t>
  </si>
  <si>
    <t>区委政法委小计</t>
  </si>
  <si>
    <t>区委编办</t>
  </si>
  <si>
    <t>编办管理工作经费</t>
  </si>
  <si>
    <t>网上名称注册和年度维护费用</t>
  </si>
  <si>
    <t>区委编办小计</t>
  </si>
  <si>
    <t>区政府办公室</t>
  </si>
  <si>
    <t>濠江区海马池海马花园住宅区A、B栋一楼加固修缮工程</t>
  </si>
  <si>
    <t>总投171.04万元，已拨付43万元。</t>
  </si>
  <si>
    <t>区委、区政府公务活动租赁车辆费用</t>
  </si>
  <si>
    <t>公务用车购置</t>
  </si>
  <si>
    <t>党史经费</t>
  </si>
  <si>
    <t>调研督查工作经费</t>
  </si>
  <si>
    <t>国家安全工作经费</t>
  </si>
  <si>
    <t>保密工作经费</t>
  </si>
  <si>
    <t>《濠江年鉴》编纂出版经费</t>
  </si>
  <si>
    <t>网络维护费</t>
  </si>
  <si>
    <t>大型会议专项经费</t>
  </si>
  <si>
    <t>公务用车运行维护补充经费</t>
  </si>
  <si>
    <t>办公自动化OA系统运行费用</t>
  </si>
  <si>
    <t>办公设备维护费</t>
  </si>
  <si>
    <t>宣传工作经费</t>
  </si>
  <si>
    <t>机关事务管理经费</t>
  </si>
  <si>
    <t>培训经费</t>
  </si>
  <si>
    <t>区委大院后勤物业服务社会化购买费用</t>
  </si>
  <si>
    <t>党务公开工作经费</t>
  </si>
  <si>
    <t>全区政务公开工作经费</t>
  </si>
  <si>
    <t>全区党内法规工作经费</t>
  </si>
  <si>
    <t>招商引资和重点项目经费</t>
  </si>
  <si>
    <t>区委信息交换系统使用服务费</t>
  </si>
  <si>
    <t>政府网站运维及安全管理工作经费</t>
  </si>
  <si>
    <t>预留全区领导干部出国经费</t>
  </si>
  <si>
    <t>档案数字化建设经费</t>
  </si>
  <si>
    <t>档案馆水电费</t>
  </si>
  <si>
    <t>档案馆楼宇外物业管理费</t>
  </si>
  <si>
    <t>区档案馆建设后期配套设施费用</t>
  </si>
  <si>
    <t>电子政务内网联网改造项目</t>
  </si>
  <si>
    <t>濠江区信息化终端设备更新项目</t>
  </si>
  <si>
    <t>政府在线二期</t>
  </si>
  <si>
    <t>濠江区“一江两岸”开发建设领导小组办公室工作经费</t>
  </si>
  <si>
    <t>信访工作经费</t>
  </si>
  <si>
    <t>档案馆日常经费</t>
  </si>
  <si>
    <t>档案馆设施设备维保经费</t>
  </si>
  <si>
    <t>区政府办公室小计</t>
  </si>
  <si>
    <t>区人大常委会办公室</t>
  </si>
  <si>
    <t>市、区人代会及常委会会议保障经费</t>
  </si>
  <si>
    <t>代表履职补贴</t>
  </si>
  <si>
    <t>代表履职活动保障经费</t>
  </si>
  <si>
    <t>监督工作经费</t>
  </si>
  <si>
    <t>业务工作经费</t>
  </si>
  <si>
    <t>人大机关工作经费</t>
  </si>
  <si>
    <t>会议室LED全彩屏幕、话筒、音响等设备购置经费</t>
  </si>
  <si>
    <t>区人大常委会办公室小计</t>
  </si>
  <si>
    <t>区政协办公室</t>
  </si>
  <si>
    <t>全会工作经费</t>
  </si>
  <si>
    <t>区政协委员履职经费</t>
  </si>
  <si>
    <t>委员活动经费</t>
  </si>
  <si>
    <t>政协机关及专委会经费</t>
  </si>
  <si>
    <t>区政协办公室小计</t>
  </si>
  <si>
    <t>区法院</t>
  </si>
  <si>
    <t>书记员经费</t>
  </si>
  <si>
    <t>聘用制人员包干经费</t>
  </si>
  <si>
    <t>诉前调解中心工作经费</t>
  </si>
  <si>
    <t>区法院补充工作经费</t>
  </si>
  <si>
    <t>执行工作专项经费</t>
  </si>
  <si>
    <t>区法院小计</t>
  </si>
  <si>
    <t>区检察院</t>
  </si>
  <si>
    <t>区检察院小计</t>
  </si>
  <si>
    <t>区发展改革局</t>
  </si>
  <si>
    <t>概算审查经费</t>
  </si>
  <si>
    <t>项目概算审查费用445.87万元未支付，尚七个亿元以上项目需审查。</t>
  </si>
  <si>
    <t>广东省重大项目集中开工工作经费</t>
  </si>
  <si>
    <t>第二次预算调整，关于开展季度集中开工活动的通知（汕市项目办〔2021〕15号）。</t>
  </si>
  <si>
    <t>区重点办工作经费</t>
  </si>
  <si>
    <t>区重点产业片区建设招商领导小组办公室工作经费（购买服务）</t>
  </si>
  <si>
    <t>科学保粮工作经费</t>
  </si>
  <si>
    <t>区重点产业片区建设招商领导小组办公室工作经费</t>
  </si>
  <si>
    <t>省、市、区重点项目管理工作经费</t>
  </si>
  <si>
    <t>区级冻猪肉储备费用</t>
  </si>
  <si>
    <t>区经济动员办公室工作经费</t>
  </si>
  <si>
    <t>对口鹤岗市向阳区办公经费</t>
  </si>
  <si>
    <t>救灾物资管理经费</t>
  </si>
  <si>
    <t>区级应急成品粮有关费用</t>
  </si>
  <si>
    <t>可行性研究报告专家评审费</t>
  </si>
  <si>
    <t>《汕头经济特区政府投资项目管理条例》。</t>
  </si>
  <si>
    <t>粮食质量安全监管、库存检查等经费</t>
  </si>
  <si>
    <t>区级节能专项资金</t>
  </si>
  <si>
    <t>考核项目，2019年度节能考核文件：汕市发改〔2020〕1646号。</t>
  </si>
  <si>
    <t>节能监察工作经费</t>
  </si>
  <si>
    <t>粮食安全应急工作经费</t>
  </si>
  <si>
    <t>固定资产投资网上备案登记经费</t>
  </si>
  <si>
    <t>粮食供需平衡、市场监测、流通统计、居民粮油消费调查等经费</t>
  </si>
  <si>
    <t>春节慰问困难职工补助经费</t>
  </si>
  <si>
    <t>汕头市粮食安全责任制考核工作经费</t>
  </si>
  <si>
    <t>营商环境办公经费</t>
  </si>
  <si>
    <t>区发展改革局小计</t>
  </si>
  <si>
    <t>区价格认证中心</t>
  </si>
  <si>
    <t>刑事涉案物品价格鉴审经费</t>
  </si>
  <si>
    <t>区价格认证中心小计</t>
  </si>
  <si>
    <t>区教育局</t>
  </si>
  <si>
    <t>区教师发展中心及人力资源服务产业园建设项目</t>
  </si>
  <si>
    <t>水表安装费。</t>
  </si>
  <si>
    <t>预留2022年教育系统项目前期及工程费用</t>
  </si>
  <si>
    <t>捐资助学支出</t>
  </si>
  <si>
    <t>民办代课教师补助</t>
  </si>
  <si>
    <t>学前教育幼儿资助</t>
  </si>
  <si>
    <t>家庭经济困难学生国家助学金（高中）</t>
  </si>
  <si>
    <t>省外高校贫困大学生助学金</t>
  </si>
  <si>
    <t>教师节活动经费</t>
  </si>
  <si>
    <t>教师培训经费</t>
  </si>
  <si>
    <t>华南师范大学品牌费、管理费</t>
  </si>
  <si>
    <t>区公办中小学、幼儿园保安购买服务经费</t>
  </si>
  <si>
    <t>濠江花园南区幼儿园、广澳街道中心幼儿园学前教育购买服务经费</t>
  </si>
  <si>
    <t>特教办学经费</t>
  </si>
  <si>
    <t>美育工作经费</t>
  </si>
  <si>
    <t>教育综合改革工作经费--社区教育专项培训</t>
  </si>
  <si>
    <t>教育综合改革工作经费--体育艺术特色教育</t>
  </si>
  <si>
    <t>考点考务经费</t>
  </si>
  <si>
    <t>教育经费审计经费</t>
  </si>
  <si>
    <t>督导工作专项经费</t>
  </si>
  <si>
    <t>统计工作经费</t>
  </si>
  <si>
    <t>劳动教育活动经费</t>
  </si>
  <si>
    <t>招聘招考新教师经费</t>
  </si>
  <si>
    <t>学前教育管理经费</t>
  </si>
  <si>
    <t>义务教育优质均衡发展区工作经费</t>
  </si>
  <si>
    <t>深化教育改革工作经费</t>
  </si>
  <si>
    <t>德育工作经费</t>
  </si>
  <si>
    <t>考试招生工作经费</t>
  </si>
  <si>
    <t>国家义务教育专项质量监测工作经费</t>
  </si>
  <si>
    <t>政府履行教育职责考核工作经费</t>
  </si>
  <si>
    <t>教育装备建设项目经费</t>
  </si>
  <si>
    <t>高中免学费</t>
  </si>
  <si>
    <t>高中残疾生</t>
  </si>
  <si>
    <t>国家义务教育专项质量监测结果应用工作经费</t>
  </si>
  <si>
    <t>校内课后服务基本托管费用</t>
  </si>
  <si>
    <t>韩山师范学院附属濠江实验学校开办经费</t>
  </si>
  <si>
    <t>区教育局及各学校汇总</t>
  </si>
  <si>
    <t>学前教育生均公用经费</t>
  </si>
  <si>
    <t>城乡义务教育生均公用经费</t>
  </si>
  <si>
    <t>义务教育阶段特殊教育学校和随班就读残疾学生生均公用经费</t>
  </si>
  <si>
    <t>公办普通高中生均公用经费</t>
  </si>
  <si>
    <t>濠江各学校</t>
  </si>
  <si>
    <t>提高寄宿制学校等公用经费水平</t>
  </si>
  <si>
    <t>公办普通高中生均公用经费（2021年度）</t>
  </si>
  <si>
    <t>义务教育阶段特殊教育学校和随班就读残疾学生生均公用经费（2021年度）</t>
  </si>
  <si>
    <t>达濠第三中学</t>
  </si>
  <si>
    <t>达濠第三中学阶梯教室环境配套升级改造项目</t>
  </si>
  <si>
    <t>达濠中学</t>
  </si>
  <si>
    <t>达濠中学改建运动场及配套设施</t>
  </si>
  <si>
    <t>预算审核金额381.41万，已拨付18万元，汕濠办文〔2020〕Z2-2041号。</t>
  </si>
  <si>
    <t>三河中学</t>
  </si>
  <si>
    <t>三河中学校舍综合改造项目</t>
  </si>
  <si>
    <t>总投5351万元，已拨付72万元，汕濠办文〔2021〕Z2-0519号。</t>
  </si>
  <si>
    <t>河浦中学</t>
  </si>
  <si>
    <t>河浦中学学生宿舍楼及配套设施</t>
  </si>
  <si>
    <t>总投8844.9万元，已拨付5053.95万，剩余应付款约3790.95万元。</t>
  </si>
  <si>
    <t>汕头金中南滨学校</t>
  </si>
  <si>
    <t>汕头金中南滨学校博美校区开办经费</t>
  </si>
  <si>
    <t>濠城学校</t>
  </si>
  <si>
    <t>濠城学校扩建教学楼和运动场及配套设施建设项目</t>
  </si>
  <si>
    <t>总投2075万元，已拨付16万元。汕濠办文〔2021〕Z2-0519号。</t>
  </si>
  <si>
    <t>河北小学</t>
  </si>
  <si>
    <t>河北小学教学用房及配套设施综合改建项目</t>
  </si>
  <si>
    <t>总投3824.23万元，已拨付1666.71万元，上级资金尚余67万元可用。</t>
  </si>
  <si>
    <t>玉石小学</t>
  </si>
  <si>
    <t>玉石小学教学楼升级改造工程</t>
  </si>
  <si>
    <t>总投850.84万元，已拨付54.71万元，预算审核金额850.84万元，已拨56.15万，剩余应付款约794.69万元。</t>
  </si>
  <si>
    <t>珠浦第二小学</t>
  </si>
  <si>
    <t>珠浦第二小学课桌椅等设备（使用2019年教育捐赠款）</t>
  </si>
  <si>
    <t>埭头小学</t>
  </si>
  <si>
    <t>濠江区埭头小学校舍综合改造工程</t>
  </si>
  <si>
    <t>总投2207.63万元，已拨付1926.03万元，汕濠办文〔2020〕Z2-0931号。</t>
  </si>
  <si>
    <t>区教师发展中心</t>
  </si>
  <si>
    <t>义务教育阶段质量检测</t>
  </si>
  <si>
    <t>教学科研专项经费（含教科所）</t>
  </si>
  <si>
    <t>区中心幼儿园</t>
  </si>
  <si>
    <t>区教育局及各学校小计</t>
  </si>
  <si>
    <t>区职教中心</t>
  </si>
  <si>
    <t>濠江职教中心校舍综合维修改造工程（二期）</t>
  </si>
  <si>
    <t>总投5512.4万元，已拨付10.89万元。</t>
  </si>
  <si>
    <t>中职教育国家助学金</t>
  </si>
  <si>
    <t>中职教育免学费补助</t>
  </si>
  <si>
    <t>聘用专业教师补助经费</t>
  </si>
  <si>
    <t>区职教中心小计</t>
  </si>
  <si>
    <t>区工业和信息化局</t>
  </si>
  <si>
    <t>招商引资工作经费</t>
  </si>
  <si>
    <t>科普经费</t>
  </si>
  <si>
    <t>地震经费</t>
  </si>
  <si>
    <t>广交会、进博会、中博会等会展推介、参展经费</t>
  </si>
  <si>
    <t>高新技术企业认定奖励项目</t>
  </si>
  <si>
    <t>汕濠府〔2019〕34号。</t>
  </si>
  <si>
    <t>春节慰问下辖国有企业困难职工经费</t>
  </si>
  <si>
    <t>区工业和信息化局小计</t>
  </si>
  <si>
    <t>区民政局</t>
  </si>
  <si>
    <t>区民政局春节慰问活动经费</t>
  </si>
  <si>
    <t>按实结算项目。</t>
  </si>
  <si>
    <t>城市居民最低生活保障金</t>
  </si>
  <si>
    <t>每人每月808元，补差不低于659元。</t>
  </si>
  <si>
    <t>农村居民最低生活保障金</t>
  </si>
  <si>
    <t>每人每月795元，补差不低于388元。</t>
  </si>
  <si>
    <t>城镇特困人员供养</t>
  </si>
  <si>
    <t>每人每月1340元。</t>
  </si>
  <si>
    <t>农村特困人员供养</t>
  </si>
  <si>
    <t>每人每月1272元。</t>
  </si>
  <si>
    <t>孤儿基本生活保障</t>
  </si>
  <si>
    <t>每人每月1313元。</t>
  </si>
  <si>
    <t>临时救助资金</t>
  </si>
  <si>
    <t>高龄老人政府津贴</t>
  </si>
  <si>
    <t>每人每年，80-89岁500元（市144元，区356元），90-99岁1000元（市240元，区640元）。</t>
  </si>
  <si>
    <t>百岁老人保健金</t>
  </si>
  <si>
    <t>每人每月500元，市120元，区380元。</t>
  </si>
  <si>
    <t>困难残疾人生活补贴和重度残疾人护理补贴</t>
  </si>
  <si>
    <t>月107万支出，每人每月生活补188元，护理补252元，省、市、区5：2：3。</t>
  </si>
  <si>
    <t>低保工作经费</t>
  </si>
  <si>
    <t>按上年本级低保资金3%计算。</t>
  </si>
  <si>
    <t>加强基层社会救助经办服务能力政府购买服务项目经费</t>
  </si>
  <si>
    <t>根据汕濠府〔2021〕78号文，按人月400元标准编列。区民政局年初未编列，现需400元*8人*12个月=3.84万元。</t>
  </si>
  <si>
    <t>双百镇（街）社会工作服务站建设运营示范项目资金</t>
  </si>
  <si>
    <t>人年5万，省3万，市1.2万，区0.8万，37人；运营经费每个3万，市1.8万，区1.2万，7个。</t>
  </si>
  <si>
    <t>双百镇其他政府社会工作服务站工作经费</t>
  </si>
  <si>
    <t>根据汕濠府〔2021〕78号文，按人月400元标准编列，37人。</t>
  </si>
  <si>
    <t>行政区划界线及路标维护工作经费</t>
  </si>
  <si>
    <t>婚姻登记工本费</t>
  </si>
  <si>
    <t>农村留守儿童关爱工作和困境儿童保障工作等经费</t>
  </si>
  <si>
    <t>清秋山院经费</t>
  </si>
  <si>
    <t>养老床位设置补助和护理老人运营资助</t>
  </si>
  <si>
    <t>殡葬管理殡改宣传工作经费</t>
  </si>
  <si>
    <t>殡葬惠民</t>
  </si>
  <si>
    <t>月需17万，每宗1550元。</t>
  </si>
  <si>
    <t>慈善会宣传办公经费</t>
  </si>
  <si>
    <t>基层政权和社区建设经费</t>
  </si>
  <si>
    <t>精简退职</t>
  </si>
  <si>
    <t>3人，每人每月120-150元，月390元。</t>
  </si>
  <si>
    <t>流浪乞讨人员救助及工作经费</t>
  </si>
  <si>
    <t>社会组织和民间管理工作经费（含网络维护）</t>
  </si>
  <si>
    <t>居务监督委员会成员补贴</t>
  </si>
  <si>
    <t>2022年居务监督委员会成员培训经费</t>
  </si>
  <si>
    <t>2022年“双随机，一公开”对社会组织监管工作经费</t>
  </si>
  <si>
    <t>区民政局小计</t>
  </si>
  <si>
    <t>区司法局</t>
  </si>
  <si>
    <t>法律援助经费</t>
  </si>
  <si>
    <t>人民调解经费</t>
  </si>
  <si>
    <t>安置帮教、社区矫正经费</t>
  </si>
  <si>
    <t>社区矫正两级平台运行维护经费</t>
  </si>
  <si>
    <t>公共法律服务工作经费</t>
  </si>
  <si>
    <t>依法治区工作经费</t>
  </si>
  <si>
    <t>依法行政经费</t>
  </si>
  <si>
    <t>行政复议工作经费</t>
  </si>
  <si>
    <t>一社区一法律顾问工作经费</t>
  </si>
  <si>
    <t>一社区一法律顾问区级配套经费</t>
  </si>
  <si>
    <t>区委区政府法律顾问服务费（党政办）</t>
  </si>
  <si>
    <t>区委区政府法律顾问服务费</t>
  </si>
  <si>
    <t>“以案定补”补助</t>
  </si>
  <si>
    <t>司法救助经费</t>
  </si>
  <si>
    <t>专职人民调解员包干经费</t>
  </si>
  <si>
    <t>社区矫正专职社会工作者包干经费</t>
  </si>
  <si>
    <t>区司法局小计</t>
  </si>
  <si>
    <t>区财政局</t>
  </si>
  <si>
    <t>政府综合财务报告编报工作经费</t>
  </si>
  <si>
    <t>金融管理工作经费</t>
  </si>
  <si>
    <t>会计监督检查（绩评）工作经费</t>
  </si>
  <si>
    <t>财政信息系统建设和维护经费</t>
  </si>
  <si>
    <t>常年法律顾问经费</t>
  </si>
  <si>
    <t>协税经费补助</t>
  </si>
  <si>
    <t>预算、国库、债务管理工作经费</t>
  </si>
  <si>
    <t>设备购置及维护经费</t>
  </si>
  <si>
    <t>会计档案资料整理等工作经费</t>
  </si>
  <si>
    <t>预算、预算调整、年终决算等编审工作经费</t>
  </si>
  <si>
    <t>农村财务工作经费</t>
  </si>
  <si>
    <t>数字政府工作经费</t>
  </si>
  <si>
    <t>区财政局小计</t>
  </si>
  <si>
    <t>区人力资源社会保障局</t>
  </si>
  <si>
    <t>人力资源和社会保障工作补充经费</t>
  </si>
  <si>
    <t>被征地农民养老保障金</t>
  </si>
  <si>
    <t>每人每年55元，省、市、区5：2：3。</t>
  </si>
  <si>
    <t>城乡居民社会养老保险</t>
  </si>
  <si>
    <t>每人每年190元，中央和省、市、区85：7.5：7.5。</t>
  </si>
  <si>
    <t>城乡居民社会养老保险代缴困难人群补助</t>
  </si>
  <si>
    <t>每人每年120元，市、区5：5。</t>
  </si>
  <si>
    <t>就业创业政策性补贴</t>
  </si>
  <si>
    <t>开展公益性招聘会、事业单位招考、人力资源系统建设等公共就业服务经费</t>
  </si>
  <si>
    <t>街道公益性岗位安置政府购买服务包干经费</t>
  </si>
  <si>
    <t>技工院校建档立卡贫困家庭学生生活费补助</t>
  </si>
  <si>
    <t>每生每学年3000元，省属学校省、市、区6：2：2，市属学校省、市6：4。</t>
  </si>
  <si>
    <t>局及事业单位运转经费</t>
  </si>
  <si>
    <t>人力资源库管理经费</t>
  </si>
  <si>
    <t>事业单位培训与考核经费</t>
  </si>
  <si>
    <t>大学生人事代管和档案寄管业务经费</t>
  </si>
  <si>
    <t>工资管理和系统维护经费</t>
  </si>
  <si>
    <t>监察和工伤办案经费</t>
  </si>
  <si>
    <t>劳动人事争议仲裁办案补助</t>
  </si>
  <si>
    <t>人力资源市场建设与信息经费</t>
  </si>
  <si>
    <t>人力资源与就业服务经费</t>
  </si>
  <si>
    <t>三支一扶大学生生活补助</t>
  </si>
  <si>
    <t>每人每月3600元，省2100元，市、区各750元。</t>
  </si>
  <si>
    <t>中海信实训基地和博士博士后基地日常运转经费</t>
  </si>
  <si>
    <t>区人力资源社会保障局小计</t>
  </si>
  <si>
    <t>区人力资源与就业服务中心</t>
  </si>
  <si>
    <t>人力资源与就业服务中心运行经费</t>
  </si>
  <si>
    <t>区人力资源与就业小计业服务中心小计</t>
  </si>
  <si>
    <t>区自然资源局</t>
  </si>
  <si>
    <t>春绿满濠江2021年义务植树项目</t>
  </si>
  <si>
    <t>海域海岛综合管理经费</t>
  </si>
  <si>
    <t>用于开展海域海岛监督检查工作。</t>
  </si>
  <si>
    <t>生态评估和生态保护修复编制费用</t>
  </si>
  <si>
    <t>非税执收单位运行经费</t>
  </si>
  <si>
    <t>全面推行林长制工作经费</t>
  </si>
  <si>
    <t>全民义务植树节项目经费</t>
  </si>
  <si>
    <t>青林居委青云岩景区公厕后山体地质灾害隐患点建设区级配套资金</t>
  </si>
  <si>
    <t>政策性森林保险区级财政保费补贴</t>
  </si>
  <si>
    <t>项目结余。</t>
  </si>
  <si>
    <t>区自然资源局小计</t>
  </si>
  <si>
    <t>区规划测绘院</t>
  </si>
  <si>
    <t>补充工作经费</t>
  </si>
  <si>
    <t>测绘业务工作经费</t>
  </si>
  <si>
    <t>区规划测绘院小计</t>
  </si>
  <si>
    <t>区住房城乡建设局</t>
  </si>
  <si>
    <t>2019年度汕头市扶持建筑业发展专项资金</t>
  </si>
  <si>
    <t>审计整改项目，区级配套，汕住建市通〔2021〕19号，2021年市级补助208.74万元，区级应配套313.09万元。</t>
  </si>
  <si>
    <t>2022年农村公路养护区级配套</t>
  </si>
  <si>
    <t>人防知识教育进社区</t>
  </si>
  <si>
    <t>更换中间接受控制器、增设更换防空警报器及终端控制器</t>
  </si>
  <si>
    <t>城乡建设和交通运输工作经费</t>
  </si>
  <si>
    <t>濠江区公交线路实施一票制补贴资金</t>
  </si>
  <si>
    <t>购买抽检区内房屋市政工程在建项目建材质量检测服务经费</t>
  </si>
  <si>
    <t>2022年濠江区房屋建筑和市政设施承灾体普查及城镇房屋建筑安全风险排查技术服务采购项目</t>
  </si>
  <si>
    <t>区住房城乡建设局小计</t>
  </si>
  <si>
    <t>区交通运输服务中心</t>
  </si>
  <si>
    <t>运输行业安全监管、运政信息网络维护、运输管理工作经费</t>
  </si>
  <si>
    <t>公交车、出租车、旅客运输等事务性工作经费</t>
  </si>
  <si>
    <t>区交通运输服务中心小计</t>
  </si>
  <si>
    <t>区房屋管理所</t>
  </si>
  <si>
    <t>房改信息管理系统</t>
  </si>
  <si>
    <t>区房屋管理所小计</t>
  </si>
  <si>
    <t>区建设工程质量与安全中心</t>
  </si>
  <si>
    <t>工程造价信息发布购买服务经费</t>
  </si>
  <si>
    <t>区建设工程质量与安全中心小计</t>
  </si>
  <si>
    <t>区农业农村水务局</t>
  </si>
  <si>
    <t>水资源管理工作经费</t>
  </si>
  <si>
    <t>招聘动物检疫协检人员劳务派遣费用</t>
  </si>
  <si>
    <t>农办社会购买服务人员经费</t>
  </si>
  <si>
    <t>河长办社会购买服务人员经费</t>
  </si>
  <si>
    <t>100吨渔政执法船船员经费</t>
  </si>
  <si>
    <t>渔业安全生产通信指挥系统平台专项工作人员经费</t>
  </si>
  <si>
    <t>巩固脱贫衔接乡村振兴工作经费</t>
  </si>
  <si>
    <t>畜禽屠宰环节和养殖环节无害化处理区级配套资金</t>
  </si>
  <si>
    <t>离岗基层老兽医补助区级配套资金</t>
  </si>
  <si>
    <t>新型粮食种植经营主体专项资金</t>
  </si>
  <si>
    <t>政策性水稻种植保险区级配套资金</t>
  </si>
  <si>
    <t>涉及2022年度保险考核任务。</t>
  </si>
  <si>
    <t>突发重大动物疫情应急储备金</t>
  </si>
  <si>
    <t>农业（畜牧）保险补贴</t>
  </si>
  <si>
    <t>农村集体资产资源管理服务交易平台系统的运行日常维护及服务器托管租用费</t>
  </si>
  <si>
    <t>政策性农村住房保险区级配套资金</t>
  </si>
  <si>
    <t>新时期精准扶贫小额信贷贴息专项资金</t>
  </si>
  <si>
    <t>考核项目。</t>
  </si>
  <si>
    <t>农业农村综合管理工作经费</t>
  </si>
  <si>
    <t>渔业渔政工作经费</t>
  </si>
  <si>
    <t>渔业执法船、执法艇油料及维护保障经费</t>
  </si>
  <si>
    <t>河长制工作经费</t>
  </si>
  <si>
    <t>乡村振兴工作经费</t>
  </si>
  <si>
    <t>三屿围养虾东场原管理机构人员社保资金</t>
  </si>
  <si>
    <t>汕头市濠江区上彼沟水库除险加固工程</t>
  </si>
  <si>
    <t>25宗小型水库集中管护经费</t>
  </si>
  <si>
    <t>驻镇帮镇扶村工作经费</t>
  </si>
  <si>
    <t>农业机械购置补贴工作经费</t>
  </si>
  <si>
    <t>濠江区2021年农产品质量安全监测项目经费</t>
  </si>
  <si>
    <t>补建新建汕头至汕尾铁路（濠江区段）及虎头山隧道及南延工程建设项目用地占用高标准农田补建费</t>
  </si>
  <si>
    <t>涉及2022年粮食生产安全党政同责考核。</t>
  </si>
  <si>
    <t>区农业农村水务局小计</t>
  </si>
  <si>
    <t>区水利与渔港建设管养中心</t>
  </si>
  <si>
    <t>水利技术推广与培训</t>
  </si>
  <si>
    <t>水库维护管理</t>
  </si>
  <si>
    <t>水流娘电排站抽排水经费及日常养护费</t>
  </si>
  <si>
    <t>汕头市濠江区洲角闸应急强排站新建工程</t>
  </si>
  <si>
    <t>区水利与渔港建设管养中心小计</t>
  </si>
  <si>
    <t>区动物疫病预防控制中心</t>
  </si>
  <si>
    <t>动物病虫害控制</t>
  </si>
  <si>
    <t>区动物疫病预防控制中心小计</t>
  </si>
  <si>
    <t>区乡村振兴战略发展中心</t>
  </si>
  <si>
    <t>日常办公工作经费</t>
  </si>
  <si>
    <t>区乡村振兴战略发展中心小计</t>
  </si>
  <si>
    <t>区农产品质量安全中心小计</t>
  </si>
  <si>
    <t>区文化广电旅游体育局</t>
  </si>
  <si>
    <t>旅游发展专项经费</t>
  </si>
  <si>
    <t>促进旅游业发展扶持资金</t>
  </si>
  <si>
    <t>楹联之乡活动经费</t>
  </si>
  <si>
    <t>非遗推广工作经费</t>
  </si>
  <si>
    <t>旅游宣传经费</t>
  </si>
  <si>
    <t>文化大区建设经费</t>
  </si>
  <si>
    <t>老年体协经费</t>
  </si>
  <si>
    <t>文物保护经费</t>
  </si>
  <si>
    <t>两馆一园物业管理费</t>
  </si>
  <si>
    <t>预留国家级全域旅游示范区创建经费（包括宣传营销、软硬件配套设施等）</t>
  </si>
  <si>
    <t>区文化广电旅游体育局小计</t>
  </si>
  <si>
    <t>区文化馆</t>
  </si>
  <si>
    <t>文化活动经费</t>
  </si>
  <si>
    <t>非遗补助经费</t>
  </si>
  <si>
    <t>区文化馆小计</t>
  </si>
  <si>
    <t>区图书馆</t>
  </si>
  <si>
    <t>购书经费</t>
  </si>
  <si>
    <t>图书管理经费</t>
  </si>
  <si>
    <t>区图书馆小计</t>
  </si>
  <si>
    <t>区博物馆</t>
  </si>
  <si>
    <t>博物馆业务运营经费</t>
  </si>
  <si>
    <t>区博物馆小计</t>
  </si>
  <si>
    <t>区卫生健康局</t>
  </si>
  <si>
    <t>妇幼保健院门诊部设备购置款</t>
  </si>
  <si>
    <t>2022年春节慰问特别扶助家庭、“纯二女”和“独女”户结扎对象、留观点工作人员</t>
  </si>
  <si>
    <t>2022年新型冠状病毒感染的肺炎应急防控专项经费</t>
  </si>
  <si>
    <t>其中20万用于濠江区河浦街道河北社区卫生服务站部分检测人员包干费用。</t>
  </si>
  <si>
    <t>病媒生物防制工作经费</t>
  </si>
  <si>
    <t>爱卫工作经费</t>
  </si>
  <si>
    <t>基本公共卫生服务区级资金</t>
  </si>
  <si>
    <t>每人每年84元，中央和省、市、区85：7.5：7.5。</t>
  </si>
  <si>
    <t>基本公共卫生工作经费</t>
  </si>
  <si>
    <t>健康促进区专项经费</t>
  </si>
  <si>
    <t>法治建设经费</t>
  </si>
  <si>
    <t>计生协会经费</t>
  </si>
  <si>
    <t>卫生健康工作经费</t>
  </si>
  <si>
    <t>卫生健康监管及公共卫生应急工作经费</t>
  </si>
  <si>
    <t>医改工作经费</t>
  </si>
  <si>
    <t>职业病防治工作经费</t>
  </si>
  <si>
    <t>“银龄安康”行动60周岁以上老人保险费</t>
  </si>
  <si>
    <t>60-69岁，每人每年20（市5元，区15元），70-100岁，每人每年20元（市10元，区10元）。</t>
  </si>
  <si>
    <t>城乡妇女两癌检查专项经费</t>
  </si>
  <si>
    <t>每人宫颈癌147.5，乳腺癌88.6元，省、市、区8：1：1。</t>
  </si>
  <si>
    <t>处级干部体检经费</t>
  </si>
  <si>
    <t>传染病防治经费</t>
  </si>
  <si>
    <t>国家随机监督抽查</t>
  </si>
  <si>
    <t>计划生育家庭特别扶助</t>
  </si>
  <si>
    <t>每人每月，死亡800元，伤残500元，中央和省、市、区85：7.5：7.5。</t>
  </si>
  <si>
    <t>计生工作经费</t>
  </si>
  <si>
    <t>计生家庭商业保险</t>
  </si>
  <si>
    <t>项目已完结。</t>
  </si>
  <si>
    <t>计生家庭意外伤害保险</t>
  </si>
  <si>
    <t>每家庭每年60元。</t>
  </si>
  <si>
    <t>计生家庭子女就学补助和保险</t>
  </si>
  <si>
    <t>离休干部医药费</t>
  </si>
  <si>
    <t>农村已离岗接生员和赤脚医生生活困难补助</t>
  </si>
  <si>
    <t>工龄每10年一档，每人月400元-900元不等，省、市、区、社区48：16：16：20。</t>
  </si>
  <si>
    <t>清算2017-2022年基层医疗卫生机构全科医生特设岗位补助资金</t>
  </si>
  <si>
    <t>省城镇独生子女父母计生奖励</t>
  </si>
  <si>
    <t>每人每月200元，市、区5：5，全年需32.49万元，预算编列30.84万元，现调增1.65万元。</t>
  </si>
  <si>
    <t>省农村部分计划生育家庭奖励</t>
  </si>
  <si>
    <t>每人每月200元，省、市、区85：7.5：7.5。</t>
  </si>
  <si>
    <t>市农村计划生育节育奖</t>
  </si>
  <si>
    <t>每人每月50元，市、区6：4。</t>
  </si>
  <si>
    <t>严重精神障碍患者监护补助费用</t>
  </si>
  <si>
    <t>一、二级每人每年1000元，三、四级每人每年4200元，市、区4：6。</t>
  </si>
  <si>
    <t>严重精神障碍患者排查经费</t>
  </si>
  <si>
    <t>严重精神障碍患者长效针剂</t>
  </si>
  <si>
    <t>按上级分的任务数120人算，第一针为2250元（区负担约425元）第二针开始为1823元（区负担约305元），8月开始接种，即=120人*（425+305*5）=23.4万元。</t>
  </si>
  <si>
    <t>区卫生健康局小计</t>
  </si>
  <si>
    <t>区妇幼保健计划生育服务中心</t>
  </si>
  <si>
    <t>出生缺陷综合防控项目目标人群专项经费</t>
  </si>
  <si>
    <t>孕妇每人620元，新生儿每人214元，省、市、区6：2：2。</t>
  </si>
  <si>
    <t>妇幼保健工作经费</t>
  </si>
  <si>
    <t>妇幼门诊信息化软件系统建设</t>
  </si>
  <si>
    <t>区妇幼保健计划生育服务中心小计</t>
  </si>
  <si>
    <t>区疾病预防控制中心</t>
  </si>
  <si>
    <t>二类疫苗费</t>
  </si>
  <si>
    <t>二类疫苗储存配送费</t>
  </si>
  <si>
    <t>传染病疫情报告系统</t>
  </si>
  <si>
    <t>结核病控制经费</t>
  </si>
  <si>
    <t>突发公共事件应急</t>
  </si>
  <si>
    <t>区疾病预防控制中心小计</t>
  </si>
  <si>
    <t>区退役军人事务局</t>
  </si>
  <si>
    <t>区退役军人事务局春节慰问活动经费</t>
  </si>
  <si>
    <t>八一慰问</t>
  </si>
  <si>
    <t>城乡退伍士兵安置补助金（含西藏兵）</t>
  </si>
  <si>
    <t>每人约3.5万，省1万，市、区各1.25万。</t>
  </si>
  <si>
    <t>城乡义务兵优待金（含高原兵）及一次性大学生入伍奖励</t>
  </si>
  <si>
    <t>按市要求义务兵家庭优待金调整为专项上解支出。每人约1.2万，市3000元，区兜底。</t>
  </si>
  <si>
    <t>随军家属未就业生活补助</t>
  </si>
  <si>
    <t>每人每月1500元，市、区5：5。</t>
  </si>
  <si>
    <t>政府安排工作退役士兵待安置期间参加基本养老、职工基本医疗保险保障经费</t>
  </si>
  <si>
    <t>每人每月约2500元，最多补助6个月。</t>
  </si>
  <si>
    <t>政府安排工作退役士官待安置期间生活补助</t>
  </si>
  <si>
    <t>今年我区共接收安排工作退役士兵7名，人数大于年初预测人数。每人每月1550元，最多补6个月。</t>
  </si>
  <si>
    <t>自主择业军转干部管理经费</t>
  </si>
  <si>
    <t>自主择业军转干部医保单位缴费</t>
  </si>
  <si>
    <t>困难企业部分军队退役人员医疗保障经费</t>
  </si>
  <si>
    <t>16人，医保费增加。</t>
  </si>
  <si>
    <t>困难企业部分军队退役人员生活困难补助</t>
  </si>
  <si>
    <t>每人每月520元。</t>
  </si>
  <si>
    <t>困难企业军转干部节日生活补助</t>
  </si>
  <si>
    <t>每人每年4200元。</t>
  </si>
  <si>
    <t>困难企业军转干部生活补助</t>
  </si>
  <si>
    <t>每人每月约6000元，共8人。</t>
  </si>
  <si>
    <t>困难企业军转干部体检费</t>
  </si>
  <si>
    <t>抚恤补助金</t>
  </si>
  <si>
    <t>优抚对象医疗保障资金</t>
  </si>
  <si>
    <t>优抚与双拥工作经费</t>
  </si>
  <si>
    <t>部分退役士兵社会保险接续</t>
  </si>
  <si>
    <t>汕退役士兵社保组发（2022）2号关于继续开展部分退役士兵社会保险补缴工作的通知，调增用于继续开展补缴所需金额。</t>
  </si>
  <si>
    <t>立功受奖人员家庭慰问经费</t>
  </si>
  <si>
    <t>三等功每人1000元。</t>
  </si>
  <si>
    <t>区退役军人服务体系工作经费</t>
  </si>
  <si>
    <t>退役军人服务组织专职人员经费</t>
  </si>
  <si>
    <t>合同7月份到期，项目完结。</t>
  </si>
  <si>
    <t>退役军人就业创业（含党建和宣传工作）经费</t>
  </si>
  <si>
    <t>区退役军人事务局小计</t>
  </si>
  <si>
    <t>区应急管理局</t>
  </si>
  <si>
    <t>区森林专业扑火专项工作购买服务经费</t>
  </si>
  <si>
    <t>刚性支出，汕森防指〔2019〕9号。</t>
  </si>
  <si>
    <t>购买应急管理综合行政执法装备</t>
  </si>
  <si>
    <t>粤应急〔2021〕19号。</t>
  </si>
  <si>
    <t>应急救援、安全生产、三防应急演练培训等经费</t>
  </si>
  <si>
    <t>汕减灾委电〔2019〕1号、汕濠〔2019〕1号、汕濠府办〔2017〕117号、汕濠办文〔2020〕Z4-1533号。</t>
  </si>
  <si>
    <t>森林防火工作经费</t>
  </si>
  <si>
    <t>汕森防指〔2019〕9号。</t>
  </si>
  <si>
    <t>安全生产技术及应急救援服务专业购买服务包干经费</t>
  </si>
  <si>
    <t>刚性支出，汕濠办文〔2019〕Z2-1627号。</t>
  </si>
  <si>
    <t>街道安全生产监督检查工作购买服务经费</t>
  </si>
  <si>
    <t>刚性支出，汕府办〔2016〕15号。</t>
  </si>
  <si>
    <t>清明森林防火专项经费</t>
  </si>
  <si>
    <t>保基本民生，汕府〔2016〕140号、汕森防指〔2021〕3号。</t>
  </si>
  <si>
    <t>清明森林防火专项经费（区公安分局）</t>
  </si>
  <si>
    <t>清明森林防火专项经费（区自然资源局）</t>
  </si>
  <si>
    <t>清明森林防火专项经费（区委政法委区综治中心）</t>
  </si>
  <si>
    <t>清明森林防火专项经费（达濠街道办事处）</t>
  </si>
  <si>
    <t>清明森林防火专项经费（区消防救援大队）</t>
  </si>
  <si>
    <t>清明森林防火专项经费（广澳街道办事处）</t>
  </si>
  <si>
    <t>清明森林防火专项经费（石街道办事处）</t>
  </si>
  <si>
    <t>清明森林防火专项经费（马滘街道办事处）</t>
  </si>
  <si>
    <t>清明森林防火专项经费（河浦街道办事处）</t>
  </si>
  <si>
    <t>清明森林防火专项经费（玉新街道办事处）</t>
  </si>
  <si>
    <t>清明森林防火专项经费（滨海街道办事处）</t>
  </si>
  <si>
    <t>第一次全国自然灾害综合风险普查专项经费</t>
  </si>
  <si>
    <t>考核项目，汕国灾险普办发〔2021〕9号。</t>
  </si>
  <si>
    <t>区应急管理局小计</t>
  </si>
  <si>
    <t>区审计局</t>
  </si>
  <si>
    <t>审计事业补助工作经费</t>
  </si>
  <si>
    <t>公务车购置费</t>
  </si>
  <si>
    <t>各项审计经费</t>
  </si>
  <si>
    <t>审计信息化建设</t>
  </si>
  <si>
    <t>其他政府审计服务工作经费</t>
  </si>
  <si>
    <t>经济责任审计工作经费</t>
  </si>
  <si>
    <t>区审计局小计</t>
  </si>
  <si>
    <t>区市场监管局</t>
  </si>
  <si>
    <t>市场监督管理各类登记、检查、抽检、专用材料、执法办案、专项整治、标准化、办公楼维护等工作经费</t>
  </si>
  <si>
    <t>考核项目，汕强市组〔2022〕2号、广东省2022年食品安全工作评议考核细则（征求意见稿）。</t>
  </si>
  <si>
    <t>明厨亮灶联网监管系统专项经费</t>
  </si>
  <si>
    <t>汕市监〔2020〕85号、汕府办函〔2019〕202号。</t>
  </si>
  <si>
    <t>食品安全监督抽检经费</t>
  </si>
  <si>
    <t>农贸市场食用农产品快速检测工作经费</t>
  </si>
  <si>
    <t>区市场监管局小计</t>
  </si>
  <si>
    <t>区统计局</t>
  </si>
  <si>
    <t>第五次全国经济普查经费</t>
  </si>
  <si>
    <t>城乡一体化统计调查经费</t>
  </si>
  <si>
    <t>粤调办字〔2022〕59号。</t>
  </si>
  <si>
    <t>街道统计工作经费</t>
  </si>
  <si>
    <t>劳动力调查经费</t>
  </si>
  <si>
    <t>区统计局小计</t>
  </si>
  <si>
    <t>区城管局</t>
  </si>
  <si>
    <t>更新垃圾转运设备项目</t>
  </si>
  <si>
    <t>汕濠办文〔2021〕Z3-0507号。</t>
  </si>
  <si>
    <t>加装磊广大道车止柱及警示牌设施项目</t>
  </si>
  <si>
    <t>汕濠财报2022-2号。</t>
  </si>
  <si>
    <t>移动执法平台通信费用（一年）</t>
  </si>
  <si>
    <t>治超工作专项经费</t>
  </si>
  <si>
    <t>菊展经费</t>
  </si>
  <si>
    <t>文化市场管理</t>
  </si>
  <si>
    <t>数字城管一期互联网租金(一年费用）</t>
  </si>
  <si>
    <t>劳动保障监察专项经费</t>
  </si>
  <si>
    <t>创文强管工作补充经费</t>
  </si>
  <si>
    <t>数字城管二期互联网租金（一年费用）</t>
  </si>
  <si>
    <t>动物防疫专项经费</t>
  </si>
  <si>
    <t>“数字城管”一二期平台建设项目维修保养经费</t>
  </si>
  <si>
    <t>汕濠办文〔2021〕Z3-0507号，购置设备40万元、垃圾转运车辆经费40万元。</t>
  </si>
  <si>
    <t>区城管局小计</t>
  </si>
  <si>
    <t>区市政园林设施管理所</t>
  </si>
  <si>
    <t>南滨绿地公园、石林湖公园代管养期间水费</t>
  </si>
  <si>
    <t>市政设施巡查工作经费</t>
  </si>
  <si>
    <t>汕濠府办财函〔2017〕274号。</t>
  </si>
  <si>
    <t>市政设施水费</t>
  </si>
  <si>
    <t>区市政园林设施管理所小计</t>
  </si>
  <si>
    <t>区环卫事务中心</t>
  </si>
  <si>
    <t>环卫质量考核工作经费</t>
  </si>
  <si>
    <t>汕濠府办〔2015〕119号。</t>
  </si>
  <si>
    <t>珠浦路保洁经费</t>
  </si>
  <si>
    <t>汕濠府办财函〔2013〕154号。</t>
  </si>
  <si>
    <t>广澳垃圾压缩站场地租金</t>
  </si>
  <si>
    <t>2017年10月13日第46期区政府工作会议纪要。</t>
  </si>
  <si>
    <t>环卫节经费</t>
  </si>
  <si>
    <t>垃圾压缩站场地租金</t>
  </si>
  <si>
    <t>汕濠府办函〔2009〕367号、汕濠府办财函〔2014〕16号。</t>
  </si>
  <si>
    <t>区环卫事务中心小计</t>
  </si>
  <si>
    <t>区政务服务数据管理局</t>
  </si>
  <si>
    <t>中海信水电费及楼宇外物业费</t>
  </si>
  <si>
    <t>信息化建设运维经费</t>
  </si>
  <si>
    <t>宣传、图册印刷等经费</t>
  </si>
  <si>
    <t>区行政服务中心政府综合服务窗口劳务服务经费</t>
  </si>
  <si>
    <t>光纤专项经费</t>
  </si>
  <si>
    <t>电子政务外网建设费用</t>
  </si>
  <si>
    <t>综合服务平台网络系统维护包干经费</t>
  </si>
  <si>
    <t>电子政务项目第三方咨询机构初审费及专家评审费</t>
  </si>
  <si>
    <t>便民利企经费</t>
  </si>
  <si>
    <t>行政大厅运转经费</t>
  </si>
  <si>
    <t>行政大厅运转经费（物业管理及窗口午餐费用）</t>
  </si>
  <si>
    <t>区政务服务数据管理局小计</t>
  </si>
  <si>
    <t>区工业园区办公室</t>
  </si>
  <si>
    <t>汕头市濠江区党群服务中心物业管理费及水电费</t>
  </si>
  <si>
    <t>汕濠办文〔2021〕Z3—0166号。</t>
  </si>
  <si>
    <t>协调经费工作补助、园区宣传费用、招商引资工作经费</t>
  </si>
  <si>
    <t>汕头市南山湾产业园区规划环境影响跟踪评价与年度环境管理状况评估报告编制工作</t>
  </si>
  <si>
    <t>汕濠办文〔2021〕Z2-1724号。</t>
  </si>
  <si>
    <t>区工业园区办公室小计</t>
  </si>
  <si>
    <t>区供销社</t>
  </si>
  <si>
    <t>综合改革工作经费</t>
  </si>
  <si>
    <t>濠江区供销合作社新型乡村助农服务综合平台（中心）</t>
  </si>
  <si>
    <t>关于印发汕头市濠江区新型乡村助农服务示范体系建设实施方案的通知。</t>
  </si>
  <si>
    <t>综合性合作经济组织建设工作经费</t>
  </si>
  <si>
    <t>区供销社小计</t>
  </si>
  <si>
    <t>区消防救援大队</t>
  </si>
  <si>
    <t>南滨消防站住宅片设施购置经费</t>
  </si>
  <si>
    <t>汕濠办文〔2022〕Z3-0204号。</t>
  </si>
  <si>
    <t>政府专职消防队专项补充经费</t>
  </si>
  <si>
    <t>刚性支出，汕濠府〔2021〕78号。</t>
  </si>
  <si>
    <t>消防指战员改革性住房补贴</t>
  </si>
  <si>
    <t>刚性支出，汕市财工〔2021〕84号。</t>
  </si>
  <si>
    <t>消防指战员住房公积金</t>
  </si>
  <si>
    <t>政府专职消防队专项补充经费（消防文员）</t>
  </si>
  <si>
    <t>消防经费（含装备款）</t>
  </si>
  <si>
    <t>刚性支出，汕濠府办财函〔2013〕153号。</t>
  </si>
  <si>
    <t>政府专职消防人员经费</t>
  </si>
  <si>
    <t>刚性支出，汕濠府办财函〔2016〕47号、汕濠府办财函〔2018〕181号。</t>
  </si>
  <si>
    <t>119消防安全宣传月经费</t>
  </si>
  <si>
    <t>汕濠府办财函〔2016〕268号。</t>
  </si>
  <si>
    <t>消防器材装备购置经费</t>
  </si>
  <si>
    <t>消防指战员绩效奖金</t>
  </si>
  <si>
    <t>消防指战员计划生育奖金</t>
  </si>
  <si>
    <t>汕市财工〔2021〕84号。</t>
  </si>
  <si>
    <t>南滨消防站住宅片消防车辆购置经费</t>
  </si>
  <si>
    <t>区消防救援大队小计</t>
  </si>
  <si>
    <t>区委人武部</t>
  </si>
  <si>
    <t>民兵训练</t>
  </si>
  <si>
    <t>民兵武器仓库管理费</t>
  </si>
  <si>
    <t>兵役征集经费（含新兵役前教育培训经费）</t>
  </si>
  <si>
    <t>营房管理费</t>
  </si>
  <si>
    <t>马耳角哨所经费</t>
  </si>
  <si>
    <t>国防动员专项经费</t>
  </si>
  <si>
    <t>民兵事业费</t>
  </si>
  <si>
    <t>区委人武部小计</t>
  </si>
  <si>
    <t>市公安局濠江分局</t>
  </si>
  <si>
    <t>禁毒工作补助经费</t>
  </si>
  <si>
    <t>辅警人员经费</t>
  </si>
  <si>
    <t>公安业务经费</t>
  </si>
  <si>
    <t>“平安濠江”视频监控线路租金</t>
  </si>
  <si>
    <t>预留公安专项经费</t>
  </si>
  <si>
    <t>机关办案中心、达濠派出所办案区智能执法办案场所建设包干经费</t>
  </si>
  <si>
    <t>社会治安辅助服务工作经费</t>
  </si>
  <si>
    <t>各派出所工作补助经费</t>
  </si>
  <si>
    <t>购买警械装备经费</t>
  </si>
  <si>
    <t>市公安局濠江分局小计</t>
  </si>
  <si>
    <t>区税务局</t>
  </si>
  <si>
    <t>征管经费</t>
  </si>
  <si>
    <t>调减20.7万元为使用上级资金。</t>
  </si>
  <si>
    <t>2021年税务征收经费压支编列2022年预算</t>
  </si>
  <si>
    <t>调整为使用存量资金支出。</t>
  </si>
  <si>
    <t>区税务局小计</t>
  </si>
  <si>
    <t>市公共资源交易中心濠江分中心</t>
  </si>
  <si>
    <t>市公共资源交易中心濠江分中心运转经费</t>
  </si>
  <si>
    <t>网上交易系统维护专项费用</t>
  </si>
  <si>
    <t>中海信物业水电费</t>
  </si>
  <si>
    <t>中介超市运营劳务服务外包购买服务包干经费</t>
  </si>
  <si>
    <t>市公共资源交易中心濠江分中心小计</t>
  </si>
  <si>
    <t>市社会保险基金管理局濠江分局</t>
  </si>
  <si>
    <t>机关事业单位工作人员养老保险区级补助资金</t>
  </si>
  <si>
    <t>企业离休干部生活补贴和建国前参加革命属工人编制的退休老同志生活补贴</t>
  </si>
  <si>
    <t>12人，每人每月600元。</t>
  </si>
  <si>
    <t>市社会保险基金管理局濠江分局小计</t>
  </si>
  <si>
    <t>市医疗保障局濠江分局</t>
  </si>
  <si>
    <t>城乡居民基本医疗保险</t>
  </si>
  <si>
    <t>每人每年610元，省、市、区85：9：6。</t>
  </si>
  <si>
    <t>医保基金负担新冠病毒疫苗及接种费用补助-区级财政（城乡居民基本医疗保险）</t>
  </si>
  <si>
    <t>医保基金负担新冠病毒疫苗及接种费用补助-区级财政（职工基本医疗保险）</t>
  </si>
  <si>
    <t>市医疗保障局濠江分局小计</t>
  </si>
  <si>
    <t>区工商联</t>
  </si>
  <si>
    <t>濠江区民营投诉中心</t>
  </si>
  <si>
    <t>濠江区总商会</t>
  </si>
  <si>
    <t>区工商联小计</t>
  </si>
  <si>
    <t>区总工会</t>
  </si>
  <si>
    <t>工会专项经费</t>
  </si>
  <si>
    <t>劳模经费</t>
  </si>
  <si>
    <t>产业园区工联会经费</t>
  </si>
  <si>
    <t>区总工会小计</t>
  </si>
  <si>
    <t>团区委</t>
  </si>
  <si>
    <t>五四活动经费</t>
  </si>
  <si>
    <t>宣传活动经费</t>
  </si>
  <si>
    <t>青联活动经费</t>
  </si>
  <si>
    <t>志愿服务活动经费</t>
  </si>
  <si>
    <t>培训、会议经费</t>
  </si>
  <si>
    <t>学校团组织、少先队活动经费</t>
  </si>
  <si>
    <t>青少年活动经费</t>
  </si>
  <si>
    <t>未成年人心理健康辅导站工作经费</t>
  </si>
  <si>
    <t>慰问困难青少年经费</t>
  </si>
  <si>
    <t>团区委小计</t>
  </si>
  <si>
    <t>区妇联</t>
  </si>
  <si>
    <t>三八节经费</t>
  </si>
  <si>
    <t>六一节经费</t>
  </si>
  <si>
    <t>家庭教育和小公民教育经费</t>
  </si>
  <si>
    <t>妇儿工委监测评估经费</t>
  </si>
  <si>
    <t>单亲特困母亲、困境儿童家庭慰问活动经费</t>
  </si>
  <si>
    <t>法治宣传教育工作经费</t>
  </si>
  <si>
    <t>区妇联小计</t>
  </si>
  <si>
    <t>区残联</t>
  </si>
  <si>
    <t>残疾人康复中心大楼功能性装修项目</t>
  </si>
  <si>
    <t>汕濠办文〔2021〕Z3-1409号。</t>
  </si>
  <si>
    <t>救助、慰问困难残疾人经费</t>
  </si>
  <si>
    <t>工作补充经费</t>
  </si>
  <si>
    <t>0-6周岁残疾儿童康复训练购买服务经费</t>
  </si>
  <si>
    <t>每人每年，智障、孤独2.42万，肢残、听力1.98万，省补助1.2万，区兜底。</t>
  </si>
  <si>
    <t>2022年区残联春节慰问</t>
  </si>
  <si>
    <t>白内障术前筛查工作经费</t>
  </si>
  <si>
    <t>残疾人居家无障碍改造配套经费</t>
  </si>
  <si>
    <t>上级下达任务数从6户调整为33户。每户6000元，中央负担1000元，剩下的省、市、区70：15：15。</t>
  </si>
  <si>
    <t>残疾人医疗康复救助基金</t>
  </si>
  <si>
    <t>根据汕残联通〔2022〕59号，按人口每人0.5元计算。区级补助13.48万元，年初预算福彩基金结转结余5.77万元。</t>
  </si>
  <si>
    <t>残疾学生及困难残疾人子女助学金</t>
  </si>
  <si>
    <t>康复经费</t>
  </si>
  <si>
    <t>康复中心物业管理人员经费</t>
  </si>
  <si>
    <t>全国助残日、国际残疾人日经费</t>
  </si>
  <si>
    <t>社区康园运行补助经费</t>
  </si>
  <si>
    <t>每个康园运转每年10万，省、市、区6：2：2。</t>
  </si>
  <si>
    <t>区残联小计</t>
  </si>
  <si>
    <t>区文联</t>
  </si>
  <si>
    <t>濠江区文联工作经费</t>
  </si>
  <si>
    <t>区文联小计</t>
  </si>
  <si>
    <t>区红十字会</t>
  </si>
  <si>
    <t>备灾救灾专项经费</t>
  </si>
  <si>
    <t>工作经费</t>
  </si>
  <si>
    <t>卫生救护培训专项经费</t>
  </si>
  <si>
    <t>重大疾病医疗救助工作经费</t>
  </si>
  <si>
    <t>区红十字会小计</t>
  </si>
  <si>
    <t>金融</t>
  </si>
  <si>
    <t>区财政局代编</t>
  </si>
  <si>
    <t>限售股股权转让交易奖励</t>
  </si>
  <si>
    <t>根据《关于进一步奖励上市公司限售股股权转让交易的实施办法》的通知及企业申报材料，对达濠市政建设有限公司转让限售股进行奖励。</t>
  </si>
  <si>
    <t>财政委托业务支出经费</t>
  </si>
  <si>
    <t>欠2021年下半年，2022年上半年，约950万。</t>
  </si>
  <si>
    <t>预留非税支出</t>
  </si>
  <si>
    <t>钱塘社区春绿满濠江2019年义务植树项目已使用14.544万，二类疫苗接种服务工作经费待从中申请24.4555万元使用。</t>
  </si>
  <si>
    <t>预留各项扶持及奖励政策兑现资金</t>
  </si>
  <si>
    <t>濠江区濠江周边农村生活污水治理项目前期工作经费（生态环境局）</t>
  </si>
  <si>
    <t>第二次预算调整，汕濠办文〔2022〕Z2-0531号。</t>
  </si>
  <si>
    <t>2020年至2022年欠缴食盐储备管理费</t>
  </si>
  <si>
    <t>考核项目，汕市财工〔2022〕62号。</t>
  </si>
  <si>
    <t>粤鑫资产投资有限公司日常经费</t>
  </si>
  <si>
    <t>河渡盐场留守人员工资经费</t>
  </si>
  <si>
    <t>税收返还资金</t>
  </si>
  <si>
    <t>困难社区补助</t>
  </si>
  <si>
    <t>区委区政府交办重要事项</t>
  </si>
  <si>
    <t>补列再融资债券利息。</t>
  </si>
  <si>
    <t>人行国库业务经费及国库分理处手续费</t>
  </si>
  <si>
    <t>农村财务管理经费</t>
  </si>
  <si>
    <t>农民专业合作社工作经费</t>
  </si>
  <si>
    <t>巨灾保险费区级配套资金</t>
  </si>
  <si>
    <t>财务检查专项经费</t>
  </si>
  <si>
    <t>农村财务监管平台升级</t>
  </si>
  <si>
    <t>上划市联防治安经费</t>
  </si>
  <si>
    <t>上划市高炮团经费</t>
  </si>
  <si>
    <t>预留配套性专项</t>
  </si>
  <si>
    <t>调整后计划数为根据区委区政府审批调剂往相关项目。</t>
  </si>
  <si>
    <t>预留创文经费</t>
  </si>
  <si>
    <t>预留创建经费</t>
  </si>
  <si>
    <t>见义勇为奖励经费</t>
  </si>
  <si>
    <t>预留人才发展基金</t>
  </si>
  <si>
    <t>“平安汕头”智能视频监控系统租赁资金</t>
  </si>
  <si>
    <t>各股室</t>
  </si>
  <si>
    <t>预留工作性和政策性专项经费</t>
  </si>
  <si>
    <t>区财政局代编小计</t>
  </si>
  <si>
    <t>附表4</t>
  </si>
  <si>
    <t>汕头市濠江区2022年公共财政上级财力性补助收支预算调整表</t>
  </si>
  <si>
    <t>上级财力性补助收入</t>
  </si>
  <si>
    <t>使用范围</t>
  </si>
  <si>
    <t>年初预算数</t>
  </si>
  <si>
    <t>第二次调整预算</t>
  </si>
  <si>
    <t>民生支出</t>
  </si>
  <si>
    <t>运转支出</t>
  </si>
  <si>
    <t>协调发展支出</t>
  </si>
  <si>
    <t>省</t>
  </si>
  <si>
    <t>市</t>
  </si>
  <si>
    <t>城市和农村居民最低生活保障金、城镇和农村特困人员供养</t>
  </si>
  <si>
    <t>城乡居民社会养老保险和基本医疗保险</t>
  </si>
  <si>
    <t>困难残疾人生活补贴和重度残疾人护理补贴、残疾人居家无障碍改造配套经费、残疾学生及困难残疾人子女助学金、0-6周岁残疾儿童康复训练购买服务经费</t>
  </si>
  <si>
    <t>退伍士兵安置补助金、义务兵优待金、部分退役士兵社会保险接续等</t>
  </si>
  <si>
    <t>困难企业军转干部生活补助等</t>
  </si>
  <si>
    <t>义务教育公用经费</t>
  </si>
  <si>
    <t>助学金免学费补助</t>
  </si>
  <si>
    <t>教师奖励性绩效工资</t>
  </si>
  <si>
    <t>基本公共卫生</t>
  </si>
  <si>
    <t>二类疫苗费用</t>
  </si>
  <si>
    <t>独生子女父母计生奖励、计生家庭商业保险等</t>
  </si>
  <si>
    <t>高龄老人政府津贴、百岁老人保健金及“银龄安康”行动60周岁以上老人保险费等</t>
  </si>
  <si>
    <t>严重精神障碍患者监护补助</t>
  </si>
  <si>
    <t>公交线路实施一票制补贴资金</t>
  </si>
  <si>
    <t>“平安濠江”视频监控系统专项</t>
  </si>
  <si>
    <t>森林防火专项经费、消防器材装备购置经费等</t>
  </si>
  <si>
    <t>小计</t>
  </si>
  <si>
    <t>增值税和消费税税收返还收入</t>
  </si>
  <si>
    <t>0</t>
  </si>
  <si>
    <t>增值税五五分成税收返还收入</t>
  </si>
  <si>
    <t>所得税基数返还收入</t>
  </si>
  <si>
    <t>其他一般性转移支付收入（下划机构经费）</t>
  </si>
  <si>
    <t>其他一般性转移支付收入（划转原公安边防部队经费基数）</t>
  </si>
  <si>
    <t>其他一般性转移支付收入（监察体制改革划转基数）</t>
  </si>
  <si>
    <t>其他一般性转移支付收入（监察体制改革转隶人员经费）</t>
  </si>
  <si>
    <t>其他一般性转移支付收入（缓解县乡财政困难综合性财力补助）</t>
  </si>
  <si>
    <t>其他一般性转移支付收入（生态保护区财政补偿转移支付资金）</t>
  </si>
  <si>
    <t>其他税收返还收入</t>
  </si>
  <si>
    <t>体制补助收入</t>
  </si>
  <si>
    <t>调整工资转移支付补助收入</t>
  </si>
  <si>
    <t>农村税费改革补助收入</t>
  </si>
  <si>
    <t>县级基本财力保障机制奖补资金收入</t>
  </si>
  <si>
    <t>增值税留抵退税转移支付收入</t>
  </si>
  <si>
    <t>“天际电器项目”专项补助收入</t>
  </si>
  <si>
    <t>中央均衡性补助收入</t>
  </si>
  <si>
    <t>说明：根据《广东省人民政府办公厅关于印发广东省财政一般性转移支付资金管理办法的通知》（粤府办【2014】31号）要求编制。</t>
  </si>
  <si>
    <t>附表5</t>
  </si>
  <si>
    <t>汕头市濠江区2022年政府性基金预算收入计划调整表</t>
  </si>
  <si>
    <t>项目</t>
  </si>
  <si>
    <t>比增 %</t>
  </si>
  <si>
    <t>一、非税收入</t>
  </si>
  <si>
    <t xml:space="preserve">    1.国有土地收益基金收入</t>
  </si>
  <si>
    <t xml:space="preserve">    2.农业土地开发资金收入</t>
  </si>
  <si>
    <t xml:space="preserve">    3.土地出让价款收入</t>
  </si>
  <si>
    <t xml:space="preserve">    4.其他土地出让收入</t>
  </si>
  <si>
    <t xml:space="preserve">    5.补缴的土地价款</t>
  </si>
  <si>
    <t xml:space="preserve">    6.划拨土地收入</t>
  </si>
  <si>
    <t xml:space="preserve">    7.缴纳新增建设用地土地有偿使用费</t>
  </si>
  <si>
    <t xml:space="preserve">    8.福利彩票公益金收入</t>
  </si>
  <si>
    <t xml:space="preserve">    9.城市基础设施配套费收入</t>
  </si>
  <si>
    <t>二、转移性收入</t>
  </si>
  <si>
    <t xml:space="preserve">   1.上级专项性补助收入</t>
  </si>
  <si>
    <t xml:space="preserve">   2.上年结余收入</t>
  </si>
  <si>
    <t xml:space="preserve">   3.上级债券收入</t>
  </si>
  <si>
    <t xml:space="preserve">   4.再融资专项债券转贷收入</t>
  </si>
  <si>
    <t>财力合计</t>
  </si>
  <si>
    <t>附表6</t>
  </si>
  <si>
    <t>汕头市濠江区2022年本级政府性基金预算收入项目调整表</t>
  </si>
  <si>
    <t>负责单位</t>
  </si>
  <si>
    <t>用地性质           /项目</t>
  </si>
  <si>
    <t>用地位置</t>
  </si>
  <si>
    <t>面积（亩）</t>
  </si>
  <si>
    <t>第一次
预算调整数</t>
  </si>
  <si>
    <t>2022年7月          实际收入</t>
  </si>
  <si>
    <t>变动数</t>
  </si>
  <si>
    <t>出让方式</t>
  </si>
  <si>
    <t>区新城中心
区土储中心</t>
  </si>
  <si>
    <t>住宅用地</t>
  </si>
  <si>
    <t>南滨片区HJ-003-00205                 (统征地)</t>
  </si>
  <si>
    <t>挂牌</t>
  </si>
  <si>
    <t>2022年房地产仍然暗淡，预计无法实现收入。</t>
  </si>
  <si>
    <t>南滨片区HJ-003-00202
（统征地）</t>
  </si>
  <si>
    <t>2023年房地产仍然暗淡，预计无法实现收入。</t>
  </si>
  <si>
    <t>中信项目小计</t>
  </si>
  <si>
    <t>区土储中心
区工业和信息化局</t>
  </si>
  <si>
    <t>濠江区茂洲A15\B04地块</t>
  </si>
  <si>
    <t>已出让，企业反映困难，第二期收入今年难以上缴。</t>
  </si>
  <si>
    <t>渔港B-02地块</t>
  </si>
  <si>
    <t>已出让，2022年1月缴50%，11月份缴二期1500万元。</t>
  </si>
  <si>
    <t>商住用地</t>
  </si>
  <si>
    <t>马滘大桥东西侧                        (马滘综合体)</t>
  </si>
  <si>
    <t>市项目，区按收益的80%计收入，预计无法实现收入。</t>
  </si>
  <si>
    <t>马滘雨伞塭片区HJ-025-03-00301地块</t>
  </si>
  <si>
    <t>市项目，区按收益的80%计收入，已出让。</t>
  </si>
  <si>
    <t>商服用地</t>
  </si>
  <si>
    <t>汕头南新城市中心STN-02-03地块</t>
  </si>
  <si>
    <t>调整规划等问题，预计无法实现收入。</t>
  </si>
  <si>
    <t>区土储中心
区工业园区办公室
区工业和信息化局</t>
  </si>
  <si>
    <t>工业</t>
  </si>
  <si>
    <t>南山湾产业园B15-01地块内东北侧用地</t>
  </si>
  <si>
    <t>需平整后方出让，仍在招商，预计无法实现收入。</t>
  </si>
  <si>
    <t>中国（濠江）河浦片、台商片（电子电路工业基地）C03-04地块</t>
  </si>
  <si>
    <t>已出让。</t>
  </si>
  <si>
    <t>南山湾产业园区C-01-05-1地块</t>
  </si>
  <si>
    <t>南山湾产业园区C-01-05-2地块</t>
  </si>
  <si>
    <t>风电产业园01-00402-2</t>
  </si>
  <si>
    <t>风力发电机组及零部件项目，因故终止挂牌。</t>
  </si>
  <si>
    <t>风电产业园01-00402-1</t>
  </si>
  <si>
    <t>叶片厂项目，因容积率等问题，预计无法实现收入。</t>
  </si>
  <si>
    <t>供电用地</t>
  </si>
  <si>
    <t>风电产业园HJ-002-01-00503、HJ-002-01-00602-01地块</t>
  </si>
  <si>
    <t>协议出让</t>
  </si>
  <si>
    <t>新建风机项目，预计12月25日成交。</t>
  </si>
  <si>
    <t>东泓住工广澳临港工业区D06-01地块先租赁后弹性出让</t>
  </si>
  <si>
    <t>补缴划拨项目、划拨土地收入</t>
  </si>
  <si>
    <t>补缴划拨</t>
  </si>
  <si>
    <t>主要蚝业联社上缴4200万等。</t>
  </si>
  <si>
    <t>其他土地出让收入</t>
  </si>
  <si>
    <t>其他</t>
  </si>
  <si>
    <t>主要利息收入等。</t>
  </si>
  <si>
    <t>计提农田水利建设资金和教育资金</t>
  </si>
  <si>
    <t>上缴新增建设用地有偿使用费及有关资金</t>
  </si>
  <si>
    <t>预计新增建设用地有偿使用费1243万元及计提上级农业土地开发资金137万元。</t>
  </si>
  <si>
    <t>土地基金区内项目小计</t>
  </si>
  <si>
    <t>一、土地基金合计</t>
  </si>
  <si>
    <t>二、城市基础设施配套费收入</t>
  </si>
  <si>
    <t>三、福彩公益金收入</t>
  </si>
  <si>
    <t>2022年度政府性基金收入合计</t>
  </si>
  <si>
    <t>其中：本级项目收入（不含中信项目）</t>
  </si>
  <si>
    <t>附表7</t>
  </si>
  <si>
    <t>汕头市濠江区2022年政府性基金预算支出计划功能科目调整表</t>
  </si>
  <si>
    <t>科目编码</t>
  </si>
  <si>
    <t>科目名称</t>
  </si>
  <si>
    <t>政策性
调整</t>
  </si>
  <si>
    <t>205</t>
  </si>
  <si>
    <t>教育</t>
  </si>
  <si>
    <t>无数据，隐藏</t>
  </si>
  <si>
    <t>20510</t>
  </si>
  <si>
    <t xml:space="preserve">  地方教育附加安排的支出</t>
  </si>
  <si>
    <t>2051001</t>
  </si>
  <si>
    <t xml:space="preserve">    农村中小学校舍建设</t>
  </si>
  <si>
    <t>2051099</t>
  </si>
  <si>
    <t xml:space="preserve">    其他地方教育附加安排的支出</t>
  </si>
  <si>
    <t>207</t>
  </si>
  <si>
    <t>文化体育与传媒</t>
  </si>
  <si>
    <t>20707</t>
  </si>
  <si>
    <t xml:space="preserve">  国家电影事业发展专项资金及对应专项债务收入安排的支出</t>
  </si>
  <si>
    <t>2070799</t>
  </si>
  <si>
    <t xml:space="preserve">    其他国家电影事业发展专项资金支出</t>
  </si>
  <si>
    <t>20799</t>
  </si>
  <si>
    <t xml:space="preserve">  其他文化体育与传媒支出</t>
  </si>
  <si>
    <t xml:space="preserve">    文化事业建设费支出</t>
  </si>
  <si>
    <t>208</t>
  </si>
  <si>
    <t>社会保障和就业</t>
  </si>
  <si>
    <t>20811</t>
  </si>
  <si>
    <t xml:space="preserve">  残疾人事业</t>
  </si>
  <si>
    <t xml:space="preserve">    扶持农村残疾人生产</t>
  </si>
  <si>
    <t xml:space="preserve">    其他残疾人就业保障金支出</t>
  </si>
  <si>
    <t>20860</t>
  </si>
  <si>
    <t xml:space="preserve">  残疾人就业保障金支出</t>
  </si>
  <si>
    <t xml:space="preserve">     其他残疾人就业保障金支出</t>
  </si>
  <si>
    <t>212</t>
  </si>
  <si>
    <t>城乡社区事务</t>
  </si>
  <si>
    <t>21207</t>
  </si>
  <si>
    <t xml:space="preserve">  政府住房基金支出</t>
  </si>
  <si>
    <t xml:space="preserve">    公共租赁住房租金支出</t>
  </si>
  <si>
    <t>21208</t>
  </si>
  <si>
    <t xml:space="preserve">  国有土地使用权出让收入安排的支出</t>
  </si>
  <si>
    <r>
      <rPr>
        <sz val="10"/>
        <rFont val="Times New Roman"/>
        <charset val="134"/>
      </rPr>
      <t xml:space="preserve">         </t>
    </r>
    <r>
      <rPr>
        <sz val="10"/>
        <rFont val="宋体"/>
        <charset val="134"/>
      </rPr>
      <t>征地和拆迁补偿支出</t>
    </r>
  </si>
  <si>
    <r>
      <rPr>
        <sz val="10"/>
        <rFont val="Times New Roman"/>
        <charset val="134"/>
      </rPr>
      <t xml:space="preserve">         </t>
    </r>
    <r>
      <rPr>
        <sz val="10"/>
        <rFont val="宋体"/>
        <charset val="134"/>
      </rPr>
      <t>土地开发支出</t>
    </r>
  </si>
  <si>
    <t xml:space="preserve">    城市建设支出</t>
  </si>
  <si>
    <t>2120804</t>
  </si>
  <si>
    <r>
      <rPr>
        <sz val="10"/>
        <rFont val="Times New Roman"/>
        <charset val="134"/>
      </rPr>
      <t xml:space="preserve">         </t>
    </r>
    <r>
      <rPr>
        <sz val="10"/>
        <rFont val="宋体"/>
        <charset val="134"/>
      </rPr>
      <t>农村基础设施建设支出</t>
    </r>
  </si>
  <si>
    <t xml:space="preserve">    补助被征地农民支出</t>
  </si>
  <si>
    <r>
      <rPr>
        <sz val="10"/>
        <rFont val="Times New Roman"/>
        <charset val="134"/>
      </rPr>
      <t xml:space="preserve">         </t>
    </r>
    <r>
      <rPr>
        <sz val="10"/>
        <rFont val="宋体"/>
        <charset val="134"/>
      </rPr>
      <t>土地出让业务支出</t>
    </r>
  </si>
  <si>
    <r>
      <rPr>
        <sz val="10"/>
        <rFont val="Times New Roman"/>
        <charset val="134"/>
      </rPr>
      <t xml:space="preserve">          </t>
    </r>
    <r>
      <rPr>
        <sz val="10"/>
        <rFont val="宋体"/>
        <charset val="134"/>
      </rPr>
      <t>廉租住房支出</t>
    </r>
  </si>
  <si>
    <t xml:space="preserve">    教育资金安排的支出</t>
  </si>
  <si>
    <t>2120809</t>
  </si>
  <si>
    <t xml:space="preserve">    支付破产或改制企业职工安置费</t>
  </si>
  <si>
    <t xml:space="preserve">    公共租赁住房支出</t>
  </si>
  <si>
    <t xml:space="preserve">    农田水利建设资金安排的支出</t>
  </si>
  <si>
    <t xml:space="preserve">    其他国有土地使用权出让收入安排的支出</t>
  </si>
  <si>
    <t>21209</t>
  </si>
  <si>
    <t xml:space="preserve">  城市公用事业附加安排的支出</t>
  </si>
  <si>
    <t>2120901</t>
  </si>
  <si>
    <t xml:space="preserve">    城市公共设施</t>
  </si>
  <si>
    <t>2120902</t>
  </si>
  <si>
    <t xml:space="preserve">    城市环境卫生（城市公用事业附加安排的支出）</t>
  </si>
  <si>
    <t xml:space="preserve">    其他城市公用事业附加安排的支出</t>
  </si>
  <si>
    <t>21210</t>
  </si>
  <si>
    <t xml:space="preserve">  国有土地收益基金支出</t>
  </si>
  <si>
    <t xml:space="preserve">    征地和拆迁补偿支出</t>
  </si>
  <si>
    <t xml:space="preserve">    土地开发支出</t>
  </si>
  <si>
    <t xml:space="preserve">    其他国有土地收益基金支出</t>
  </si>
  <si>
    <t>21211</t>
  </si>
  <si>
    <t xml:space="preserve">  农业土地开发资金支出</t>
  </si>
  <si>
    <t>21212</t>
  </si>
  <si>
    <t xml:space="preserve">  新增建设用地土地有偿使用费安排的支出</t>
  </si>
  <si>
    <t xml:space="preserve">    基本农田建设和保护支出</t>
  </si>
  <si>
    <t xml:space="preserve">    土地整理支出</t>
  </si>
  <si>
    <t>21213</t>
  </si>
  <si>
    <t xml:space="preserve">  城市基础设施配套费安排的支出</t>
  </si>
  <si>
    <t>2121301</t>
  </si>
  <si>
    <t xml:space="preserve"> </t>
  </si>
  <si>
    <t>2121302</t>
  </si>
  <si>
    <t xml:space="preserve">    城市环境卫生</t>
  </si>
  <si>
    <t xml:space="preserve">    其他城市基础设施配套费安排的支出</t>
  </si>
  <si>
    <t>213</t>
  </si>
  <si>
    <t>农林水事务</t>
  </si>
  <si>
    <t>21362</t>
  </si>
  <si>
    <t xml:space="preserve">  森林植被恢复费安排的支出</t>
  </si>
  <si>
    <t xml:space="preserve">    森林培育</t>
  </si>
  <si>
    <t xml:space="preserve">    其他森林植被恢复费安排的支出</t>
  </si>
  <si>
    <t>21364</t>
  </si>
  <si>
    <t xml:space="preserve">  地方水利建设基金支出</t>
  </si>
  <si>
    <t xml:space="preserve">    其他地方水利建设基金支出</t>
  </si>
  <si>
    <t>21370</t>
  </si>
  <si>
    <t xml:space="preserve">  水土保持补偿费安排的支出</t>
  </si>
  <si>
    <t>2137003</t>
  </si>
  <si>
    <t xml:space="preserve">    其他水土保持补偿费安排的支出</t>
  </si>
  <si>
    <t>21399</t>
  </si>
  <si>
    <t>2139999</t>
  </si>
  <si>
    <t>214</t>
  </si>
  <si>
    <t>交通运输</t>
  </si>
  <si>
    <t>21401</t>
  </si>
  <si>
    <t xml:space="preserve">  公路水路运输</t>
  </si>
  <si>
    <t xml:space="preserve">    船舶港务费安排的支出</t>
  </si>
  <si>
    <t>21462</t>
  </si>
  <si>
    <t xml:space="preserve">  车辆通行费安排支出</t>
  </si>
  <si>
    <t>2146299</t>
  </si>
  <si>
    <t xml:space="preserve">    其他车辆通行费安排的支出</t>
  </si>
  <si>
    <t>215</t>
  </si>
  <si>
    <t>资源勘探信息等支出</t>
  </si>
  <si>
    <t>21560</t>
  </si>
  <si>
    <t xml:space="preserve">  散装水泥专项资金及对应专项债务收入安排的支出</t>
  </si>
  <si>
    <t>2156099</t>
  </si>
  <si>
    <t xml:space="preserve">    散装水泥专项资金安排的支出</t>
  </si>
  <si>
    <t>21561</t>
  </si>
  <si>
    <t xml:space="preserve">  新型墙体材料专项基金及对应专项债务收入安排的支出</t>
  </si>
  <si>
    <t>2156199</t>
  </si>
  <si>
    <t xml:space="preserve">    新型墙体材料专项基金安排的支出</t>
  </si>
  <si>
    <t>216</t>
  </si>
  <si>
    <t>21660</t>
  </si>
  <si>
    <t xml:space="preserve">  旅游发展基金支出</t>
  </si>
  <si>
    <t>2166004</t>
  </si>
  <si>
    <t xml:space="preserve">    地方旅游开发项目补助</t>
  </si>
  <si>
    <t>229</t>
  </si>
  <si>
    <t>22904</t>
  </si>
  <si>
    <t xml:space="preserve"> 其他政府性基金及对应专项收入安排的支出</t>
  </si>
  <si>
    <t>2290401</t>
  </si>
  <si>
    <t xml:space="preserve">   其他政府基金安排的支出</t>
  </si>
  <si>
    <t>2290402</t>
  </si>
  <si>
    <t xml:space="preserve">   其他地方自行试点项目收益专项债券收入安排的支出</t>
  </si>
  <si>
    <t>22908</t>
  </si>
  <si>
    <t xml:space="preserve"> 彩票发行销售机构业务费安排的支出</t>
  </si>
  <si>
    <t>2290804</t>
  </si>
  <si>
    <t xml:space="preserve">   福利彩票销售机构的业务费支出</t>
  </si>
  <si>
    <t>22960</t>
  </si>
  <si>
    <r>
      <rPr>
        <sz val="10"/>
        <rFont val="Times New Roman"/>
        <charset val="134"/>
      </rPr>
      <t xml:space="preserve">     </t>
    </r>
    <r>
      <rPr>
        <sz val="10"/>
        <rFont val="宋体"/>
        <charset val="134"/>
      </rPr>
      <t>彩票公益金安排的支出</t>
    </r>
  </si>
  <si>
    <t>2296001</t>
  </si>
  <si>
    <r>
      <rPr>
        <sz val="10"/>
        <rFont val="Times New Roman"/>
        <charset val="134"/>
      </rPr>
      <t xml:space="preserve">         </t>
    </r>
    <r>
      <rPr>
        <sz val="10"/>
        <rFont val="宋体"/>
        <charset val="134"/>
      </rPr>
      <t>用于补充全国社会保障基金的彩票公益金支出</t>
    </r>
  </si>
  <si>
    <t>2296002</t>
  </si>
  <si>
    <r>
      <rPr>
        <sz val="10"/>
        <rFont val="Times New Roman"/>
        <charset val="134"/>
      </rPr>
      <t xml:space="preserve">        </t>
    </r>
    <r>
      <rPr>
        <sz val="10"/>
        <rFont val="宋体"/>
        <charset val="134"/>
      </rPr>
      <t>用于社会福利的彩票公益金支出</t>
    </r>
  </si>
  <si>
    <t>2296003</t>
  </si>
  <si>
    <r>
      <rPr>
        <sz val="10"/>
        <rFont val="Times New Roman"/>
        <charset val="134"/>
      </rPr>
      <t xml:space="preserve">        </t>
    </r>
    <r>
      <rPr>
        <sz val="10"/>
        <rFont val="宋体"/>
        <charset val="134"/>
      </rPr>
      <t>用于体育事业的彩票公益金支出</t>
    </r>
  </si>
  <si>
    <t>2296004</t>
  </si>
  <si>
    <t xml:space="preserve">        用于教育事业的彩票公益金支出</t>
  </si>
  <si>
    <t>2296006</t>
  </si>
  <si>
    <r>
      <rPr>
        <sz val="10"/>
        <rFont val="Times New Roman"/>
        <charset val="134"/>
      </rPr>
      <t xml:space="preserve">        </t>
    </r>
    <r>
      <rPr>
        <sz val="10"/>
        <rFont val="宋体"/>
        <charset val="134"/>
      </rPr>
      <t>用于残疾人事务的彩票公益金支出</t>
    </r>
  </si>
  <si>
    <t>2296007</t>
  </si>
  <si>
    <t xml:space="preserve">        用于城市医疗救助的彩票公益金支出 </t>
  </si>
  <si>
    <t>2296008</t>
  </si>
  <si>
    <t xml:space="preserve">        用于农村医疗救助的彩票公益金支出 </t>
  </si>
  <si>
    <t>2296010</t>
  </si>
  <si>
    <t xml:space="preserve">        用于文化事业的彩票公益金支出 </t>
  </si>
  <si>
    <t>2296013</t>
  </si>
  <si>
    <r>
      <rPr>
        <sz val="10"/>
        <rFont val="Times New Roman"/>
        <charset val="134"/>
      </rPr>
      <t xml:space="preserve">        </t>
    </r>
    <r>
      <rPr>
        <sz val="10"/>
        <rFont val="宋体"/>
        <charset val="134"/>
      </rPr>
      <t>用于城乡医疗救助的彩票公益金支出</t>
    </r>
    <r>
      <rPr>
        <sz val="10"/>
        <rFont val="Times New Roman"/>
        <charset val="134"/>
      </rPr>
      <t xml:space="preserve"> </t>
    </r>
  </si>
  <si>
    <t>2296099</t>
  </si>
  <si>
    <r>
      <rPr>
        <sz val="10"/>
        <rFont val="Times New Roman"/>
        <charset val="134"/>
      </rPr>
      <t xml:space="preserve">        </t>
    </r>
    <r>
      <rPr>
        <sz val="10"/>
        <rFont val="宋体"/>
        <charset val="134"/>
      </rPr>
      <t>用于其他社会公益事业的彩票公益金支出</t>
    </r>
  </si>
  <si>
    <t>230</t>
  </si>
  <si>
    <t>23004</t>
  </si>
  <si>
    <t xml:space="preserve">  政府性基金转移支付</t>
  </si>
  <si>
    <r>
      <rPr>
        <sz val="10"/>
        <rFont val="宋体"/>
        <charset val="134"/>
      </rPr>
      <t xml:space="preserve"> </t>
    </r>
    <r>
      <rPr>
        <sz val="10"/>
        <rFont val="宋体"/>
        <charset val="134"/>
      </rPr>
      <t xml:space="preserve">   </t>
    </r>
    <r>
      <rPr>
        <sz val="10"/>
        <rFont val="宋体"/>
        <charset val="134"/>
      </rPr>
      <t>政府性基金补助支出</t>
    </r>
  </si>
  <si>
    <t>23008</t>
  </si>
  <si>
    <t xml:space="preserve">  调出资金</t>
  </si>
  <si>
    <t>231</t>
  </si>
  <si>
    <t>23104</t>
  </si>
  <si>
    <t xml:space="preserve">  地方政府专项债务还本支出</t>
  </si>
  <si>
    <t>2310411</t>
  </si>
  <si>
    <t xml:space="preserve">    国有土地使用权出让金债务还本支出</t>
  </si>
  <si>
    <t>2310431</t>
  </si>
  <si>
    <t xml:space="preserve">    土地储备专项债券还本支出</t>
  </si>
  <si>
    <t>232</t>
  </si>
  <si>
    <t>23204</t>
  </si>
  <si>
    <t xml:space="preserve">  地方政府专项债务付息支出</t>
  </si>
  <si>
    <t>2320411</t>
  </si>
  <si>
    <t xml:space="preserve">    国有土地使用权出让金债务付息支出</t>
  </si>
  <si>
    <t>2320431</t>
  </si>
  <si>
    <t xml:space="preserve">    土地储备专项债券付息支出</t>
  </si>
  <si>
    <t>2320498</t>
  </si>
  <si>
    <t xml:space="preserve">    其他地方自行试点项目收益专项债券付息支出</t>
  </si>
  <si>
    <t>233</t>
  </si>
  <si>
    <t>23304</t>
  </si>
  <si>
    <t xml:space="preserve">  地方政府专项债务发行费用支出</t>
  </si>
  <si>
    <t>2330411</t>
  </si>
  <si>
    <t xml:space="preserve">    国有土地使用权出让金债务发行费用支出</t>
  </si>
  <si>
    <t>2330431</t>
  </si>
  <si>
    <t xml:space="preserve">    土地储备专项债券发行费用支出</t>
  </si>
  <si>
    <t>2330498</t>
  </si>
  <si>
    <t xml:space="preserve">    其他地方自行试点项目收益专项债券发行费用支出</t>
  </si>
  <si>
    <t>基金预算支出合计</t>
  </si>
  <si>
    <t>附表8</t>
  </si>
  <si>
    <t>汕头市濠江区2022年本级政府性基金预算支出项目调整表</t>
  </si>
  <si>
    <t>11月30日余额</t>
  </si>
  <si>
    <t>项目分类</t>
  </si>
  <si>
    <t>资金来源</t>
  </si>
  <si>
    <t>功能分类科目</t>
  </si>
  <si>
    <t>支出合计</t>
  </si>
  <si>
    <t>综合股（土地基金）</t>
  </si>
  <si>
    <t>区土储中心</t>
  </si>
  <si>
    <t>中信南滨片区统征地项目</t>
  </si>
  <si>
    <t>中信新城</t>
  </si>
  <si>
    <t>土地基金</t>
  </si>
  <si>
    <t>征地收储小计</t>
  </si>
  <si>
    <t>金融股</t>
  </si>
  <si>
    <t>广东省汕头市濠江区茂洲片区新型城镇化综合开发PPP项目</t>
  </si>
  <si>
    <t>征地收储</t>
  </si>
  <si>
    <t>河浦中心区交通设施用地（河浦客运站）收储项目</t>
  </si>
  <si>
    <t>达濠客运站平整项目</t>
  </si>
  <si>
    <t>石派出所项目用地</t>
  </si>
  <si>
    <t>河浦粮库用地平整项目</t>
  </si>
  <si>
    <t>青洲盐场一、二期平整项目</t>
  </si>
  <si>
    <t>因收支缺口改列暂付款2020万元。</t>
  </si>
  <si>
    <t>滨海工业区征地项目</t>
  </si>
  <si>
    <t>达濠渔港一期平整项目</t>
  </si>
  <si>
    <t>马滘工业园区生活配套区基础设施工程项目</t>
  </si>
  <si>
    <t>因收支缺口改列暂付款119万元。</t>
  </si>
  <si>
    <t>马滘工业园区生活配套区基础设施工程项目二期横一路征收项目</t>
  </si>
  <si>
    <t>茂州片区A-04-02与玉新街道北片区A-7-02土地整理开发工程</t>
  </si>
  <si>
    <t>储备用地巡查和管养围护费用</t>
  </si>
  <si>
    <t>青洲盐场土地收储工作协调经费</t>
  </si>
  <si>
    <t>解决三联工业区珠浦片基础设施配套</t>
  </si>
  <si>
    <t>溪头工业区基础设施建设经费</t>
  </si>
  <si>
    <t>三联工业区历史征地款及利息（违约金）</t>
  </si>
  <si>
    <t>河浦街道河南社区尖山洋段用地征地补偿款</t>
  </si>
  <si>
    <t>汕头市台商投资区（濠江片）道路及市政配套工程</t>
  </si>
  <si>
    <t>茂南桩基工程欠款</t>
  </si>
  <si>
    <t>收回河浦街道一工区18.366亩存量工业用地的国有建设用地使用权费用</t>
  </si>
  <si>
    <t>基建小计</t>
  </si>
  <si>
    <t>经建股</t>
  </si>
  <si>
    <t>区卫生健康局办公场地改建经费</t>
  </si>
  <si>
    <t>基建</t>
  </si>
  <si>
    <t>广东省汕头市濠江区智慧型机械式公共停车楼PPP项目</t>
  </si>
  <si>
    <t>因收支缺口改列暂付款723万元。</t>
  </si>
  <si>
    <t>汕头市濠江区全区污水管网完善建设PPP项目</t>
  </si>
  <si>
    <t>濠江“一江两岸”生态环境治理及产城融合开发建设项目</t>
  </si>
  <si>
    <t>农业股</t>
  </si>
  <si>
    <t>河浦街道水环境综合治理工程补助资金</t>
  </si>
  <si>
    <t>三屿围海堤（濠江段）达标加固工程</t>
  </si>
  <si>
    <t>因收支缺口改列暂付款125万元。</t>
  </si>
  <si>
    <t>开放公园建设</t>
  </si>
  <si>
    <t>教育局办公楼外墙维修及屋顶补漏</t>
  </si>
  <si>
    <t>岗背小学</t>
  </si>
  <si>
    <t>岗背小学运动场和场地配套升级改造工程</t>
  </si>
  <si>
    <t>葛陈小学</t>
  </si>
  <si>
    <t>葛陈小学运动场地改造工程</t>
  </si>
  <si>
    <t>区房管所</t>
  </si>
  <si>
    <t>东湖金碧湾公租房后续配套设施建设费用</t>
  </si>
  <si>
    <t>公租房修缮</t>
  </si>
  <si>
    <t>濠江区博物馆装饰装修工程</t>
  </si>
  <si>
    <t>区综合文化活动中心建设项目夹胶钢化玻璃屋面及新建冲孔板外墙装饰面工程资金</t>
  </si>
  <si>
    <t>濠江区图书馆搬迁修缮工程包干经费</t>
  </si>
  <si>
    <t>区代建中心</t>
  </si>
  <si>
    <t>汕头市濠江区亚青会基础设施及场馆改造项目（双泉公园体育馆提升改造项目及华师附属濠江实验学校9#楼体艺馆提升改造项目）</t>
  </si>
  <si>
    <t>汕头市濠江区亚青会改造项目（华师附属濠江实验学校足球场改造工程）</t>
  </si>
  <si>
    <t>广达大道等道路公交站亭（牌）建设项目</t>
  </si>
  <si>
    <t>濠江区妇幼保健院门诊部建设工程</t>
  </si>
  <si>
    <t>人民医院</t>
  </si>
  <si>
    <t>新住院大楼配电扩容工程</t>
  </si>
  <si>
    <t>河中路中段（岗背路段）绿化升级改造工程项目</t>
  </si>
  <si>
    <t>汕头湾南线山体亮化一期工程及箱变工程</t>
  </si>
  <si>
    <t>汕头市英国领事署旧址修缮工程</t>
  </si>
  <si>
    <t>汕头市濠江区沿江路改造升级工程</t>
  </si>
  <si>
    <t>濠江区磊广路（珠浦工业区）人行天桥国防光缆加固维护迁改工程</t>
  </si>
  <si>
    <t>濠江东西岸堤围达标加固工程</t>
  </si>
  <si>
    <t>因收支缺口改列暂付款342万元。</t>
  </si>
  <si>
    <t>濠江区（濠江干流、五南排洪沟、大坪排洪沟、北切排洪沟、水望底排洪沟）治理工程</t>
  </si>
  <si>
    <t>因收支缺口改列暂付款436万元。</t>
  </si>
  <si>
    <t>汕头市濠江区大坪排洪沟河浦中学段改建工程</t>
  </si>
  <si>
    <t>石街道农村生活污水治理项目经费</t>
  </si>
  <si>
    <t>会汀港截污管道建设工程建设资金</t>
  </si>
  <si>
    <t>国有资产投入小计</t>
  </si>
  <si>
    <t>国资股</t>
  </si>
  <si>
    <t>三路一桥</t>
  </si>
  <si>
    <t>国有资产投入</t>
  </si>
  <si>
    <t>一路一桥</t>
  </si>
  <si>
    <t>因收支缺口改列暂付款7794万元。</t>
  </si>
  <si>
    <t>党群中心基建及采购固定资产</t>
  </si>
  <si>
    <t>广澳街道改善乡村人居环境综合建设项目</t>
  </si>
  <si>
    <t>石街道改善乡村人居环境综合建设项目</t>
  </si>
  <si>
    <t>河浦街道改善乡村人居环境综合建设项目</t>
  </si>
  <si>
    <t>达濠街道改善乡村人居环境综合建设项目</t>
  </si>
  <si>
    <t>汕头南站第三年保函手续费</t>
  </si>
  <si>
    <t>其他小计</t>
  </si>
  <si>
    <t>预留公共租赁住房经费</t>
  </si>
  <si>
    <t>住房保障工作经费</t>
  </si>
  <si>
    <t>教师公寓、海马池、金碧湾公寓公租房物业管理费</t>
  </si>
  <si>
    <t>预算股</t>
  </si>
  <si>
    <t>其他地方自行试点项目收益专项债券付息支出</t>
  </si>
  <si>
    <t>其他地方自行试点项目收益专项债券发行费用支出</t>
  </si>
  <si>
    <t>国有土地使用权出让金债务还本支出</t>
  </si>
  <si>
    <t>国有土地使用权出让金债务付息支出</t>
  </si>
  <si>
    <t>国有土地使用权出让金债务发行费用支出</t>
  </si>
  <si>
    <t>土地储备专项债券还本支出</t>
  </si>
  <si>
    <t>土地储备专项债券付息支出</t>
  </si>
  <si>
    <t>土地储备专项债券发行费用支出</t>
  </si>
  <si>
    <t>土地储备项目前期经费支出</t>
  </si>
  <si>
    <t>土地储备业务费补充经费</t>
  </si>
  <si>
    <t>自然资源管理业务工作与其他业务工作委托业务费</t>
  </si>
  <si>
    <t>执法监督经费</t>
  </si>
  <si>
    <t>卫片执法、违法用地审计图斑核实工作经费</t>
  </si>
  <si>
    <t>濠江区农村占用耕地建房摸排工作数据处理及外业核查服务</t>
  </si>
  <si>
    <t>不动产登记业务经费</t>
  </si>
  <si>
    <t>基层自然资源管理系统建设管理</t>
  </si>
  <si>
    <t>濠江区国土空间基础信息平台与一张图实施监督系统</t>
  </si>
  <si>
    <t>自然资源业务工作经费</t>
  </si>
  <si>
    <t>缴纳国有土地使用权出让合同印花税1</t>
  </si>
  <si>
    <t>推进街道辖区、工业园区低效产业用地再利用项目费用</t>
  </si>
  <si>
    <t>土地征收与土地出让工作经费</t>
  </si>
  <si>
    <t>自然资源确权登记</t>
  </si>
  <si>
    <t>土地权属争议调处工作经费</t>
  </si>
  <si>
    <t>年度土地变更调查</t>
  </si>
  <si>
    <t>农村地籍调查项目</t>
  </si>
  <si>
    <t>汕头市濠江区“房地一体”农村宅基地和集体建设用地确权登记发证</t>
  </si>
  <si>
    <t>濠江区永久基本农田整改补划方案编制</t>
  </si>
  <si>
    <t>耕地保护综合工作经费</t>
  </si>
  <si>
    <t>水田耕作层剥离再利用年度实施方案编制经费</t>
  </si>
  <si>
    <t>汕头市濠江区农村建设用地拆旧复垦项目</t>
  </si>
  <si>
    <t>围填海历史遗留问题生态保护修复项目</t>
  </si>
  <si>
    <t>农村保洁员工资待遇保障补助区级配套</t>
  </si>
  <si>
    <t>扶持村级集体经济发展试点区级配套资金</t>
  </si>
  <si>
    <t>乡村振兴战略实绩考核区级奖励资金</t>
  </si>
  <si>
    <t>驻镇帮镇扶村区级配套（2021-2022年）</t>
  </si>
  <si>
    <t>2022年区级涉农资金</t>
  </si>
  <si>
    <t>基本农田保护经济补偿区级补助资金</t>
  </si>
  <si>
    <t>重点水利项目协调经费</t>
  </si>
  <si>
    <t>因收支缺口改列暂付款2058万元。</t>
  </si>
  <si>
    <t>重点水利项目其他经费</t>
  </si>
  <si>
    <t>因收支缺口改列暂付款4170万元。</t>
  </si>
  <si>
    <t>行财股</t>
  </si>
  <si>
    <t>购置新建学生宿舍楼和综合实训楼及周边监控设备及网络设备项目</t>
  </si>
  <si>
    <t>购置新建学生宿舍楼和综合实训楼空气能热水系统设备项目</t>
  </si>
  <si>
    <t>广澳港区“两搬”工作其他经费</t>
  </si>
  <si>
    <t>因收支缺口改列暂付款750万元。</t>
  </si>
  <si>
    <t>实地测量和定点放桩费用</t>
  </si>
  <si>
    <t>汕头市濠江区2022年度土地征收成片开发方案</t>
  </si>
  <si>
    <t>耕地占用税</t>
  </si>
  <si>
    <t>预留土地基金相关项目资金小计</t>
  </si>
  <si>
    <t>国资预留经费</t>
  </si>
  <si>
    <t>20万青洲盐场。</t>
  </si>
  <si>
    <t>预留建设前期及其他经费</t>
  </si>
  <si>
    <t>根据汕濠府办函〔2022〕78号、汕濠府办函〔2022〕87号文，调剂用于滨海工业区锦纶项目68.14万元和濠江区滨海临港产业片区征地项目616.92万元，合计685.06万元，因收支缺口改列暂付款685.06万元。</t>
  </si>
  <si>
    <t>预留土地收储平整资金</t>
  </si>
  <si>
    <t>二、城市基础设施配套费支出（市政路灯管养、保洁、规划编制项目）合计</t>
  </si>
  <si>
    <t>区环卫中心</t>
  </si>
  <si>
    <t>南山湾绿道沙滩管养经费</t>
  </si>
  <si>
    <t>配套费</t>
  </si>
  <si>
    <t>濠江区园区道路环卫作业市场化管理采购项目</t>
  </si>
  <si>
    <t>公厕管理项目</t>
  </si>
  <si>
    <t>其中因收支缺口改列暂付款100万元。</t>
  </si>
  <si>
    <t>全区生活垃圾前端转运项目</t>
  </si>
  <si>
    <t>全区生活垃圾后端转运项目</t>
  </si>
  <si>
    <t>环卫作业市场化管理经费（主次干道清扫保洁项目）</t>
  </si>
  <si>
    <t>区市政所</t>
  </si>
  <si>
    <t>市政设施路灯电费</t>
  </si>
  <si>
    <t>其中因收支缺口改列暂付款687万元。</t>
  </si>
  <si>
    <t>疏港大道助航标志养护经费</t>
  </si>
  <si>
    <t>排水设施管养及内涝布防抢险项目</t>
  </si>
  <si>
    <t>其中因收支缺口改列暂付款1554万元。</t>
  </si>
  <si>
    <t>市政设施购买服务管养维护经费</t>
  </si>
  <si>
    <t>其中因收支缺口改列暂付款1419万元。</t>
  </si>
  <si>
    <t>濠江区道路环卫作业市场化管理采购项目</t>
  </si>
  <si>
    <t>综合股</t>
  </si>
  <si>
    <t>濠江区国土空间生态修复规划(2020-2035年)编制工作方案</t>
  </si>
  <si>
    <t>濠江区土地利用总体规划调整完善</t>
  </si>
  <si>
    <t>控制性详细规划修编事项</t>
  </si>
  <si>
    <t>汕头市濠江区“一江两岸”城市设计整合优化及开发建设行动计划</t>
  </si>
  <si>
    <t>汕头市国土空间总体规划濠江区发展规划大纲（2020-2035年）</t>
  </si>
  <si>
    <t>规划管理工作经费</t>
  </si>
  <si>
    <t>预留城市基础设施配套费</t>
  </si>
  <si>
    <t>三、彩票公益金支出合计</t>
  </si>
  <si>
    <t>社保股</t>
  </si>
  <si>
    <t>福彩公益金</t>
  </si>
  <si>
    <t>残疾人医疗康复救助基金区级配套</t>
  </si>
  <si>
    <t>福彩公益金用于养老服务体系</t>
  </si>
  <si>
    <t>医保分局</t>
  </si>
  <si>
    <t>四、2021年暂付款调整为支出</t>
  </si>
  <si>
    <t>消化2021年暂付款。</t>
  </si>
  <si>
    <t>汕南公路（河中路至国道G228路段）工程、南滨路渡口至澳头路段改造工程可行性研究报告编制费</t>
  </si>
  <si>
    <t>2120803</t>
  </si>
  <si>
    <t>汕头市濠江区亚青会基础设施及场馆改造项目（双泉公园体育馆提升改造项目及华南师范大学附属濠江实验学校9#楼体艺馆提升改造项目）</t>
  </si>
  <si>
    <t>因收支缺口改列暂付款228万元。</t>
  </si>
  <si>
    <t>濠江区亚青会基础设施及场馆改造项目（广达大道改造工程）等3个政府工程印花税</t>
  </si>
  <si>
    <t>因收支缺口改列暂付款1230万元。</t>
  </si>
  <si>
    <t>新住院大楼配电扩容工程及（新增电力配套工程项目）</t>
  </si>
  <si>
    <t>广达大道保税区路段绿化提升项目</t>
  </si>
  <si>
    <t>濠江区沿江路改造升级工程</t>
  </si>
  <si>
    <t>滨海垃圾压缩站改建项目</t>
  </si>
  <si>
    <t>农村保洁员工资待遇保障补助区级配套资金</t>
  </si>
  <si>
    <t>因收支缺口改列暂付款2692万元。</t>
  </si>
  <si>
    <t>因收支缺口改列暂付款3558万元。</t>
  </si>
  <si>
    <t>汕汕铁路增设汕头南站项目建设资金（hx）</t>
  </si>
  <si>
    <t>达濠华侨中学学生宿舍楼及配套建设项目</t>
  </si>
  <si>
    <t>因收支缺口改列暂付款1690万元。</t>
  </si>
  <si>
    <t>区人民医院改扩建工程</t>
  </si>
  <si>
    <t>因收支缺口改列暂付款170万元。</t>
  </si>
  <si>
    <t>濠江区五南沟片区内涝整治工程</t>
  </si>
  <si>
    <t>因收支缺口改列暂付款990万元。</t>
  </si>
  <si>
    <t>汕头市濠江区智慧型机械式公共停车楼PPP项目绩效服务费</t>
  </si>
  <si>
    <t>2120899</t>
  </si>
  <si>
    <t>2120801、2120802</t>
  </si>
  <si>
    <t>因收支缺口改列暂付款640万元。</t>
  </si>
  <si>
    <t>2120802</t>
  </si>
  <si>
    <t>濠江区迎亚青会石大桥南岸片区及南滨基础设施改造项目</t>
  </si>
  <si>
    <t>因收支缺口改列暂付款710万元。</t>
  </si>
  <si>
    <t>2120801</t>
  </si>
  <si>
    <t>工贸股</t>
  </si>
  <si>
    <t>因收支缺口改列暂付款340万元。</t>
  </si>
  <si>
    <t>区南山湾办</t>
  </si>
  <si>
    <t>南山湾产业园（一期）及连接主干道工程项目及人行天桥工程进度欠款</t>
  </si>
  <si>
    <t>因收支缺口改列暂付款1057万元。</t>
  </si>
  <si>
    <t>环卫作业市场化管理经费（主次干道清洁保洁项目）</t>
  </si>
  <si>
    <t>五、上年专项结转支出</t>
  </si>
  <si>
    <t>收回用于调入公共财政预算统筹安排。</t>
  </si>
  <si>
    <t>六、专项债券支出</t>
  </si>
  <si>
    <t>七、调出资金</t>
  </si>
  <si>
    <t>调入公共财政预算统筹安排，其中收回上年结转资金4862万元。</t>
  </si>
  <si>
    <t>附表9</t>
  </si>
  <si>
    <t>汕头市濠江区2022年国有资本经营预算收入计划调整表</t>
  </si>
  <si>
    <t>一、利润收入</t>
  </si>
  <si>
    <t xml:space="preserve">  运输企业利润收入</t>
  </si>
  <si>
    <t xml:space="preserve">  电子企业利润收入</t>
  </si>
  <si>
    <t xml:space="preserve">  贸易企业利润收入</t>
  </si>
  <si>
    <t xml:space="preserve">  建筑施工企业利润收入</t>
  </si>
  <si>
    <t xml:space="preserve">    其他国有资本经营预算企业利润收入</t>
  </si>
  <si>
    <t>二、产权转让收入</t>
  </si>
  <si>
    <t>三、股利、股息收入</t>
  </si>
  <si>
    <t>四、清算收入</t>
  </si>
  <si>
    <t>五、其他国有资本经营预算收入</t>
  </si>
  <si>
    <t>本年收入合计</t>
  </si>
  <si>
    <t>一、上级专项性补助收入</t>
  </si>
  <si>
    <t>二、上年结转收入</t>
  </si>
  <si>
    <t xml:space="preserve">    其中：净结余</t>
  </si>
  <si>
    <t>收入总计</t>
  </si>
  <si>
    <t>附表10</t>
  </si>
  <si>
    <t>汕头市濠江区2022年国有资本经营预算支出计划调整表</t>
  </si>
  <si>
    <t>国有资本经营预算支出</t>
  </si>
  <si>
    <t>解决历史遗留问题及改革成本支出</t>
  </si>
  <si>
    <t>国有企业退休人员社会化管理补助支出</t>
  </si>
  <si>
    <t>其他解决历史遗留问题及改革成本支出</t>
  </si>
  <si>
    <t>国有企业资本金注入</t>
  </si>
  <si>
    <t>其他国有企业资本金注入</t>
  </si>
  <si>
    <t>其他国有资本经营预算支出</t>
  </si>
  <si>
    <t>调出资金</t>
  </si>
  <si>
    <t>国有资本经营预算调出资金</t>
  </si>
  <si>
    <t>年终结余</t>
  </si>
  <si>
    <t>国有资本经营预算年终结余</t>
  </si>
  <si>
    <t>支出总计</t>
  </si>
  <si>
    <t>附表11</t>
  </si>
  <si>
    <t>汕头市濠江区2022年社会保险基金预算收入计划调整表</t>
  </si>
  <si>
    <t>截止7月执行数</t>
  </si>
  <si>
    <t>截止11月执行数</t>
  </si>
  <si>
    <t>一、社会保险基金预算收入</t>
  </si>
  <si>
    <t xml:space="preserve">     城乡居民基本养老保险基金收入</t>
  </si>
  <si>
    <t xml:space="preserve">       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</si>
  <si>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</si>
  <si>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</si>
  <si>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</si>
  <si>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</si>
  <si>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城乡居民基本养老保险基金转移收入</t>
  </si>
  <si>
    <t xml:space="preserve">       城乡居民基本养老保险基金其他收入</t>
  </si>
  <si>
    <t xml:space="preserve">    机关事业单位基本养老保险基金收入</t>
  </si>
  <si>
    <t xml:space="preserve">       机关事业单位基本养老保险费收入</t>
  </si>
  <si>
    <t xml:space="preserve">       机关事业单位基本养老保险基金财政补助收入</t>
  </si>
  <si>
    <t xml:space="preserve">       机关事业单位基本养老保险基金利息收入</t>
  </si>
  <si>
    <t xml:space="preserve">       机关事业单位基本养老保险基金转移收入</t>
  </si>
  <si>
    <t xml:space="preserve">       机关事业单位基本养老保险基金其他收入</t>
  </si>
  <si>
    <t xml:space="preserve">    上年结余收入</t>
  </si>
  <si>
    <t xml:space="preserve">       城乡养老保险</t>
  </si>
  <si>
    <t xml:space="preserve">       机关养老保险</t>
  </si>
  <si>
    <t xml:space="preserve">    城乡居民基本养老保险基金上级补助收入</t>
  </si>
  <si>
    <t xml:space="preserve">    机关事业单位基本养老保险基金上级补助收入</t>
  </si>
  <si>
    <t>社会保险基金预算收入合计</t>
  </si>
  <si>
    <t>附表12</t>
  </si>
  <si>
    <t>汕头市濠江区2022年社会保险基金预算支出计划调整表</t>
  </si>
  <si>
    <t>科目分类</t>
  </si>
  <si>
    <t>209</t>
  </si>
  <si>
    <t>社会保险基金预算支出</t>
  </si>
  <si>
    <t>20910</t>
  </si>
  <si>
    <t xml:space="preserve">   城乡居民基本养老保险基金支出</t>
  </si>
  <si>
    <t>2091001</t>
  </si>
  <si>
    <t xml:space="preserve">     基础养老金支出</t>
  </si>
  <si>
    <t>2091002</t>
  </si>
  <si>
    <t xml:space="preserve">     个人账户养老金支出</t>
  </si>
  <si>
    <t>2091099</t>
  </si>
  <si>
    <t xml:space="preserve">     丧葬抚恤补贴支出</t>
  </si>
  <si>
    <t xml:space="preserve">     转移支出</t>
  </si>
  <si>
    <t xml:space="preserve">     其他支出</t>
  </si>
  <si>
    <t xml:space="preserve">   机关事业单位基本养老保险基金支出</t>
  </si>
  <si>
    <t xml:space="preserve">     基本养老金支出</t>
  </si>
  <si>
    <t xml:space="preserve">   城乡居民基本养老保险基金上解上级支出</t>
  </si>
  <si>
    <t xml:space="preserve">   机关事业单位基本养老保险基金上解上级支出</t>
  </si>
  <si>
    <t>2300903</t>
  </si>
  <si>
    <t xml:space="preserve">   社会保险基金预算年终结余</t>
  </si>
  <si>
    <t xml:space="preserve">       城乡养老保险年终结余</t>
  </si>
  <si>
    <t xml:space="preserve">       机关养老保险年终结余</t>
  </si>
  <si>
    <t>社会保险基金预算支出合计</t>
  </si>
  <si>
    <t>附表13</t>
  </si>
  <si>
    <t>2022年收回存量资金及安排表</t>
  </si>
  <si>
    <t>金额</t>
  </si>
  <si>
    <t>收回存量资金收入合计</t>
  </si>
  <si>
    <t>上级转移支付资金重安排</t>
  </si>
  <si>
    <t>因库款原因部门申请支出但年终被调减</t>
  </si>
  <si>
    <t>区财政局（代编）</t>
  </si>
  <si>
    <t>收回部门存量资金</t>
  </si>
  <si>
    <t>安排存量资金支出合计</t>
  </si>
  <si>
    <t>火灾隐患、卫生整治等工作经费</t>
  </si>
  <si>
    <t>消化2021年度暂付款</t>
  </si>
  <si>
    <t>预算数</t>
  </si>
  <si>
    <t>第三次预算调整数</t>
  </si>
  <si>
    <t>差异</t>
  </si>
  <si>
    <t>预留工作经费</t>
  </si>
  <si>
    <t>预算调剂1000万；预留工作经费431万</t>
  </si>
  <si>
    <t>调剂社保1000万；预留工作经费170万</t>
  </si>
  <si>
    <t>差基本支出3199.93</t>
  </si>
  <si>
    <t>差基本支出71323.74</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</si>
</sst>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 "/>
    <numFmt numFmtId="179" formatCode="0_);[Red]\(0\)"/>
    <numFmt numFmtId="180" formatCode="_ * #,##0_ ;_ * \-#,##0_ ;_ * &quot;-&quot;??_ ;_ @_ "/>
    <numFmt numFmtId="181" formatCode="#,##0.00_ ;\-#,##0.00"/>
    <numFmt numFmtId="182" formatCode="00000"/>
    <numFmt numFmtId="183" formatCode="0.00_ "/>
    <numFmt numFmtId="184" formatCode="0.00_);[Red]\(0.00\)"/>
  </numFmts>
  <fonts count="61">
    <font>
      <sz val="12"/>
      <name val="宋体"/>
      <charset val="134"/>
    </font>
    <font>
      <sz val="11"/>
      <color indexed="8"/>
      <name val="宋体"/>
      <charset val="134"/>
      <scheme val="minor"/>
    </font>
    <font>
      <sz val="11"/>
      <name val="宋体"/>
      <charset val="134"/>
    </font>
    <font>
      <b/>
      <sz val="20"/>
      <color indexed="8"/>
      <name val="宋体"/>
      <charset val="134"/>
      <scheme val="minor"/>
    </font>
    <font>
      <b/>
      <sz val="12"/>
      <color indexed="8"/>
      <name val="宋体"/>
      <charset val="134"/>
      <scheme val="minor"/>
    </font>
    <font>
      <b/>
      <sz val="11"/>
      <color indexed="8"/>
      <name val="宋体"/>
      <charset val="134"/>
      <scheme val="minor"/>
    </font>
    <font>
      <b/>
      <sz val="11"/>
      <name val="Times New Roman"/>
      <charset val="134"/>
    </font>
    <font>
      <sz val="11"/>
      <color indexed="8"/>
      <name val="Times New Roman"/>
      <charset val="134"/>
    </font>
    <font>
      <b/>
      <sz val="11"/>
      <name val="宋体"/>
      <charset val="134"/>
    </font>
    <font>
      <sz val="9"/>
      <name val="宋体"/>
      <charset val="134"/>
    </font>
    <font>
      <b/>
      <sz val="12"/>
      <name val="宋体"/>
      <charset val="134"/>
    </font>
    <font>
      <b/>
      <sz val="20"/>
      <name val="宋体"/>
      <charset val="134"/>
    </font>
    <font>
      <sz val="11"/>
      <name val="Times New Roman"/>
      <charset val="134"/>
    </font>
    <font>
      <sz val="11"/>
      <color theme="1"/>
      <name val="宋体"/>
      <charset val="134"/>
      <scheme val="minor"/>
    </font>
    <font>
      <b/>
      <sz val="9"/>
      <name val="宋体"/>
      <charset val="134"/>
    </font>
    <font>
      <sz val="11"/>
      <name val="宋体"/>
      <charset val="134"/>
      <scheme val="minor"/>
    </font>
    <font>
      <sz val="12"/>
      <name val="宋体"/>
      <charset val="134"/>
      <scheme val="minor"/>
    </font>
    <font>
      <sz val="10"/>
      <name val="宋体"/>
      <charset val="134"/>
      <scheme val="minor"/>
    </font>
    <font>
      <sz val="10"/>
      <name val="宋体"/>
      <charset val="134"/>
    </font>
    <font>
      <sz val="11"/>
      <name val="宋体"/>
      <charset val="134"/>
      <scheme val="major"/>
    </font>
    <font>
      <sz val="20"/>
      <color theme="1"/>
      <name val="宋体"/>
      <charset val="134"/>
      <scheme val="minor"/>
    </font>
    <font>
      <b/>
      <sz val="10"/>
      <name val="宋体"/>
      <charset val="134"/>
    </font>
    <font>
      <b/>
      <sz val="20"/>
      <name val="宋体"/>
      <charset val="134"/>
      <scheme val="minor"/>
    </font>
    <font>
      <sz val="9"/>
      <name val="宋体"/>
      <charset val="134"/>
      <scheme val="minor"/>
    </font>
    <font>
      <sz val="10"/>
      <name val="Times New Roman"/>
      <charset val="134"/>
    </font>
    <font>
      <b/>
      <sz val="10"/>
      <name val="Times New Roman"/>
      <charset val="134"/>
    </font>
    <font>
      <b/>
      <sz val="12"/>
      <name val="Tahoma"/>
      <charset val="134"/>
    </font>
    <font>
      <b/>
      <sz val="11"/>
      <name val="Tahoma"/>
      <charset val="134"/>
    </font>
    <font>
      <b/>
      <sz val="20"/>
      <name val="宋体"/>
      <charset val="134"/>
      <scheme val="major"/>
    </font>
    <font>
      <sz val="11"/>
      <name val="仿宋"/>
      <charset val="134"/>
    </font>
    <font>
      <sz val="20"/>
      <name val="宋体"/>
      <charset val="134"/>
    </font>
    <font>
      <sz val="11"/>
      <color theme="1"/>
      <name val="宋体"/>
      <charset val="134"/>
    </font>
    <font>
      <sz val="11"/>
      <color indexed="8"/>
      <name val="宋体"/>
      <charset val="134"/>
    </font>
    <font>
      <b/>
      <sz val="11"/>
      <color theme="1"/>
      <name val="宋体"/>
      <charset val="134"/>
      <scheme val="minor"/>
    </font>
    <font>
      <sz val="11"/>
      <color theme="1"/>
      <name val="宋体"/>
      <charset val="134"/>
      <scheme val="major"/>
    </font>
    <font>
      <sz val="16"/>
      <name val="宋体"/>
      <charset val="134"/>
    </font>
    <font>
      <b/>
      <sz val="2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9"/>
      <name val="宋体"/>
      <charset val="134"/>
    </font>
    <font>
      <sz val="9"/>
      <name val="Tahoma"/>
      <charset val="134"/>
    </font>
    <font>
      <b/>
      <sz val="9"/>
      <name val="Tahoma"/>
      <charset val="134"/>
    </font>
    <font>
      <sz val="9"/>
      <name val="宋体"/>
      <charset val="134"/>
    </font>
  </fonts>
  <fills count="3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5"/>
        <bgColor indexed="64"/>
      </patternFill>
    </fill>
    <fill>
      <patternFill patternType="solid">
        <fgColor rgb="FFFFFF99"/>
        <bgColor indexed="64"/>
      </patternFill>
    </fill>
    <fill>
      <patternFill patternType="solid">
        <fgColor theme="9" tint="0.8"/>
        <bgColor indexed="64"/>
      </patternFill>
    </fill>
    <fill>
      <patternFill patternType="solid">
        <fgColor theme="6"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3" fillId="8" borderId="13"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4" applyNumberFormat="0" applyFill="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44" fillId="0" borderId="0" applyNumberFormat="0" applyFill="0" applyBorder="0" applyAlignment="0" applyProtection="0">
      <alignment vertical="center"/>
    </xf>
    <xf numFmtId="0" fontId="45" fillId="9" borderId="16" applyNumberFormat="0" applyAlignment="0" applyProtection="0">
      <alignment vertical="center"/>
    </xf>
    <xf numFmtId="0" fontId="46" fillId="10" borderId="17" applyNumberFormat="0" applyAlignment="0" applyProtection="0">
      <alignment vertical="center"/>
    </xf>
    <xf numFmtId="0" fontId="47" fillId="10" borderId="16" applyNumberFormat="0" applyAlignment="0" applyProtection="0">
      <alignment vertical="center"/>
    </xf>
    <xf numFmtId="0" fontId="48" fillId="11" borderId="18" applyNumberFormat="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54" fillId="35" borderId="0" applyNumberFormat="0" applyBorder="0" applyAlignment="0" applyProtection="0">
      <alignment vertical="center"/>
    </xf>
    <xf numFmtId="0" fontId="55" fillId="36" borderId="0" applyNumberFormat="0" applyBorder="0" applyAlignment="0" applyProtection="0">
      <alignment vertical="center"/>
    </xf>
    <xf numFmtId="0" fontId="55" fillId="37" borderId="0" applyNumberFormat="0" applyBorder="0" applyAlignment="0" applyProtection="0">
      <alignment vertical="center"/>
    </xf>
    <xf numFmtId="0" fontId="54" fillId="38" borderId="0" applyNumberFormat="0" applyBorder="0" applyAlignment="0" applyProtection="0">
      <alignment vertical="center"/>
    </xf>
    <xf numFmtId="43" fontId="0" fillId="0" borderId="0" applyFont="0" applyFill="0" applyBorder="0" applyAlignment="0" applyProtection="0"/>
    <xf numFmtId="0" fontId="13" fillId="0" borderId="0"/>
    <xf numFmtId="0" fontId="13" fillId="0" borderId="0">
      <alignment vertical="center"/>
    </xf>
    <xf numFmtId="0" fontId="0" fillId="0" borderId="0"/>
    <xf numFmtId="0" fontId="0" fillId="0" borderId="0"/>
    <xf numFmtId="0" fontId="13" fillId="0" borderId="0">
      <alignment vertical="center"/>
    </xf>
    <xf numFmtId="0" fontId="56" fillId="0" borderId="0"/>
    <xf numFmtId="0" fontId="18" fillId="0" borderId="0"/>
    <xf numFmtId="0" fontId="0" fillId="0" borderId="0"/>
    <xf numFmtId="43" fontId="0" fillId="0" borderId="0" applyFont="0" applyFill="0" applyBorder="0" applyAlignment="0" applyProtection="0"/>
  </cellStyleXfs>
  <cellXfs count="429">
    <xf numFmtId="0" fontId="0" fillId="0" borderId="0" xfId="0">
      <alignment vertical="center"/>
    </xf>
    <xf numFmtId="176" fontId="0" fillId="0" borderId="0" xfId="0" applyNumberFormat="1" applyAlignment="1">
      <alignment horizontal="center"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right" vertical="center"/>
    </xf>
    <xf numFmtId="0" fontId="4" fillId="0" borderId="1"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178" fontId="6" fillId="2" borderId="3" xfId="0" applyNumberFormat="1" applyFont="1" applyFill="1" applyBorder="1" applyAlignment="1">
      <alignment horizontal="right" vertical="center"/>
    </xf>
    <xf numFmtId="0" fontId="5" fillId="2" borderId="1" xfId="0" applyFont="1" applyFill="1" applyBorder="1" applyAlignment="1">
      <alignment vertical="center"/>
    </xf>
    <xf numFmtId="0" fontId="1" fillId="0" borderId="1" xfId="0" applyFont="1" applyFill="1" applyBorder="1" applyAlignment="1">
      <alignment vertical="center" wrapText="1"/>
    </xf>
    <xf numFmtId="178" fontId="7" fillId="0" borderId="2" xfId="0" applyNumberFormat="1" applyFont="1" applyFill="1" applyBorder="1" applyAlignment="1">
      <alignment horizontal="right" vertical="center"/>
    </xf>
    <xf numFmtId="0" fontId="1" fillId="0" borderId="1" xfId="0" applyFont="1" applyFill="1" applyBorder="1" applyAlignment="1">
      <alignment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2"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49" fontId="0" fillId="0" borderId="0" xfId="57" applyNumberFormat="1" applyFont="1" applyFill="1" applyBorder="1" applyAlignment="1">
      <alignment horizontal="center" vertical="center"/>
    </xf>
    <xf numFmtId="0" fontId="0" fillId="0" borderId="0" xfId="57" applyFont="1" applyFill="1" applyBorder="1" applyAlignment="1">
      <alignment vertical="center"/>
    </xf>
    <xf numFmtId="0" fontId="2" fillId="3" borderId="0" xfId="0" applyFont="1" applyFill="1" applyBorder="1" applyAlignment="1">
      <alignment vertical="center"/>
    </xf>
    <xf numFmtId="0" fontId="0" fillId="3" borderId="0" xfId="57" applyFont="1" applyFill="1" applyBorder="1" applyAlignment="1">
      <alignment vertical="center"/>
    </xf>
    <xf numFmtId="0" fontId="0" fillId="3" borderId="0" xfId="0" applyFont="1" applyFill="1" applyBorder="1" applyAlignment="1">
      <alignment vertical="center"/>
    </xf>
    <xf numFmtId="0" fontId="11" fillId="3" borderId="0" xfId="0" applyFont="1" applyFill="1" applyBorder="1" applyAlignment="1">
      <alignment horizontal="center" vertical="center"/>
    </xf>
    <xf numFmtId="49" fontId="8" fillId="0" borderId="0" xfId="0" applyNumberFormat="1" applyFont="1" applyFill="1" applyBorder="1" applyAlignment="1">
      <alignment vertical="center" wrapText="1"/>
    </xf>
    <xf numFmtId="0" fontId="8" fillId="0" borderId="0" xfId="0" applyFont="1" applyFill="1" applyBorder="1" applyAlignment="1">
      <alignment vertical="center" wrapText="1"/>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8" fillId="0" borderId="1" xfId="0" applyFont="1" applyFill="1" applyBorder="1" applyAlignment="1">
      <alignment vertical="center"/>
    </xf>
    <xf numFmtId="177" fontId="8" fillId="0" borderId="1" xfId="1" applyNumberFormat="1" applyFont="1" applyFill="1" applyBorder="1" applyAlignment="1">
      <alignment vertical="center"/>
    </xf>
    <xf numFmtId="178" fontId="6" fillId="0" borderId="1" xfId="1" applyNumberFormat="1" applyFont="1" applyFill="1" applyBorder="1" applyAlignment="1">
      <alignment horizontal="right" vertical="center"/>
    </xf>
    <xf numFmtId="0" fontId="2" fillId="0" borderId="1" xfId="0" applyFont="1" applyFill="1" applyBorder="1" applyAlignment="1">
      <alignment vertical="center"/>
    </xf>
    <xf numFmtId="177" fontId="2" fillId="0" borderId="1" xfId="1" applyNumberFormat="1" applyFont="1" applyFill="1" applyBorder="1" applyAlignment="1">
      <alignment vertical="center"/>
    </xf>
    <xf numFmtId="177" fontId="2" fillId="0" borderId="1" xfId="0" applyNumberFormat="1" applyFont="1" applyFill="1" applyBorder="1" applyAlignment="1">
      <alignment vertical="center"/>
    </xf>
    <xf numFmtId="178" fontId="12" fillId="0" borderId="1" xfId="1" applyNumberFormat="1" applyFont="1" applyFill="1" applyBorder="1" applyAlignment="1">
      <alignment horizontal="righ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179" fontId="2" fillId="0" borderId="1" xfId="1" applyNumberFormat="1" applyFont="1" applyFill="1" applyBorder="1" applyAlignment="1">
      <alignment vertical="center"/>
    </xf>
    <xf numFmtId="177" fontId="2" fillId="0" borderId="1" xfId="49" applyNumberFormat="1" applyFont="1" applyFill="1" applyBorder="1" applyAlignment="1">
      <alignment horizontal="right" vertical="center"/>
    </xf>
    <xf numFmtId="179" fontId="8" fillId="0" borderId="1" xfId="1" applyNumberFormat="1" applyFont="1" applyFill="1" applyBorder="1" applyAlignment="1">
      <alignment horizontal="right" vertical="center"/>
    </xf>
    <xf numFmtId="177" fontId="8" fillId="0" borderId="1" xfId="1" applyNumberFormat="1" applyFont="1" applyFill="1" applyBorder="1" applyAlignment="1">
      <alignment horizontal="right" vertical="center"/>
    </xf>
    <xf numFmtId="0" fontId="2" fillId="0" borderId="1" xfId="0" applyFont="1" applyFill="1" applyBorder="1" applyAlignment="1">
      <alignment horizontal="left" vertical="center"/>
    </xf>
    <xf numFmtId="179" fontId="2" fillId="0" borderId="1" xfId="1" applyNumberFormat="1" applyFont="1" applyFill="1" applyBorder="1" applyAlignment="1">
      <alignment horizontal="right" vertical="center"/>
    </xf>
    <xf numFmtId="0" fontId="8" fillId="0" borderId="1" xfId="0" applyFont="1" applyFill="1" applyBorder="1" applyAlignment="1">
      <alignment horizontal="center" vertical="center"/>
    </xf>
    <xf numFmtId="177" fontId="8" fillId="0" borderId="1" xfId="0" applyNumberFormat="1" applyFont="1" applyFill="1" applyBorder="1" applyAlignment="1">
      <alignment vertical="center"/>
    </xf>
    <xf numFmtId="0" fontId="2" fillId="0" borderId="0" xfId="0" applyFont="1" applyFill="1" applyBorder="1" applyAlignment="1">
      <alignment horizontal="right" vertical="center"/>
    </xf>
    <xf numFmtId="0" fontId="8" fillId="0" borderId="1" xfId="0" applyFont="1" applyFill="1" applyBorder="1" applyAlignment="1">
      <alignment vertical="center" wrapText="1"/>
    </xf>
    <xf numFmtId="0" fontId="2" fillId="0" borderId="1" xfId="0" applyFont="1" applyFill="1" applyBorder="1" applyAlignment="1">
      <alignment vertical="center" wrapText="1"/>
    </xf>
    <xf numFmtId="177" fontId="2" fillId="0" borderId="1" xfId="1" applyNumberFormat="1" applyFont="1" applyFill="1" applyBorder="1" applyAlignment="1">
      <alignment horizontal="right" vertical="center"/>
    </xf>
    <xf numFmtId="31" fontId="0" fillId="0" borderId="0" xfId="0" applyNumberFormat="1" applyFont="1" applyFill="1" applyBorder="1" applyAlignment="1">
      <alignment vertical="center" wrapText="1"/>
    </xf>
    <xf numFmtId="0" fontId="11" fillId="0" borderId="0" xfId="0" applyFont="1" applyFill="1" applyBorder="1" applyAlignment="1">
      <alignment horizontal="center" vertical="center"/>
    </xf>
    <xf numFmtId="0" fontId="8" fillId="0" borderId="1" xfId="0" applyFont="1" applyFill="1" applyBorder="1" applyAlignment="1">
      <alignment horizontal="left" vertical="center"/>
    </xf>
    <xf numFmtId="180" fontId="2" fillId="0" borderId="1" xfId="1" applyNumberFormat="1" applyFont="1" applyFill="1" applyBorder="1" applyAlignment="1">
      <alignment horizontal="right" vertical="center"/>
    </xf>
    <xf numFmtId="180" fontId="8" fillId="0" borderId="1" xfId="1" applyNumberFormat="1" applyFont="1" applyFill="1" applyBorder="1" applyAlignment="1">
      <alignment horizontal="right" vertical="center"/>
    </xf>
    <xf numFmtId="181" fontId="2" fillId="0" borderId="8" xfId="0" applyNumberFormat="1" applyFont="1" applyFill="1" applyBorder="1" applyAlignment="1" applyProtection="1">
      <alignment horizontal="right" vertical="center"/>
    </xf>
    <xf numFmtId="180" fontId="8" fillId="0" borderId="1" xfId="0" applyNumberFormat="1" applyFont="1" applyFill="1" applyBorder="1" applyAlignment="1">
      <alignment horizontal="right" vertical="center"/>
    </xf>
    <xf numFmtId="0" fontId="13" fillId="0" borderId="0" xfId="0" applyFont="1" applyFill="1" applyBorder="1" applyAlignment="1">
      <alignment vertical="center"/>
    </xf>
    <xf numFmtId="0" fontId="8" fillId="0" borderId="1"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9"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2" fillId="0" borderId="0" xfId="0" applyFont="1" applyFill="1" applyAlignment="1">
      <alignment vertical="center"/>
    </xf>
    <xf numFmtId="49" fontId="0" fillId="0" borderId="0" xfId="57" applyNumberFormat="1" applyAlignment="1">
      <alignment horizontal="center" vertical="center"/>
    </xf>
    <xf numFmtId="0" fontId="0" fillId="0" borderId="0" xfId="0" applyFont="1" applyFill="1" applyAlignment="1">
      <alignment vertical="center"/>
    </xf>
    <xf numFmtId="0" fontId="0" fillId="0" borderId="0" xfId="0" applyFont="1" applyAlignment="1">
      <alignment vertical="center"/>
    </xf>
    <xf numFmtId="49" fontId="2" fillId="0" borderId="0" xfId="57" applyNumberFormat="1" applyFont="1" applyAlignment="1">
      <alignment horizontal="left" vertical="center"/>
    </xf>
    <xf numFmtId="0" fontId="11" fillId="0" borderId="0" xfId="0" applyFont="1" applyFill="1" applyAlignment="1">
      <alignment horizontal="center" vertical="center"/>
    </xf>
    <xf numFmtId="49" fontId="14" fillId="0" borderId="0" xfId="0" applyNumberFormat="1" applyFont="1" applyFill="1" applyAlignment="1">
      <alignment vertical="center" wrapText="1"/>
    </xf>
    <xf numFmtId="0" fontId="10" fillId="0" borderId="1" xfId="0" applyFont="1" applyFill="1" applyBorder="1" applyAlignment="1">
      <alignment horizontal="center" vertical="center"/>
    </xf>
    <xf numFmtId="178" fontId="12" fillId="0" borderId="1" xfId="0" applyNumberFormat="1" applyFont="1" applyFill="1" applyBorder="1" applyAlignment="1">
      <alignment horizontal="right" vertical="center" wrapText="1"/>
    </xf>
    <xf numFmtId="178" fontId="6" fillId="0" borderId="1" xfId="0" applyNumberFormat="1" applyFont="1" applyFill="1" applyBorder="1" applyAlignment="1">
      <alignment horizontal="right" vertical="center" wrapText="1"/>
    </xf>
    <xf numFmtId="0" fontId="2" fillId="0" borderId="0" xfId="0" applyFont="1" applyFill="1" applyAlignment="1">
      <alignment horizontal="right" vertical="center"/>
    </xf>
    <xf numFmtId="0" fontId="0" fillId="0" borderId="0" xfId="0" applyFill="1" applyAlignment="1"/>
    <xf numFmtId="0" fontId="2" fillId="0" borderId="0" xfId="0" applyFont="1" applyFill="1" applyAlignment="1"/>
    <xf numFmtId="0" fontId="0" fillId="0" borderId="0" xfId="0" applyFont="1" applyFill="1" applyBorder="1" applyAlignment="1"/>
    <xf numFmtId="0" fontId="2" fillId="0" borderId="1" xfId="53" applyFont="1" applyBorder="1" applyAlignment="1">
      <alignment horizontal="left" vertical="center" wrapText="1"/>
    </xf>
    <xf numFmtId="177" fontId="2" fillId="0" borderId="1" xfId="0" applyNumberFormat="1" applyFont="1" applyFill="1" applyBorder="1" applyAlignment="1">
      <alignment horizontal="right" vertical="center"/>
    </xf>
    <xf numFmtId="0" fontId="2" fillId="0" borderId="1" xfId="53" applyFont="1" applyBorder="1" applyAlignment="1">
      <alignment horizontal="left" vertical="center"/>
    </xf>
    <xf numFmtId="0" fontId="8" fillId="0" borderId="1" xfId="53" applyFont="1" applyBorder="1" applyAlignment="1">
      <alignment horizontal="center" vertical="center" wrapText="1"/>
    </xf>
    <xf numFmtId="177" fontId="8" fillId="0" borderId="1" xfId="0" applyNumberFormat="1" applyFont="1" applyFill="1" applyBorder="1" applyAlignment="1">
      <alignment horizontal="right" vertical="center"/>
    </xf>
    <xf numFmtId="0" fontId="2" fillId="0" borderId="0" xfId="0" applyFont="1" applyFill="1" applyBorder="1" applyAlignment="1"/>
    <xf numFmtId="0" fontId="15" fillId="0" borderId="0" xfId="0" applyFont="1" applyFill="1" applyAlignment="1"/>
    <xf numFmtId="0" fontId="16" fillId="0" borderId="0" xfId="0" applyFont="1" applyFill="1" applyAlignment="1"/>
    <xf numFmtId="0" fontId="8"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15" fillId="0" borderId="0" xfId="0" applyFont="1" applyFill="1" applyAlignment="1">
      <alignment horizontal="center" vertical="center"/>
    </xf>
    <xf numFmtId="0" fontId="15" fillId="0" borderId="0" xfId="0" applyFont="1" applyFill="1" applyAlignment="1">
      <alignment horizontal="left"/>
    </xf>
    <xf numFmtId="43" fontId="15" fillId="0" borderId="0" xfId="0" applyNumberFormat="1" applyFont="1" applyFill="1" applyAlignment="1">
      <alignment horizontal="center" wrapText="1"/>
    </xf>
    <xf numFmtId="43" fontId="15" fillId="0" borderId="0" xfId="0" applyNumberFormat="1" applyFont="1" applyFill="1" applyAlignment="1">
      <alignment wrapText="1"/>
    </xf>
    <xf numFmtId="43" fontId="15" fillId="0" borderId="0" xfId="0" applyNumberFormat="1" applyFont="1" applyFill="1" applyAlignment="1">
      <alignment horizontal="left" wrapText="1"/>
    </xf>
    <xf numFmtId="0" fontId="15" fillId="0" borderId="0" xfId="0" applyFont="1" applyFill="1" applyAlignment="1">
      <alignment horizontal="center"/>
    </xf>
    <xf numFmtId="0" fontId="15" fillId="0" borderId="0" xfId="0" applyFont="1" applyFill="1" applyAlignment="1">
      <alignment vertical="center"/>
    </xf>
    <xf numFmtId="0" fontId="15" fillId="0" borderId="0" xfId="0" applyFont="1" applyFill="1" applyAlignment="1">
      <alignment horizontal="left" vertical="center"/>
    </xf>
    <xf numFmtId="0" fontId="11" fillId="0" borderId="0" xfId="0" applyFont="1" applyFill="1" applyAlignment="1">
      <alignment horizontal="left" vertical="center"/>
    </xf>
    <xf numFmtId="43" fontId="11" fillId="0" borderId="0" xfId="0" applyNumberFormat="1" applyFont="1" applyFill="1" applyAlignment="1">
      <alignment horizontal="center" vertical="center" wrapText="1"/>
    </xf>
    <xf numFmtId="14" fontId="2" fillId="0" borderId="0" xfId="0" applyNumberFormat="1" applyFont="1" applyFill="1" applyAlignment="1">
      <alignment vertical="center"/>
    </xf>
    <xf numFmtId="0" fontId="2" fillId="0" borderId="0" xfId="0" applyFont="1" applyFill="1" applyAlignment="1">
      <alignment horizontal="left" vertical="center" wrapText="1"/>
    </xf>
    <xf numFmtId="43" fontId="2" fillId="0" borderId="0" xfId="0" applyNumberFormat="1" applyFont="1" applyFill="1" applyAlignment="1">
      <alignment horizontal="center" vertical="center" wrapText="1"/>
    </xf>
    <xf numFmtId="43" fontId="2" fillId="0" borderId="9" xfId="0" applyNumberFormat="1" applyFont="1" applyFill="1" applyBorder="1" applyAlignment="1">
      <alignment vertical="center" wrapText="1"/>
    </xf>
    <xf numFmtId="43" fontId="10"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5" fillId="2" borderId="1" xfId="50" applyFont="1" applyFill="1" applyBorder="1" applyAlignment="1">
      <alignment horizontal="center" vertical="center" wrapText="1"/>
    </xf>
    <xf numFmtId="0" fontId="8" fillId="2" borderId="1" xfId="0" applyFont="1" applyFill="1" applyBorder="1" applyAlignment="1">
      <alignment horizontal="center" vertical="center" wrapText="1"/>
    </xf>
    <xf numFmtId="43" fontId="8" fillId="2" borderId="1" xfId="0" applyNumberFormat="1" applyFont="1" applyFill="1" applyBorder="1" applyAlignment="1">
      <alignment horizontal="right" vertical="center" wrapText="1"/>
    </xf>
    <xf numFmtId="0" fontId="15" fillId="0" borderId="1" xfId="5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43" fontId="2" fillId="0" borderId="2" xfId="0" applyNumberFormat="1" applyFont="1" applyFill="1" applyBorder="1" applyAlignment="1">
      <alignment horizontal="right" vertical="center" wrapText="1"/>
    </xf>
    <xf numFmtId="43" fontId="2" fillId="0" borderId="1" xfId="0" applyNumberFormat="1" applyFont="1" applyFill="1" applyBorder="1" applyAlignment="1">
      <alignment horizontal="right"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pplyProtection="1">
      <alignment horizontal="left" vertical="center" wrapText="1"/>
    </xf>
    <xf numFmtId="0" fontId="2" fillId="0" borderId="1" xfId="0" applyFont="1" applyFill="1" applyBorder="1" applyAlignment="1">
      <alignment horizontal="center" vertical="center"/>
    </xf>
    <xf numFmtId="43" fontId="2" fillId="0" borderId="9" xfId="0" applyNumberFormat="1" applyFont="1" applyFill="1" applyBorder="1" applyAlignment="1">
      <alignment horizontal="right" vertical="center" wrapText="1"/>
    </xf>
    <xf numFmtId="178" fontId="10" fillId="0" borderId="1" xfId="0" applyNumberFormat="1" applyFont="1" applyFill="1" applyBorder="1" applyAlignment="1">
      <alignment horizontal="center" vertical="center" wrapText="1"/>
    </xf>
    <xf numFmtId="43" fontId="10" fillId="0" borderId="5" xfId="0" applyNumberFormat="1" applyFont="1" applyFill="1" applyBorder="1" applyAlignment="1">
      <alignment horizontal="center" vertical="center" wrapText="1"/>
    </xf>
    <xf numFmtId="43" fontId="10" fillId="0" borderId="3" xfId="0" applyNumberFormat="1" applyFont="1" applyFill="1" applyBorder="1" applyAlignment="1">
      <alignment horizontal="center" vertical="center" wrapText="1"/>
    </xf>
    <xf numFmtId="43" fontId="10" fillId="0" borderId="4" xfId="0" applyNumberFormat="1" applyFont="1" applyFill="1" applyBorder="1" applyAlignment="1">
      <alignment horizontal="center" vertical="center" wrapText="1"/>
    </xf>
    <xf numFmtId="178" fontId="10" fillId="0" borderId="5" xfId="0" applyNumberFormat="1" applyFont="1" applyFill="1" applyBorder="1" applyAlignment="1">
      <alignment horizontal="center" vertical="center" wrapText="1"/>
    </xf>
    <xf numFmtId="43" fontId="10" fillId="0" borderId="7" xfId="0" applyNumberFormat="1" applyFont="1" applyFill="1" applyBorder="1" applyAlignment="1">
      <alignment horizontal="center" vertical="center" wrapText="1"/>
    </xf>
    <xf numFmtId="43" fontId="10" fillId="0" borderId="10" xfId="0" applyNumberFormat="1" applyFont="1" applyFill="1" applyBorder="1" applyAlignment="1">
      <alignment horizontal="center" vertical="center" wrapText="1"/>
    </xf>
    <xf numFmtId="178" fontId="10" fillId="0" borderId="7" xfId="0" applyNumberFormat="1" applyFont="1" applyFill="1" applyBorder="1" applyAlignment="1">
      <alignment horizontal="center" vertical="center" wrapText="1"/>
    </xf>
    <xf numFmtId="178" fontId="6" fillId="2" borderId="1" xfId="0" applyNumberFormat="1" applyFont="1" applyFill="1" applyBorder="1" applyAlignment="1">
      <alignment horizontal="right" vertical="center" wrapText="1"/>
    </xf>
    <xf numFmtId="178" fontId="6" fillId="2" borderId="4" xfId="0" applyNumberFormat="1" applyFont="1" applyFill="1" applyBorder="1" applyAlignment="1">
      <alignment horizontal="right" vertical="center" wrapText="1"/>
    </xf>
    <xf numFmtId="0" fontId="15" fillId="2" borderId="1" xfId="50" applyFont="1" applyFill="1" applyBorder="1" applyAlignment="1">
      <alignment horizontal="left" vertical="center" wrapText="1"/>
    </xf>
    <xf numFmtId="0" fontId="15" fillId="0" borderId="1" xfId="0" applyFont="1" applyFill="1" applyBorder="1" applyAlignment="1"/>
    <xf numFmtId="178" fontId="12" fillId="0" borderId="1" xfId="0" applyNumberFormat="1" applyFont="1" applyFill="1" applyBorder="1" applyAlignment="1" applyProtection="1">
      <alignment horizontal="right" vertical="center" wrapText="1"/>
    </xf>
    <xf numFmtId="0" fontId="15" fillId="2" borderId="1" xfId="55" applyFont="1" applyFill="1" applyBorder="1" applyAlignment="1">
      <alignment horizontal="left" vertical="center" wrapText="1"/>
    </xf>
    <xf numFmtId="0" fontId="8"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50" applyFont="1" applyFill="1" applyBorder="1" applyAlignment="1">
      <alignment horizontal="center" vertical="center" wrapText="1"/>
    </xf>
    <xf numFmtId="0" fontId="18" fillId="0" borderId="1" xfId="50" applyFont="1" applyFill="1" applyBorder="1" applyAlignment="1">
      <alignment horizontal="center" vertical="center" wrapText="1"/>
    </xf>
    <xf numFmtId="0" fontId="0" fillId="0" borderId="1" xfId="0" applyBorder="1">
      <alignment vertical="center"/>
    </xf>
    <xf numFmtId="43" fontId="12"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9" fillId="0" borderId="1" xfId="0" applyFont="1" applyFill="1" applyBorder="1" applyAlignment="1">
      <alignment horizontal="left" vertical="center" wrapText="1"/>
    </xf>
    <xf numFmtId="43" fontId="2" fillId="2" borderId="1" xfId="50" applyNumberFormat="1" applyFont="1" applyFill="1" applyBorder="1" applyAlignment="1">
      <alignment horizontal="right" vertical="center" wrapText="1"/>
    </xf>
    <xf numFmtId="43" fontId="8" fillId="0" borderId="1" xfId="0" applyNumberFormat="1" applyFont="1" applyFill="1" applyBorder="1" applyAlignment="1">
      <alignment horizontal="right" vertical="center" wrapText="1"/>
    </xf>
    <xf numFmtId="43" fontId="2" fillId="0" borderId="1" xfId="50" applyNumberFormat="1" applyFont="1" applyFill="1" applyBorder="1" applyAlignment="1">
      <alignment horizontal="right" vertical="center" wrapText="1"/>
    </xf>
    <xf numFmtId="0" fontId="15" fillId="0" borderId="1" xfId="0" applyFont="1" applyFill="1" applyBorder="1" applyAlignment="1">
      <alignment horizontal="left" vertical="center"/>
    </xf>
    <xf numFmtId="43" fontId="8" fillId="2" borderId="1" xfId="50" applyNumberFormat="1" applyFont="1" applyFill="1" applyBorder="1" applyAlignment="1">
      <alignment horizontal="right" vertical="center" wrapText="1"/>
    </xf>
    <xf numFmtId="43" fontId="15" fillId="0" borderId="0" xfId="50" applyNumberFormat="1" applyFont="1" applyFill="1" applyAlignment="1">
      <alignment horizontal="left" wrapText="1"/>
    </xf>
    <xf numFmtId="0" fontId="2" fillId="2" borderId="1" xfId="50" applyFont="1" applyFill="1" applyBorder="1" applyAlignment="1">
      <alignment horizontal="left" vertical="center" wrapText="1"/>
    </xf>
    <xf numFmtId="0" fontId="8" fillId="2" borderId="1" xfId="50" applyFont="1" applyFill="1" applyBorder="1" applyAlignment="1">
      <alignment horizontal="left" vertical="center" wrapText="1"/>
    </xf>
    <xf numFmtId="0" fontId="2" fillId="0" borderId="1" xfId="50" applyFont="1" applyFill="1" applyBorder="1" applyAlignment="1">
      <alignment horizontal="left" vertical="center" wrapText="1"/>
    </xf>
    <xf numFmtId="0" fontId="8" fillId="2" borderId="1" xfId="0" applyFont="1" applyFill="1" applyBorder="1" applyAlignment="1">
      <alignment horizontal="left" vertical="center" wrapText="1"/>
    </xf>
    <xf numFmtId="0" fontId="15" fillId="0" borderId="0" xfId="50" applyFont="1" applyFill="1" applyAlignment="1">
      <alignment horizontal="center"/>
    </xf>
    <xf numFmtId="0" fontId="20" fillId="0" borderId="0" xfId="0" applyFont="1" applyFill="1" applyAlignment="1">
      <alignment vertical="center"/>
    </xf>
    <xf numFmtId="0" fontId="13" fillId="0" borderId="0" xfId="0" applyFont="1" applyFill="1" applyAlignment="1">
      <alignment vertical="center"/>
    </xf>
    <xf numFmtId="0" fontId="18" fillId="0" borderId="0" xfId="0" applyFont="1" applyFill="1" applyBorder="1" applyAlignment="1">
      <alignment vertical="center" wrapText="1"/>
    </xf>
    <xf numFmtId="0" fontId="0" fillId="4" borderId="0" xfId="0" applyFont="1" applyFill="1" applyBorder="1" applyAlignment="1">
      <alignment vertical="center" wrapText="1"/>
    </xf>
    <xf numFmtId="0" fontId="18" fillId="0" borderId="0" xfId="0" applyFont="1" applyFill="1" applyBorder="1" applyAlignment="1">
      <alignment vertical="center"/>
    </xf>
    <xf numFmtId="0" fontId="0" fillId="4" borderId="0" xfId="0" applyFont="1" applyFill="1" applyBorder="1" applyAlignment="1">
      <alignment vertical="center"/>
    </xf>
    <xf numFmtId="0" fontId="0" fillId="4" borderId="0" xfId="0" applyFont="1" applyFill="1" applyBorder="1" applyAlignment="1"/>
    <xf numFmtId="0" fontId="21" fillId="0" borderId="0" xfId="0" applyFont="1" applyFill="1" applyBorder="1" applyAlignment="1">
      <alignment vertical="center"/>
    </xf>
    <xf numFmtId="49" fontId="0" fillId="0" borderId="0" xfId="57" applyNumberFormat="1" applyFill="1" applyAlignment="1">
      <alignment horizontal="center" vertical="center"/>
    </xf>
    <xf numFmtId="0" fontId="0" fillId="0" borderId="0" xfId="57" applyFill="1" applyAlignment="1">
      <alignment vertical="center"/>
    </xf>
    <xf numFmtId="178" fontId="0" fillId="0" borderId="0" xfId="0" applyNumberFormat="1" applyFont="1" applyFill="1" applyBorder="1" applyAlignment="1">
      <alignment vertical="center" wrapText="1"/>
    </xf>
    <xf numFmtId="177" fontId="0" fillId="0" borderId="0" xfId="0" applyNumberFormat="1" applyFont="1" applyFill="1" applyBorder="1" applyAlignment="1">
      <alignment vertical="center" wrapText="1"/>
    </xf>
    <xf numFmtId="0" fontId="2" fillId="0" borderId="0" xfId="0" applyFont="1" applyFill="1" applyAlignment="1">
      <alignment horizontal="left" vertical="center"/>
    </xf>
    <xf numFmtId="177" fontId="0" fillId="0" borderId="0" xfId="0" applyNumberFormat="1" applyFont="1" applyFill="1" applyAlignment="1">
      <alignment vertical="center"/>
    </xf>
    <xf numFmtId="178" fontId="0" fillId="0" borderId="0" xfId="0" applyNumberFormat="1" applyFont="1" applyFill="1" applyAlignment="1">
      <alignment vertical="center" wrapText="1"/>
    </xf>
    <xf numFmtId="0" fontId="22" fillId="0" borderId="0" xfId="0" applyFont="1" applyFill="1" applyAlignment="1">
      <alignment horizontal="center" vertical="center"/>
    </xf>
    <xf numFmtId="178" fontId="22" fillId="0" borderId="0" xfId="0" applyNumberFormat="1" applyFont="1" applyFill="1" applyAlignment="1">
      <alignment horizontal="center" vertical="center" wrapText="1"/>
    </xf>
    <xf numFmtId="0" fontId="23" fillId="0" borderId="0" xfId="0" applyFont="1" applyFill="1" applyAlignment="1">
      <alignment vertical="center"/>
    </xf>
    <xf numFmtId="178" fontId="15" fillId="0" borderId="0" xfId="0" applyNumberFormat="1" applyFont="1" applyFill="1" applyAlignment="1">
      <alignment vertical="center" wrapText="1"/>
    </xf>
    <xf numFmtId="49" fontId="2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78" fontId="21" fillId="0" borderId="1" xfId="0" applyNumberFormat="1" applyFont="1" applyFill="1" applyBorder="1" applyAlignment="1">
      <alignment horizontal="center" vertical="center" wrapText="1"/>
    </xf>
    <xf numFmtId="178" fontId="21" fillId="0" borderId="1" xfId="0" applyNumberFormat="1" applyFont="1" applyFill="1" applyBorder="1" applyAlignment="1">
      <alignment vertical="center" wrapText="1"/>
    </xf>
    <xf numFmtId="49" fontId="18" fillId="4" borderId="1" xfId="0" applyNumberFormat="1" applyFont="1" applyFill="1" applyBorder="1" applyAlignment="1">
      <alignment horizontal="left" vertical="center" wrapText="1"/>
    </xf>
    <xf numFmtId="49" fontId="10" fillId="4" borderId="1" xfId="0" applyNumberFormat="1" applyFont="1" applyFill="1" applyBorder="1" applyAlignment="1">
      <alignment horizontal="center" vertical="center" wrapText="1"/>
    </xf>
    <xf numFmtId="177" fontId="9" fillId="4" borderId="1" xfId="1" applyNumberFormat="1" applyFont="1" applyFill="1" applyBorder="1" applyAlignment="1">
      <alignment vertical="center"/>
    </xf>
    <xf numFmtId="49" fontId="18" fillId="0" borderId="1" xfId="0" applyNumberFormat="1" applyFont="1" applyFill="1" applyBorder="1" applyAlignment="1">
      <alignment horizontal="left" vertical="center" wrapText="1"/>
    </xf>
    <xf numFmtId="182"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vertical="center" wrapText="1"/>
    </xf>
    <xf numFmtId="178" fontId="24" fillId="0" borderId="1" xfId="1" applyNumberFormat="1" applyFont="1" applyFill="1" applyBorder="1" applyAlignment="1">
      <alignment vertical="center" wrapText="1"/>
    </xf>
    <xf numFmtId="182" fontId="18" fillId="4" borderId="1" xfId="0" applyNumberFormat="1" applyFont="1" applyFill="1" applyBorder="1" applyAlignment="1">
      <alignment horizontal="center" vertical="center" wrapText="1"/>
    </xf>
    <xf numFmtId="49" fontId="18" fillId="4" borderId="1" xfId="0" applyNumberFormat="1" applyFont="1" applyFill="1" applyBorder="1" applyAlignment="1">
      <alignment vertical="center" wrapText="1"/>
    </xf>
    <xf numFmtId="49" fontId="24" fillId="0" borderId="1" xfId="0" applyNumberFormat="1" applyFont="1" applyFill="1" applyBorder="1" applyAlignment="1">
      <alignment vertical="center" wrapText="1"/>
    </xf>
    <xf numFmtId="178" fontId="24" fillId="0" borderId="1" xfId="49" applyNumberFormat="1" applyFont="1" applyFill="1" applyBorder="1" applyAlignment="1">
      <alignment vertical="center" wrapText="1"/>
    </xf>
    <xf numFmtId="178" fontId="24" fillId="0" borderId="1" xfId="58" applyNumberFormat="1" applyFont="1" applyFill="1" applyBorder="1" applyAlignment="1">
      <alignment vertical="center" wrapText="1"/>
    </xf>
    <xf numFmtId="177" fontId="9" fillId="4" borderId="1" xfId="49" applyNumberFormat="1" applyFont="1" applyFill="1" applyBorder="1" applyAlignment="1">
      <alignment vertical="center"/>
    </xf>
    <xf numFmtId="177" fontId="9" fillId="4" borderId="1" xfId="58" applyNumberFormat="1" applyFont="1" applyFill="1" applyBorder="1" applyAlignment="1">
      <alignment vertical="center"/>
    </xf>
    <xf numFmtId="49" fontId="24" fillId="4" borderId="1" xfId="0" applyNumberFormat="1" applyFont="1" applyFill="1" applyBorder="1" applyAlignment="1">
      <alignment vertical="center" wrapText="1"/>
    </xf>
    <xf numFmtId="177" fontId="22" fillId="0" borderId="0" xfId="0" applyNumberFormat="1" applyFont="1" applyFill="1" applyAlignment="1">
      <alignment horizontal="center" vertical="center" wrapText="1"/>
    </xf>
    <xf numFmtId="177" fontId="15" fillId="0" borderId="0" xfId="0" applyNumberFormat="1" applyFont="1" applyFill="1" applyAlignment="1">
      <alignment vertical="center" wrapText="1"/>
    </xf>
    <xf numFmtId="0" fontId="13" fillId="0" borderId="0" xfId="0" applyFont="1" applyFill="1" applyAlignment="1">
      <alignment horizontal="right" vertical="center"/>
    </xf>
    <xf numFmtId="177" fontId="21" fillId="0" borderId="1" xfId="0" applyNumberFormat="1" applyFont="1" applyFill="1" applyBorder="1" applyAlignment="1">
      <alignment horizontal="center" vertical="center" wrapText="1"/>
    </xf>
    <xf numFmtId="177" fontId="9" fillId="4" borderId="1" xfId="0" applyNumberFormat="1" applyFont="1" applyFill="1" applyBorder="1" applyAlignment="1">
      <alignment vertical="center"/>
    </xf>
    <xf numFmtId="0" fontId="18" fillId="4" borderId="1" xfId="0" applyFont="1" applyFill="1" applyBorder="1" applyAlignment="1">
      <alignment vertical="center"/>
    </xf>
    <xf numFmtId="178" fontId="24" fillId="0" borderId="1" xfId="0" applyNumberFormat="1" applyFont="1" applyFill="1" applyBorder="1" applyAlignment="1">
      <alignment vertical="center" wrapText="1"/>
    </xf>
    <xf numFmtId="0" fontId="18" fillId="0" borderId="1" xfId="0" applyFont="1" applyFill="1" applyBorder="1" applyAlignment="1">
      <alignment horizontal="left" vertical="center"/>
    </xf>
    <xf numFmtId="0" fontId="18" fillId="0" borderId="1" xfId="0" applyFont="1" applyFill="1" applyBorder="1" applyAlignment="1">
      <alignment vertical="center"/>
    </xf>
    <xf numFmtId="0" fontId="18" fillId="0" borderId="1" xfId="0" applyFont="1" applyFill="1" applyBorder="1" applyAlignment="1">
      <alignment vertical="center" wrapText="1"/>
    </xf>
    <xf numFmtId="0" fontId="9" fillId="4" borderId="0" xfId="0" applyFont="1" applyFill="1" applyBorder="1" applyAlignment="1">
      <alignment vertical="center"/>
    </xf>
    <xf numFmtId="49" fontId="18"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49" fontId="24" fillId="4"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4" borderId="1" xfId="0" applyFont="1" applyFill="1" applyBorder="1" applyAlignment="1">
      <alignment horizontal="left" vertical="center"/>
    </xf>
    <xf numFmtId="182" fontId="21" fillId="0" borderId="1" xfId="0" applyNumberFormat="1" applyFont="1" applyFill="1" applyBorder="1" applyAlignment="1">
      <alignment horizontal="center" vertical="center" wrapText="1"/>
    </xf>
    <xf numFmtId="178" fontId="25" fillId="0" borderId="1" xfId="1" applyNumberFormat="1" applyFont="1" applyFill="1" applyBorder="1" applyAlignment="1">
      <alignment vertical="center" wrapText="1"/>
    </xf>
    <xf numFmtId="178" fontId="25" fillId="0" borderId="1" xfId="0" applyNumberFormat="1" applyFont="1" applyFill="1" applyBorder="1" applyAlignment="1">
      <alignment vertical="center" wrapText="1"/>
    </xf>
    <xf numFmtId="0" fontId="21" fillId="0" borderId="1" xfId="0" applyFont="1" applyFill="1" applyBorder="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0" fontId="15" fillId="0" borderId="0" xfId="0" applyFont="1" applyFill="1" applyAlignment="1">
      <alignment vertical="center" wrapText="1"/>
    </xf>
    <xf numFmtId="0" fontId="15" fillId="0" borderId="0" xfId="0" applyFont="1" applyFill="1" applyAlignment="1">
      <alignment wrapText="1"/>
    </xf>
    <xf numFmtId="0" fontId="15" fillId="0" borderId="0" xfId="0" applyFont="1" applyFill="1" applyAlignment="1">
      <alignment horizontal="center" vertical="center" wrapText="1"/>
    </xf>
    <xf numFmtId="0" fontId="15" fillId="0" borderId="0" xfId="0" applyFont="1" applyFill="1" applyAlignment="1">
      <alignment horizontal="right" vertical="center" wrapText="1"/>
    </xf>
    <xf numFmtId="178" fontId="15" fillId="0" borderId="0" xfId="0" applyNumberFormat="1" applyFont="1" applyFill="1" applyAlignment="1">
      <alignment horizontal="right" vertical="center"/>
    </xf>
    <xf numFmtId="0" fontId="15" fillId="0" borderId="0" xfId="0" applyFont="1" applyFill="1" applyAlignment="1">
      <alignment horizontal="left" wrapText="1"/>
    </xf>
    <xf numFmtId="0" fontId="28" fillId="0" borderId="0" xfId="0" applyFont="1" applyFill="1" applyAlignment="1">
      <alignment horizontal="center" vertical="center" wrapText="1"/>
    </xf>
    <xf numFmtId="0" fontId="28" fillId="0" borderId="0" xfId="0" applyFont="1" applyFill="1" applyAlignment="1">
      <alignment horizontal="right" vertical="center" wrapText="1"/>
    </xf>
    <xf numFmtId="178" fontId="28" fillId="0" borderId="0" xfId="0" applyNumberFormat="1" applyFont="1" applyFill="1" applyAlignment="1">
      <alignment horizontal="right" vertical="center" wrapText="1"/>
    </xf>
    <xf numFmtId="178" fontId="2" fillId="0" borderId="0" xfId="0" applyNumberFormat="1" applyFont="1" applyFill="1" applyAlignment="1">
      <alignment vertical="center" wrapText="1"/>
    </xf>
    <xf numFmtId="0" fontId="2" fillId="0" borderId="1" xfId="0" applyFont="1" applyFill="1" applyBorder="1" applyAlignment="1">
      <alignment horizontal="center" vertical="center" wrapText="1" shrinkToFit="1"/>
    </xf>
    <xf numFmtId="176" fontId="12" fillId="0" borderId="1" xfId="0" applyNumberFormat="1" applyFont="1" applyFill="1" applyBorder="1" applyAlignment="1">
      <alignment horizontal="right" vertical="center" wrapText="1" shrinkToFit="1"/>
    </xf>
    <xf numFmtId="41" fontId="12" fillId="0" borderId="1" xfId="52" applyNumberFormat="1" applyFont="1" applyFill="1" applyBorder="1" applyAlignment="1">
      <alignment horizontal="right" vertical="center" wrapText="1"/>
    </xf>
    <xf numFmtId="0" fontId="8" fillId="2" borderId="1" xfId="0" applyFont="1" applyFill="1" applyBorder="1" applyAlignment="1">
      <alignment horizontal="center" vertical="center" wrapText="1" shrinkToFit="1"/>
    </xf>
    <xf numFmtId="176" fontId="6" fillId="2" borderId="1" xfId="0" applyNumberFormat="1" applyFont="1" applyFill="1" applyBorder="1" applyAlignment="1">
      <alignment horizontal="right" vertical="center" wrapText="1" shrinkToFit="1"/>
    </xf>
    <xf numFmtId="41" fontId="6" fillId="2" borderId="1" xfId="0" applyNumberFormat="1" applyFont="1" applyFill="1" applyBorder="1" applyAlignment="1">
      <alignment horizontal="right" vertical="center" wrapText="1" shrinkToFit="1"/>
    </xf>
    <xf numFmtId="41" fontId="6" fillId="2" borderId="1" xfId="0" applyNumberFormat="1" applyFont="1" applyFill="1" applyBorder="1" applyAlignment="1">
      <alignment horizontal="right" vertical="center" wrapText="1"/>
    </xf>
    <xf numFmtId="41" fontId="12" fillId="0" borderId="1" xfId="0" applyNumberFormat="1" applyFont="1" applyFill="1" applyBorder="1" applyAlignment="1">
      <alignment horizontal="right" vertical="center" wrapText="1" shrinkToFit="1"/>
    </xf>
    <xf numFmtId="0" fontId="2" fillId="0" borderId="2"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176" fontId="6" fillId="0" borderId="1" xfId="0" applyNumberFormat="1" applyFont="1" applyFill="1" applyBorder="1" applyAlignment="1">
      <alignment horizontal="right" vertical="center" wrapText="1"/>
    </xf>
    <xf numFmtId="41" fontId="6" fillId="0" borderId="1" xfId="0" applyNumberFormat="1" applyFont="1" applyFill="1" applyBorder="1" applyAlignment="1">
      <alignment horizontal="right" vertical="center" wrapText="1"/>
    </xf>
    <xf numFmtId="41" fontId="6" fillId="0" borderId="1" xfId="52" applyNumberFormat="1" applyFont="1" applyFill="1" applyBorder="1" applyAlignment="1">
      <alignment horizontal="right" vertical="center" wrapText="1"/>
    </xf>
    <xf numFmtId="176" fontId="12" fillId="0" borderId="1" xfId="0" applyNumberFormat="1" applyFont="1" applyFill="1" applyBorder="1" applyAlignment="1">
      <alignment horizontal="right" vertical="center" wrapText="1"/>
    </xf>
    <xf numFmtId="176" fontId="6" fillId="0" borderId="1" xfId="52" applyNumberFormat="1" applyFont="1" applyFill="1" applyBorder="1" applyAlignment="1">
      <alignment horizontal="right" vertical="center" wrapText="1"/>
    </xf>
    <xf numFmtId="0" fontId="29" fillId="0" borderId="0" xfId="0" applyFont="1" applyFill="1" applyAlignment="1">
      <alignment vertical="center" wrapText="1"/>
    </xf>
    <xf numFmtId="0" fontId="29" fillId="0" borderId="0" xfId="0" applyFont="1" applyFill="1" applyAlignment="1">
      <alignment wrapText="1"/>
    </xf>
    <xf numFmtId="0" fontId="29" fillId="0" borderId="0" xfId="0" applyFont="1" applyFill="1" applyAlignment="1">
      <alignment horizontal="center" vertical="center" wrapText="1"/>
    </xf>
    <xf numFmtId="0" fontId="28" fillId="0" borderId="0" xfId="0" applyFont="1" applyFill="1" applyAlignment="1">
      <alignment horizontal="left" vertical="center" wrapText="1"/>
    </xf>
    <xf numFmtId="178" fontId="2" fillId="0" borderId="0" xfId="0" applyNumberFormat="1" applyFont="1" applyFill="1" applyAlignment="1">
      <alignment horizontal="right" vertical="center" wrapText="1"/>
    </xf>
    <xf numFmtId="178" fontId="12" fillId="0" borderId="1" xfId="0" applyNumberFormat="1" applyFont="1" applyFill="1" applyBorder="1" applyAlignment="1">
      <alignment horizontal="right" vertical="center" wrapText="1" shrinkToFit="1"/>
    </xf>
    <xf numFmtId="178" fontId="2" fillId="0" borderId="1" xfId="52" applyNumberFormat="1" applyFont="1" applyFill="1" applyBorder="1" applyAlignment="1">
      <alignment horizontal="center" vertical="center" wrapText="1"/>
    </xf>
    <xf numFmtId="0" fontId="2" fillId="0" borderId="1" xfId="0" applyFont="1" applyFill="1" applyBorder="1" applyAlignment="1">
      <alignment horizontal="left" vertical="center" wrapText="1" shrinkToFit="1"/>
    </xf>
    <xf numFmtId="178" fontId="6" fillId="2" borderId="1" xfId="0" applyNumberFormat="1" applyFont="1" applyFill="1" applyBorder="1" applyAlignment="1">
      <alignment horizontal="right" vertical="center" wrapText="1" shrinkToFit="1"/>
    </xf>
    <xf numFmtId="178" fontId="12" fillId="2" borderId="1" xfId="0" applyNumberFormat="1" applyFont="1" applyFill="1" applyBorder="1" applyAlignment="1">
      <alignment horizontal="right" vertical="center" wrapText="1" shrinkToFit="1"/>
    </xf>
    <xf numFmtId="0" fontId="2" fillId="2" borderId="1" xfId="0" applyFont="1" applyFill="1" applyBorder="1" applyAlignment="1">
      <alignment horizontal="left" vertical="center" wrapText="1" shrinkToFit="1"/>
    </xf>
    <xf numFmtId="178"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left" vertical="center" wrapText="1"/>
    </xf>
    <xf numFmtId="178" fontId="6" fillId="0" borderId="1" xfId="52" applyNumberFormat="1" applyFont="1" applyFill="1" applyBorder="1" applyAlignment="1">
      <alignment horizontal="right" vertical="center" wrapText="1"/>
    </xf>
    <xf numFmtId="178" fontId="6" fillId="0" borderId="1" xfId="0" applyNumberFormat="1" applyFont="1" applyFill="1" applyBorder="1" applyAlignment="1">
      <alignment horizontal="right" vertical="center" wrapText="1" shrinkToFit="1"/>
    </xf>
    <xf numFmtId="178" fontId="8" fillId="0" borderId="1" xfId="52" applyNumberFormat="1" applyFont="1" applyFill="1" applyBorder="1" applyAlignment="1">
      <alignment horizontal="center" vertical="center" wrapText="1"/>
    </xf>
    <xf numFmtId="0" fontId="8" fillId="0" borderId="1" xfId="56" applyFont="1" applyFill="1" applyBorder="1" applyAlignment="1">
      <alignment horizontal="left" vertical="center" wrapText="1"/>
    </xf>
    <xf numFmtId="177" fontId="8" fillId="0" borderId="1" xfId="52" applyNumberFormat="1" applyFont="1" applyFill="1" applyBorder="1" applyAlignment="1">
      <alignment horizontal="left" vertical="center" wrapText="1"/>
    </xf>
    <xf numFmtId="178" fontId="8" fillId="0" borderId="1" xfId="52" applyNumberFormat="1" applyFont="1" applyFill="1" applyBorder="1" applyAlignment="1">
      <alignment horizontal="left" vertical="center" wrapText="1"/>
    </xf>
    <xf numFmtId="0" fontId="8" fillId="0" borderId="0" xfId="0" applyFont="1" applyFill="1" applyBorder="1" applyAlignment="1">
      <alignment vertical="center"/>
    </xf>
    <xf numFmtId="41" fontId="0" fillId="0" borderId="0" xfId="0" applyNumberFormat="1" applyFont="1" applyFill="1" applyBorder="1" applyAlignment="1">
      <alignment vertical="center" wrapText="1"/>
    </xf>
    <xf numFmtId="0" fontId="15" fillId="0" borderId="0" xfId="0" applyFont="1" applyFill="1" applyBorder="1" applyAlignment="1">
      <alignment horizontal="left" vertical="center"/>
    </xf>
    <xf numFmtId="178" fontId="15" fillId="0" borderId="0" xfId="0" applyNumberFormat="1" applyFont="1" applyFill="1" applyBorder="1" applyAlignment="1">
      <alignment horizontal="center" vertical="center" wrapText="1"/>
    </xf>
    <xf numFmtId="178" fontId="15" fillId="0" borderId="0" xfId="0" applyNumberFormat="1" applyFont="1" applyFill="1" applyBorder="1" applyAlignment="1">
      <alignment horizontal="left" vertical="center" wrapText="1"/>
    </xf>
    <xf numFmtId="41" fontId="15"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178" fontId="22" fillId="0" borderId="0" xfId="0" applyNumberFormat="1" applyFont="1" applyFill="1" applyBorder="1" applyAlignment="1">
      <alignment horizontal="center" vertical="center" wrapText="1"/>
    </xf>
    <xf numFmtId="178" fontId="22" fillId="0" borderId="0" xfId="0" applyNumberFormat="1" applyFont="1" applyFill="1" applyBorder="1" applyAlignment="1">
      <alignment horizontal="left" vertical="center" wrapText="1"/>
    </xf>
    <xf numFmtId="41" fontId="22"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41"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shrinkToFit="1"/>
    </xf>
    <xf numFmtId="0" fontId="8" fillId="0" borderId="1" xfId="0" applyFont="1" applyFill="1" applyBorder="1" applyAlignment="1">
      <alignment horizontal="left" vertical="center" wrapText="1"/>
    </xf>
    <xf numFmtId="178" fontId="12" fillId="0" borderId="1" xfId="49" applyNumberFormat="1" applyFont="1" applyFill="1" applyBorder="1" applyAlignment="1">
      <alignment horizontal="right" vertical="center" wrapText="1"/>
    </xf>
    <xf numFmtId="178" fontId="12" fillId="0" borderId="1" xfId="1" applyNumberFormat="1" applyFont="1" applyFill="1" applyBorder="1" applyAlignment="1">
      <alignment horizontal="right" vertical="center" wrapText="1"/>
    </xf>
    <xf numFmtId="178" fontId="6" fillId="0" borderId="1" xfId="1" applyNumberFormat="1" applyFont="1" applyFill="1" applyBorder="1" applyAlignment="1">
      <alignment horizontal="right" vertical="center" wrapText="1"/>
    </xf>
    <xf numFmtId="183" fontId="15" fillId="0" borderId="0" xfId="0" applyNumberFormat="1" applyFont="1" applyFill="1" applyBorder="1" applyAlignment="1">
      <alignment horizontal="right" vertical="center" wrapText="1"/>
    </xf>
    <xf numFmtId="41" fontId="10" fillId="0" borderId="1" xfId="0" applyNumberFormat="1" applyFont="1" applyFill="1" applyBorder="1" applyAlignment="1">
      <alignment horizontal="center" vertical="center" wrapText="1" shrinkToFit="1"/>
    </xf>
    <xf numFmtId="0" fontId="18" fillId="0" borderId="0" xfId="0" applyFont="1" applyFill="1" applyAlignment="1"/>
    <xf numFmtId="0" fontId="30" fillId="0" borderId="0" xfId="0" applyFont="1" applyFill="1" applyAlignment="1"/>
    <xf numFmtId="0" fontId="18" fillId="0" borderId="0" xfId="0" applyFont="1" applyFill="1" applyAlignment="1">
      <alignment vertical="center" wrapText="1"/>
    </xf>
    <xf numFmtId="0" fontId="18" fillId="0" borderId="0" xfId="0" applyFont="1" applyFill="1" applyAlignment="1">
      <alignment vertical="center"/>
    </xf>
    <xf numFmtId="178" fontId="18" fillId="0" borderId="0" xfId="0" applyNumberFormat="1" applyFont="1" applyFill="1" applyAlignment="1">
      <alignment horizontal="center"/>
    </xf>
    <xf numFmtId="178" fontId="18" fillId="0" borderId="0" xfId="0" applyNumberFormat="1" applyFont="1" applyFill="1" applyAlignment="1"/>
    <xf numFmtId="178" fontId="11" fillId="0" borderId="0" xfId="0" applyNumberFormat="1" applyFont="1" applyFill="1" applyAlignment="1">
      <alignment horizontal="center" vertical="center"/>
    </xf>
    <xf numFmtId="0" fontId="0" fillId="0" borderId="1" xfId="0" applyFont="1" applyFill="1" applyBorder="1" applyAlignment="1">
      <alignment horizontal="center" vertical="center"/>
    </xf>
    <xf numFmtId="178" fontId="10" fillId="0" borderId="2" xfId="0" applyNumberFormat="1" applyFont="1" applyFill="1" applyBorder="1" applyAlignment="1">
      <alignment horizontal="center" vertical="center"/>
    </xf>
    <xf numFmtId="178" fontId="10" fillId="0" borderId="3" xfId="0" applyNumberFormat="1" applyFont="1" applyFill="1" applyBorder="1" applyAlignment="1">
      <alignment horizontal="center" vertical="center"/>
    </xf>
    <xf numFmtId="178" fontId="18" fillId="0" borderId="1" xfId="0" applyNumberFormat="1" applyFont="1" applyFill="1" applyBorder="1" applyAlignment="1">
      <alignment horizontal="center" vertical="center" wrapText="1"/>
    </xf>
    <xf numFmtId="178" fontId="18" fillId="2" borderId="1" xfId="0" applyNumberFormat="1" applyFont="1" applyFill="1" applyBorder="1" applyAlignment="1">
      <alignment vertical="center" wrapText="1"/>
    </xf>
    <xf numFmtId="178" fontId="18" fillId="0" borderId="1" xfId="0" applyNumberFormat="1" applyFont="1" applyFill="1" applyBorder="1" applyAlignment="1">
      <alignment vertical="center" wrapText="1"/>
    </xf>
    <xf numFmtId="178" fontId="21" fillId="2" borderId="1" xfId="0" applyNumberFormat="1" applyFont="1" applyFill="1" applyBorder="1" applyAlignment="1">
      <alignment horizontal="center" vertical="center" wrapText="1"/>
    </xf>
    <xf numFmtId="178" fontId="21" fillId="2" borderId="1" xfId="0" applyNumberFormat="1" applyFont="1" applyFill="1" applyBorder="1" applyAlignment="1">
      <alignment vertical="center" wrapText="1"/>
    </xf>
    <xf numFmtId="178" fontId="18" fillId="0" borderId="0" xfId="0" applyNumberFormat="1" applyFont="1" applyFill="1" applyAlignment="1">
      <alignment horizontal="center" vertical="center"/>
    </xf>
    <xf numFmtId="178" fontId="18" fillId="0" borderId="0" xfId="0" applyNumberFormat="1" applyFont="1" applyFill="1" applyAlignment="1">
      <alignment vertical="center"/>
    </xf>
    <xf numFmtId="178" fontId="10" fillId="0" borderId="4" xfId="0" applyNumberFormat="1" applyFont="1" applyFill="1" applyBorder="1" applyAlignment="1">
      <alignment horizontal="center" vertical="center"/>
    </xf>
    <xf numFmtId="178" fontId="0" fillId="0" borderId="1" xfId="0" applyNumberFormat="1" applyFont="1" applyFill="1" applyBorder="1" applyAlignment="1">
      <alignment horizontal="center" vertical="center"/>
    </xf>
    <xf numFmtId="178" fontId="0"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right" vertical="center" wrapText="1"/>
    </xf>
    <xf numFmtId="178" fontId="2" fillId="0" borderId="0" xfId="0" applyNumberFormat="1" applyFont="1" applyFill="1" applyAlignment="1">
      <alignment horizontal="right" vertical="center"/>
    </xf>
    <xf numFmtId="0" fontId="18" fillId="0" borderId="4" xfId="0" applyFont="1" applyFill="1" applyBorder="1" applyAlignment="1">
      <alignment vertical="center" wrapText="1"/>
    </xf>
    <xf numFmtId="0" fontId="21" fillId="0" borderId="4" xfId="0" applyFont="1" applyFill="1" applyBorder="1" applyAlignment="1">
      <alignment vertical="center" wrapText="1"/>
    </xf>
    <xf numFmtId="0" fontId="10" fillId="0" borderId="0" xfId="0" applyFont="1" applyFill="1">
      <alignment vertical="center"/>
    </xf>
    <xf numFmtId="0" fontId="2" fillId="0" borderId="0" xfId="0" applyFont="1" applyFill="1">
      <alignment vertical="center"/>
    </xf>
    <xf numFmtId="0" fontId="2" fillId="0" borderId="0" xfId="0" applyFont="1" applyFill="1" applyAlignment="1">
      <alignment vertical="center" wrapText="1"/>
    </xf>
    <xf numFmtId="0" fontId="2" fillId="2"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176" fontId="2" fillId="0" borderId="0" xfId="0" applyNumberFormat="1" applyFont="1" applyFill="1" applyAlignment="1">
      <alignment vertical="center" wrapText="1"/>
    </xf>
    <xf numFmtId="0" fontId="31" fillId="0" borderId="0" xfId="0" applyFont="1" applyFill="1" applyAlignment="1">
      <alignment horizontal="left" vertical="center"/>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176" fontId="11" fillId="0" borderId="0" xfId="0" applyNumberFormat="1" applyFont="1" applyFill="1" applyAlignment="1">
      <alignment vertical="center" wrapText="1"/>
    </xf>
    <xf numFmtId="176" fontId="10" fillId="0" borderId="5"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8" fontId="6" fillId="0" borderId="4" xfId="0" applyNumberFormat="1" applyFont="1" applyFill="1" applyBorder="1" applyAlignment="1">
      <alignment horizontal="right" vertical="center" wrapText="1"/>
    </xf>
    <xf numFmtId="0" fontId="8" fillId="2" borderId="3" xfId="0" applyFont="1" applyFill="1" applyBorder="1" applyAlignment="1">
      <alignment horizontal="center" vertical="center" wrapText="1"/>
    </xf>
    <xf numFmtId="178" fontId="12" fillId="0" borderId="4" xfId="0" applyNumberFormat="1" applyFont="1" applyFill="1" applyBorder="1" applyAlignment="1">
      <alignment horizontal="right" vertical="center" wrapText="1"/>
    </xf>
    <xf numFmtId="177" fontId="2" fillId="0" borderId="1" xfId="0" applyNumberFormat="1" applyFont="1" applyFill="1" applyBorder="1" applyAlignment="1">
      <alignment horizontal="left" vertical="center" wrapText="1"/>
    </xf>
    <xf numFmtId="177" fontId="8" fillId="2" borderId="2" xfId="0" applyNumberFormat="1" applyFont="1" applyFill="1" applyBorder="1" applyAlignment="1">
      <alignment horizontal="center" vertical="center" wrapText="1"/>
    </xf>
    <xf numFmtId="177" fontId="8" fillId="2" borderId="3" xfId="0" applyNumberFormat="1" applyFont="1" applyFill="1" applyBorder="1" applyAlignment="1">
      <alignment horizontal="center" vertical="center" wrapText="1"/>
    </xf>
    <xf numFmtId="177" fontId="8" fillId="2" borderId="4"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2" fillId="0" borderId="3" xfId="0" applyFont="1" applyFill="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176" fontId="2" fillId="0" borderId="9" xfId="0" applyNumberFormat="1" applyFont="1" applyFill="1" applyBorder="1" applyAlignment="1">
      <alignment horizontal="right" vertical="center" wrapText="1"/>
    </xf>
    <xf numFmtId="0" fontId="2" fillId="0" borderId="9" xfId="0" applyFont="1" applyFill="1" applyBorder="1" applyAlignment="1">
      <alignment horizontal="right" vertical="center" wrapText="1"/>
    </xf>
    <xf numFmtId="0" fontId="8" fillId="2" borderId="10" xfId="0" applyFont="1" applyFill="1" applyBorder="1" applyAlignment="1">
      <alignment horizontal="left" vertical="center" wrapText="1"/>
    </xf>
    <xf numFmtId="0" fontId="8" fillId="2" borderId="1" xfId="0" applyFont="1" applyFill="1" applyBorder="1" applyAlignment="1">
      <alignment vertical="center" wrapText="1"/>
    </xf>
    <xf numFmtId="0" fontId="32" fillId="0" borderId="1" xfId="0" applyNumberFormat="1" applyFont="1" applyFill="1" applyBorder="1" applyAlignment="1" applyProtection="1">
      <alignment horizontal="left" vertical="center" wrapText="1"/>
    </xf>
    <xf numFmtId="178" fontId="12" fillId="0" borderId="5" xfId="0" applyNumberFormat="1" applyFont="1" applyFill="1" applyBorder="1" applyAlignment="1">
      <alignment horizontal="right" vertical="center" wrapText="1"/>
    </xf>
    <xf numFmtId="0" fontId="2" fillId="0" borderId="11" xfId="0" applyFont="1" applyFill="1" applyBorder="1" applyAlignment="1">
      <alignment vertical="center" wrapText="1"/>
    </xf>
    <xf numFmtId="0" fontId="13" fillId="0" borderId="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2" fillId="0" borderId="8" xfId="0" applyFont="1" applyFill="1" applyBorder="1" applyAlignment="1">
      <alignment vertical="center" wrapText="1"/>
    </xf>
    <xf numFmtId="183" fontId="32" fillId="0" borderId="1" xfId="54" applyNumberFormat="1" applyFont="1" applyFill="1" applyBorder="1" applyAlignment="1" applyProtection="1">
      <alignment horizontal="left" vertical="center" wrapText="1"/>
    </xf>
    <xf numFmtId="178" fontId="6" fillId="2" borderId="1" xfId="0" applyNumberFormat="1" applyFont="1" applyFill="1" applyBorder="1" applyAlignment="1" applyProtection="1">
      <alignment horizontal="right" vertical="center" wrapText="1"/>
    </xf>
    <xf numFmtId="178" fontId="12" fillId="0" borderId="4" xfId="0" applyNumberFormat="1" applyFont="1" applyFill="1" applyBorder="1" applyAlignment="1" applyProtection="1">
      <alignment horizontal="right" vertical="center" wrapText="1"/>
    </xf>
    <xf numFmtId="0" fontId="8" fillId="2" borderId="5" xfId="0" applyFont="1" applyFill="1" applyBorder="1" applyAlignment="1">
      <alignment vertical="center" wrapText="1"/>
    </xf>
    <xf numFmtId="0" fontId="2" fillId="0" borderId="1" xfId="0" applyNumberFormat="1" applyFont="1" applyFill="1" applyBorder="1" applyAlignment="1" applyProtection="1">
      <alignment horizontal="left" vertical="center" wrapText="1"/>
    </xf>
    <xf numFmtId="0" fontId="13" fillId="0" borderId="1" xfId="51" applyFont="1" applyFill="1" applyBorder="1" applyAlignment="1">
      <alignment horizontal="left" vertical="center" wrapText="1"/>
    </xf>
    <xf numFmtId="0" fontId="2" fillId="0"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33" fillId="2" borderId="1" xfId="51" applyFont="1" applyFill="1" applyBorder="1" applyAlignment="1">
      <alignment horizontal="left" vertical="center" wrapText="1"/>
    </xf>
    <xf numFmtId="0" fontId="31" fillId="0" borderId="1" xfId="0" applyFont="1" applyFill="1" applyBorder="1" applyAlignment="1">
      <alignment horizontal="left" vertical="center" wrapText="1"/>
    </xf>
    <xf numFmtId="0" fontId="34"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2" fillId="5" borderId="0" xfId="0" applyFont="1" applyFill="1" applyBorder="1" applyAlignment="1">
      <alignment vertical="center" wrapText="1"/>
    </xf>
    <xf numFmtId="179"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184" fontId="2" fillId="0" borderId="0" xfId="0" applyNumberFormat="1" applyFont="1" applyFill="1" applyBorder="1" applyAlignment="1">
      <alignment vertical="center" wrapText="1"/>
    </xf>
    <xf numFmtId="17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178" fontId="2" fillId="0" borderId="0" xfId="0" applyNumberFormat="1" applyFont="1" applyFill="1" applyBorder="1" applyAlignment="1">
      <alignment vertical="center" wrapText="1"/>
    </xf>
    <xf numFmtId="179" fontId="11" fillId="0" borderId="0" xfId="0" applyNumberFormat="1" applyFont="1" applyFill="1" applyAlignment="1">
      <alignment horizontal="center" vertical="center"/>
    </xf>
    <xf numFmtId="179" fontId="8" fillId="0"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wrapText="1"/>
    </xf>
    <xf numFmtId="183" fontId="8" fillId="0" borderId="1" xfId="0" applyNumberFormat="1" applyFont="1" applyFill="1" applyBorder="1" applyAlignment="1">
      <alignment horizontal="center" vertical="center" wrapText="1"/>
    </xf>
    <xf numFmtId="179" fontId="2" fillId="6" borderId="1" xfId="0" applyNumberFormat="1" applyFont="1" applyFill="1" applyBorder="1" applyAlignment="1">
      <alignment horizontal="left" vertical="center" wrapText="1"/>
    </xf>
    <xf numFmtId="49" fontId="2" fillId="6" borderId="1" xfId="0" applyNumberFormat="1" applyFont="1" applyFill="1" applyBorder="1" applyAlignment="1">
      <alignment horizontal="left" vertical="center" wrapText="1"/>
    </xf>
    <xf numFmtId="178" fontId="12" fillId="6" borderId="1" xfId="0" applyNumberFormat="1" applyFont="1" applyFill="1" applyBorder="1" applyAlignment="1">
      <alignment horizontal="right" vertical="center" wrapText="1"/>
    </xf>
    <xf numFmtId="179" fontId="2" fillId="0" borderId="1" xfId="0" applyNumberFormat="1" applyFont="1" applyFill="1" applyBorder="1" applyAlignment="1">
      <alignment horizontal="left" vertical="center" wrapText="1"/>
    </xf>
    <xf numFmtId="178" fontId="12" fillId="7" borderId="1" xfId="0" applyNumberFormat="1" applyFont="1" applyFill="1" applyBorder="1" applyAlignment="1">
      <alignment horizontal="right" vertical="center" wrapText="1"/>
    </xf>
    <xf numFmtId="178" fontId="2"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79" fontId="2" fillId="0" borderId="0" xfId="0" applyNumberFormat="1" applyFont="1" applyFill="1" applyBorder="1" applyAlignment="1">
      <alignment horizontal="right" vertical="center"/>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184" fontId="18" fillId="6" borderId="1" xfId="0" applyNumberFormat="1" applyFont="1" applyFill="1" applyBorder="1" applyAlignment="1">
      <alignment horizontal="left" vertical="center" wrapText="1"/>
    </xf>
    <xf numFmtId="184" fontId="18" fillId="0" borderId="1" xfId="0" applyNumberFormat="1" applyFont="1" applyFill="1" applyBorder="1" applyAlignment="1">
      <alignment horizontal="left" vertical="center" wrapText="1"/>
    </xf>
    <xf numFmtId="0" fontId="32" fillId="0" borderId="1"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center" wrapText="1"/>
    </xf>
    <xf numFmtId="49" fontId="2" fillId="0" borderId="1" xfId="0" applyNumberFormat="1" applyFont="1" applyFill="1" applyBorder="1" applyAlignment="1">
      <alignment vertical="center" wrapText="1"/>
    </xf>
    <xf numFmtId="179" fontId="8" fillId="2" borderId="2" xfId="0" applyNumberFormat="1" applyFont="1" applyFill="1" applyBorder="1" applyAlignment="1">
      <alignment horizontal="center" vertical="center" wrapText="1"/>
    </xf>
    <xf numFmtId="179" fontId="8" fillId="2" borderId="4" xfId="0" applyNumberFormat="1" applyFont="1" applyFill="1" applyBorder="1" applyAlignment="1">
      <alignment horizontal="center" vertical="center" wrapText="1"/>
    </xf>
    <xf numFmtId="184" fontId="21" fillId="2" borderId="1" xfId="0" applyNumberFormat="1" applyFont="1" applyFill="1" applyBorder="1" applyAlignment="1">
      <alignment horizontal="left" vertical="center" wrapText="1"/>
    </xf>
    <xf numFmtId="0" fontId="10" fillId="0" borderId="0" xfId="0" applyFont="1" applyFill="1" applyAlignment="1">
      <alignment vertical="center"/>
    </xf>
    <xf numFmtId="0" fontId="0" fillId="0" borderId="0" xfId="0" applyNumberFormat="1" applyFont="1" applyFill="1" applyAlignment="1">
      <alignment vertical="center"/>
    </xf>
    <xf numFmtId="177" fontId="11"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177" fontId="9" fillId="0" borderId="0" xfId="0" applyNumberFormat="1" applyFont="1" applyFill="1" applyAlignment="1">
      <alignment vertical="center"/>
    </xf>
    <xf numFmtId="0" fontId="9" fillId="0" borderId="0" xfId="0" applyNumberFormat="1" applyFont="1" applyFill="1" applyAlignment="1">
      <alignment vertical="center"/>
    </xf>
    <xf numFmtId="177"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77" fontId="0" fillId="0" borderId="1" xfId="0" applyNumberFormat="1" applyFont="1" applyFill="1" applyBorder="1" applyAlignment="1"/>
    <xf numFmtId="0" fontId="0" fillId="0" borderId="1" xfId="0" applyNumberFormat="1" applyFont="1" applyFill="1" applyBorder="1" applyAlignment="1"/>
    <xf numFmtId="177" fontId="10" fillId="0" borderId="1" xfId="0" applyNumberFormat="1" applyFont="1" applyFill="1" applyBorder="1" applyAlignment="1">
      <alignment horizontal="center" vertical="center" shrinkToFit="1"/>
    </xf>
    <xf numFmtId="0" fontId="10" fillId="0" borderId="7" xfId="0" applyNumberFormat="1" applyFont="1" applyFill="1" applyBorder="1" applyAlignment="1">
      <alignment horizontal="center" vertical="center" wrapText="1"/>
    </xf>
    <xf numFmtId="0" fontId="8" fillId="0" borderId="7" xfId="0" applyFont="1" applyFill="1" applyBorder="1" applyAlignment="1">
      <alignment horizontal="left" vertical="center"/>
    </xf>
    <xf numFmtId="0" fontId="2" fillId="0" borderId="5" xfId="0" applyFont="1" applyFill="1" applyBorder="1" applyAlignment="1">
      <alignment horizontal="left" vertical="center"/>
    </xf>
    <xf numFmtId="0" fontId="2" fillId="0" borderId="12" xfId="0" applyFont="1" applyFill="1" applyBorder="1" applyAlignment="1">
      <alignment horizontal="left" vertical="center"/>
    </xf>
    <xf numFmtId="178" fontId="12" fillId="0" borderId="12" xfId="1" applyNumberFormat="1" applyFont="1" applyFill="1" applyBorder="1" applyAlignment="1">
      <alignment horizontal="right" vertical="center"/>
    </xf>
    <xf numFmtId="178" fontId="6" fillId="0" borderId="7" xfId="1" applyNumberFormat="1" applyFont="1" applyFill="1" applyBorder="1" applyAlignment="1">
      <alignment horizontal="right" vertical="center"/>
    </xf>
    <xf numFmtId="177" fontId="8" fillId="0" borderId="7" xfId="1" applyNumberFormat="1" applyFont="1" applyFill="1" applyBorder="1" applyAlignment="1">
      <alignment vertical="center"/>
    </xf>
    <xf numFmtId="41" fontId="8" fillId="0" borderId="1" xfId="1" applyNumberFormat="1" applyFont="1" applyFill="1" applyBorder="1" applyAlignment="1">
      <alignment vertical="center"/>
    </xf>
    <xf numFmtId="41" fontId="2" fillId="0" borderId="1" xfId="0" applyNumberFormat="1" applyFont="1" applyFill="1" applyBorder="1" applyAlignment="1">
      <alignment vertical="center"/>
    </xf>
    <xf numFmtId="0" fontId="10" fillId="0" borderId="4" xfId="0" applyFont="1" applyFill="1" applyBorder="1" applyAlignment="1">
      <alignment horizontal="center" vertical="center" wrapText="1"/>
    </xf>
    <xf numFmtId="0" fontId="10" fillId="0" borderId="7" xfId="0" applyNumberFormat="1" applyFont="1" applyFill="1" applyBorder="1" applyAlignment="1">
      <alignment horizontal="center" vertical="center" shrinkToFit="1"/>
    </xf>
    <xf numFmtId="0" fontId="0" fillId="0" borderId="0" xfId="0" applyFill="1" applyAlignment="1">
      <alignment vertical="center"/>
    </xf>
    <xf numFmtId="0" fontId="2" fillId="0" borderId="5" xfId="0" applyFont="1" applyFill="1" applyBorder="1" applyAlignment="1">
      <alignment vertical="center"/>
    </xf>
    <xf numFmtId="0" fontId="8" fillId="0" borderId="7" xfId="0" applyFont="1" applyFill="1" applyBorder="1" applyAlignment="1">
      <alignment vertical="center"/>
    </xf>
    <xf numFmtId="0" fontId="30" fillId="0" borderId="0" xfId="0" applyFont="1" applyFill="1" applyAlignment="1">
      <alignment vertical="center"/>
    </xf>
    <xf numFmtId="0" fontId="11" fillId="0" borderId="0" xfId="0" applyFont="1" applyFill="1" applyAlignment="1">
      <alignment vertical="center"/>
    </xf>
    <xf numFmtId="0" fontId="35" fillId="0" borderId="0" xfId="0" applyFont="1" applyFill="1" applyAlignment="1">
      <alignment horizontal="left"/>
    </xf>
    <xf numFmtId="0" fontId="35" fillId="0" borderId="0" xfId="0" applyFont="1" applyFill="1" applyAlignment="1"/>
    <xf numFmtId="0" fontId="36" fillId="0" borderId="0" xfId="0" applyFont="1" applyFill="1" applyAlignment="1">
      <alignment horizontal="center"/>
    </xf>
    <xf numFmtId="0" fontId="35" fillId="0" borderId="0" xfId="0" applyFont="1" applyFill="1" applyAlignment="1">
      <alignment horizontal="center"/>
    </xf>
    <xf numFmtId="0" fontId="35" fillId="0" borderId="0" xfId="0" applyFont="1" applyFill="1" applyAlignment="1">
      <alignment horizontal="right"/>
    </xf>
    <xf numFmtId="0" fontId="36" fillId="0" borderId="0" xfId="0" applyFont="1" applyFill="1" applyAlignment="1"/>
    <xf numFmtId="0" fontId="2" fillId="0" borderId="1" xfId="0" applyFont="1" applyFill="1" applyBorder="1" applyAlignment="1" quotePrefix="1">
      <alignment vertical="center"/>
    </xf>
    <xf numFmtId="0" fontId="2" fillId="0" borderId="1" xfId="0" applyFont="1" applyFill="1" applyBorder="1" applyAlignment="1" quotePrefix="1">
      <alignment horizontal="left" vertical="center"/>
    </xf>
    <xf numFmtId="0" fontId="2" fillId="0" borderId="5" xfId="0" applyFont="1" applyFill="1" applyBorder="1" applyAlignment="1" quotePrefix="1">
      <alignment horizontal="left" vertical="center"/>
    </xf>
    <xf numFmtId="0" fontId="2" fillId="0" borderId="12" xfId="0" applyFont="1" applyFill="1" applyBorder="1" applyAlignment="1" quotePrefix="1">
      <alignment horizontal="left" vertical="center"/>
    </xf>
    <xf numFmtId="0" fontId="18" fillId="4" borderId="1" xfId="0" applyFont="1" applyFill="1" applyBorder="1" applyAlignment="1" quotePrefix="1">
      <alignment horizontal="left" vertical="center" wrapText="1"/>
    </xf>
    <xf numFmtId="0" fontId="18" fillId="0" borderId="1" xfId="0" applyFont="1" applyFill="1" applyBorder="1" applyAlignment="1" quotePrefix="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10" xfId="49"/>
    <cellStyle name="常规 197" xfId="50"/>
    <cellStyle name="常规 26" xfId="51"/>
    <cellStyle name="常规 32 2" xfId="52"/>
    <cellStyle name="常规_Sheet2" xfId="53"/>
    <cellStyle name="常规 8 4" xfId="54"/>
    <cellStyle name="常规 4 16" xfId="55"/>
    <cellStyle name="常规 33" xfId="56"/>
    <cellStyle name="常规_2006区级预算追加情况表" xfId="57"/>
    <cellStyle name="千位分隔 3" xfId="58"/>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9" Type="http://schemas.openxmlformats.org/officeDocument/2006/relationships/styles" Target="styles.xml"/><Relationship Id="rId58" Type="http://schemas.openxmlformats.org/officeDocument/2006/relationships/sharedStrings" Target="sharedStrings.xml"/><Relationship Id="rId57" Type="http://schemas.openxmlformats.org/officeDocument/2006/relationships/theme" Target="theme/theme1.xml"/><Relationship Id="rId56" Type="http://schemas.openxmlformats.org/officeDocument/2006/relationships/externalLink" Target="externalLinks/externalLink40.xml"/><Relationship Id="rId55" Type="http://schemas.openxmlformats.org/officeDocument/2006/relationships/externalLink" Target="externalLinks/externalLink39.xml"/><Relationship Id="rId54" Type="http://schemas.openxmlformats.org/officeDocument/2006/relationships/externalLink" Target="externalLinks/externalLink38.xml"/><Relationship Id="rId53" Type="http://schemas.openxmlformats.org/officeDocument/2006/relationships/externalLink" Target="externalLinks/externalLink37.xml"/><Relationship Id="rId52" Type="http://schemas.openxmlformats.org/officeDocument/2006/relationships/externalLink" Target="externalLinks/externalLink36.xml"/><Relationship Id="rId51" Type="http://schemas.openxmlformats.org/officeDocument/2006/relationships/externalLink" Target="externalLinks/externalLink35.xml"/><Relationship Id="rId50" Type="http://schemas.openxmlformats.org/officeDocument/2006/relationships/externalLink" Target="externalLinks/externalLink34.xml"/><Relationship Id="rId5" Type="http://schemas.openxmlformats.org/officeDocument/2006/relationships/worksheet" Target="worksheets/sheet5.xml"/><Relationship Id="rId49" Type="http://schemas.openxmlformats.org/officeDocument/2006/relationships/externalLink" Target="externalLinks/externalLink33.xml"/><Relationship Id="rId48" Type="http://schemas.openxmlformats.org/officeDocument/2006/relationships/externalLink" Target="externalLinks/externalLink32.xml"/><Relationship Id="rId47" Type="http://schemas.openxmlformats.org/officeDocument/2006/relationships/externalLink" Target="externalLinks/externalLink31.xml"/><Relationship Id="rId46" Type="http://schemas.openxmlformats.org/officeDocument/2006/relationships/externalLink" Target="externalLinks/externalLink30.xml"/><Relationship Id="rId45" Type="http://schemas.openxmlformats.org/officeDocument/2006/relationships/externalLink" Target="externalLinks/externalLink29.xml"/><Relationship Id="rId44" Type="http://schemas.openxmlformats.org/officeDocument/2006/relationships/externalLink" Target="externalLinks/externalLink28.xml"/><Relationship Id="rId43" Type="http://schemas.openxmlformats.org/officeDocument/2006/relationships/externalLink" Target="externalLinks/externalLink27.xml"/><Relationship Id="rId42" Type="http://schemas.openxmlformats.org/officeDocument/2006/relationships/externalLink" Target="externalLinks/externalLink26.xml"/><Relationship Id="rId41" Type="http://schemas.openxmlformats.org/officeDocument/2006/relationships/externalLink" Target="externalLinks/externalLink25.xml"/><Relationship Id="rId40" Type="http://schemas.openxmlformats.org/officeDocument/2006/relationships/externalLink" Target="externalLinks/externalLink24.xml"/><Relationship Id="rId4" Type="http://schemas.openxmlformats.org/officeDocument/2006/relationships/worksheet" Target="worksheets/sheet4.xml"/><Relationship Id="rId39" Type="http://schemas.openxmlformats.org/officeDocument/2006/relationships/externalLink" Target="externalLinks/externalLink23.xml"/><Relationship Id="rId38" Type="http://schemas.openxmlformats.org/officeDocument/2006/relationships/externalLink" Target="externalLinks/externalLink22.xml"/><Relationship Id="rId37" Type="http://schemas.openxmlformats.org/officeDocument/2006/relationships/externalLink" Target="externalLinks/externalLink21.xml"/><Relationship Id="rId36" Type="http://schemas.openxmlformats.org/officeDocument/2006/relationships/externalLink" Target="externalLinks/externalLink20.xml"/><Relationship Id="rId35" Type="http://schemas.openxmlformats.org/officeDocument/2006/relationships/externalLink" Target="externalLinks/externalLink19.xml"/><Relationship Id="rId34" Type="http://schemas.openxmlformats.org/officeDocument/2006/relationships/externalLink" Target="externalLinks/externalLink18.xml"/><Relationship Id="rId33" Type="http://schemas.openxmlformats.org/officeDocument/2006/relationships/externalLink" Target="externalLinks/externalLink17.xml"/><Relationship Id="rId32" Type="http://schemas.openxmlformats.org/officeDocument/2006/relationships/externalLink" Target="externalLinks/externalLink16.xml"/><Relationship Id="rId31" Type="http://schemas.openxmlformats.org/officeDocument/2006/relationships/externalLink" Target="externalLinks/externalLink15.xml"/><Relationship Id="rId30" Type="http://schemas.openxmlformats.org/officeDocument/2006/relationships/externalLink" Target="externalLinks/externalLink14.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2.7\&#37329;&#34701;&#31185;\AnyShare%20(2)\&#39044;&#31639;&#21496;\&#20538;&#21153;&#22788;\0.&#20013;&#36716;\&#19977;&#30465;&#25968;&#25454;%20(2)\&#27743;&#33487;&#12289;&#28246;&#21335;&#12289;&#20113;&#21335;&#25968;&#25454;&#65288;20170830&#65289;&#12304;&#20998;&#39033;&#30446;&#31867;&#22411;&#12305;\&#27743;&#33487;&#30465;&#25130;&#33267;2017&#24180;6&#26376;&#26411;&#26377;&#20851;&#24773;&#20917;&#27719;&#24635;&#32479;&#35745;&#34920;(20170829)&#12304;&#36820;&#27743;&#33487;&#36130;&#25919;&#21381;&#34917;&#25968;&#12305;-&#34917;&#39033;&#30446;&#31867;&#22411;&#65288;2017.8.30&#20013;&#21320;&#19978;&#25253;&#65289;&#12304;2&#31295;&#65292;&#25968;&#25454;&#24050;&#20998;&#31867;&#123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2.7\&#37329;&#34701;&#31185;\&#25509;&#25910;&#25991;&#20214;\&#22320;&#26041;&#25919;&#24220;&#34701;&#36164;&#24179;&#21488;&#20844;&#21496;&#20538;&#21153;&#31561;&#24773;&#20917;&#34920;&#65288;&#26032;20170729&#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3609;&#26446;&#23792;\02&#25919;&#24220;&#20538;&#21048;\01.&#19968;&#33324;&#20538;&#21048;\2011&#24180;&#22320;&#26041;&#25919;&#24220;&#20538;&#21048;\&#25353;&#27969;&#31243;\02&#35268;&#27169;&#27979;&#31639;\&#21608;&#23045;\03&#20538;&#21153;&#25253;&#34920;\&#27719;&#24635;\2009\2010&#24180;10&#26376;\2009&#24180;&#20538;&#21153;&#20998;&#26512;&#34920;&#65288;20101026&#25171;&#21360;&#31295;&#65289;\07&#26684;&#24335;\2009&#22522;&#26412;&#24773;&#20917;&#65288;1026&#25171;&#21360;&#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28.2.15\&#21508;&#22320;&#39044;&#31639;\2011&#24180;&#22320;&#26041;&#20538;&#21048;&#39033;&#30446;&#35843;&#25972;&#65288;06.15&#65289;\&#38468;&#20214;1&#65306;&#20538;&#21153;&#39069;&#24230;&#20998;&#37197;&#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010&#21439;&#32423;&#25104;&#26412;&#24046;&#24322;&#31995;&#25968;(0902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22522;&#30784;&#25968;&#25454;&#34920;031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08&#26449;&#324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Administrator\Application%20Data\Microsoft\Excel\2007&#24180;&#22320;&#26041;&#25919;&#24220;&#24615;&#20538;&#21153;&#25253;&#34920;&#27719;&#24635;&#65288;20080708&#65289;&#12304;&#23450;&#31295;&#1230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ugdet-server\&#22320;&#26041;&#22788;\05&#22320;&#26041;&#20915;&#31639;\&#20004;&#32423;&#32467;&#31639;\2014&#24180;&#32467;&#31639;\&#20004;&#32423;&#32467;&#31639;&#19982;&#22320;&#26041;&#23545;&#36134;\&#31532;&#19977;&#27425;&#23545;&#36134;\2014&#24180;&#23545;&#36134;&#21333;(20150408&#65289;-&#31532;&#19977;&#27425;&#23545;&#3613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DOCUME~1\ADMINI~1\LOCALS~1\Temp\Rar$DI00.407\01&#36130;&#25919;&#21381;&#36164;&#26009;\01&#25919;&#24220;&#24615;&#20538;&#21153;\21&#34701;&#36164;&#24179;&#21488;&#31649;&#29702;\05&#23545;&#36134;&#24037;&#20316;\&#21508;&#22320;&#19978;&#25253;\&#20309;&#26126;&#29113;\&#22791;&#26597;&#36164;&#26009;\2010&#24180;&#20538;&#21153;&#25253;&#34920;\&#34701;&#36164;&#24179;&#21488;&#20844;&#21496;&#20538;&#21153;&#28165;&#29702;&#26680;&#23454;&#25253;&#34920;\&#24405;&#20837;&#34920;\9&#26376;20&#26085;&#29256;&#26412;\&#34701;&#36164;&#24179;&#21488;&#20844;&#21496;&#20538;&#21153;&#28165;&#29702;&#26680;&#23454;&#24773;&#20917;&#24405;&#20837;&#34920;&#65288;20100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2320;&#26041;&#22788;&#20027;&#26426;\&#22320;&#26041;&#22788;&#20027;&#26426;\Documents%20and%20Settings\User\&#26700;&#38754;\&#35838;&#39064;\&#21382;&#24180;&#22269;&#23478;&#20915;&#31639;\1993-2002&#24180;&#22269;&#23478;&#25910;&#20837;&#27604;&#36739;&#349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01&#27719;&#24635;&#34701;&#36164;&#24179;&#21488;&#21517;&#21333;&#21644;&#20313;&#39069;&#34920;&#26680;&#23545;&#34920;&#65288;&#27491;&#24335;&#34920;&#65292;&#21516;&#38134;&#30417;&#26680;&#23545;&#21069;&#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5104;&#26412;&#24046;&#24322;&#31995;&#25968;032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0998;&#32423;&#23454;&#38469;&#25903;&#20986;&#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08&#21160;&#24577;&#26597;&#35810;&#25968;&#2545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ocuments%20and%20Settings\sz005933\&#26700;&#38754;\&#28145;&#22323;&#25311;&#25253;&#38134;&#30417;&#20250;&#25919;&#24220;&#24179;&#21488;&#28165;&#29702;&#22522;&#30784;&#349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34920;031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bugdet-server\&#20307;&#21046;&#31649;&#29702;&#22788;\02&#19968;&#33324;&#36716;&#31227;&#25903;&#20184;\2014&#24180;&#22343;&#34913;&#24615;&#36716;&#31227;&#25903;&#20184;\02-&#21021;&#27493;&#32467;&#26524;\0421\&#24635;&#34920;-&#21152;&#35268;&#27169;&#21152;&#25903;&#2098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DOCUME~1\ADMINI~1\LOCALS~1\Temp\Rar$DI00.407\01&#36130;&#25919;&#21381;&#36164;&#26009;\01&#25919;&#24220;&#24615;&#20538;&#21153;\21&#34701;&#36164;&#24179;&#21488;&#31649;&#29702;\05&#23545;&#36134;&#24037;&#20316;\&#21508;&#22320;&#19978;&#25253;\&#20998;&#21439;&#21306;&#25910;&#38598;&#34920;&#26684;\03&#25856;&#26525;&#33457;\&#25856;&#26525;&#33457;&#24066;&#24066;&#26412;&#32423;&#36335;&#26725;&#24314;&#35774;&#24320;&#21457;&#26377;&#38480;&#36131;&#20219;&#20844;&#21496;&#20538;&#21153;&#28165;&#29702;&#26680;&#23454;&#24773;&#20917;&#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gdet-server\&#20538;&#21153;&#22788;\&#21016;&#20122;&#20255;\7000%20&#27979;&#31639;\&#21496;&#39046;&#23548;&#12304;&#20851;&#20110;7000&#20159;&#20803;&#22312;&#24314;&#39033;&#30446;&#21518;&#32493;&#34701;&#36164;&#20538;&#21153;&#36164;&#37329;&#20998;&#37197;&#26377;&#20851;&#38382;&#39064;&#30340;&#35831;&#31034;&#12305;&#65288;20150730&#65289;&#12304;3&#31295;&#65292;&#26681;&#25454;&#38472;&#21496;&#38271;&#24847;&#35265;&#25913;&#65293;&#21016;&#22635;&#25968;&#12305;\2015&#24180;&#22312;&#24314;&#39033;&#30446;&#21450;&#26842;&#25143;&#21306;&#25913;&#36896;&#34920;\00%20&#27719;&#24635;&#34920;\06%20&#36797;&#23425;&#30465;\&#36797;&#2342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128.2.15\&#21508;&#22320;&#39044;&#31639;\&#36130;&#25919;&#20379;&#20859;&#20154;&#21592;&#20449;&#24687;&#34920;\&#25945;&#32946;\&#27896;&#27700;&#22235;&#2001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23609;&#26446;&#23792;\02&#25919;&#24220;&#20538;&#21048;\01.&#19968;&#33324;&#20538;&#21048;\2011&#24180;&#22320;&#26041;&#25919;&#24220;&#20538;&#21048;\&#25353;&#27969;&#31243;\02&#35268;&#27169;&#27979;&#31639;\&#21608;&#23045;\03&#20538;&#21153;&#25253;&#34920;\&#27719;&#24635;\2009\2010&#24180;10&#26376;\2009&#24180;&#20538;&#21153;&#20998;&#26512;&#34920;&#65288;20101026&#25171;&#21360;&#31295;&#65289;\07&#26684;&#24335;\2009&#22522;&#26412;&#24773;&#20917;&#65288;1026&#25171;&#21360;&#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Documents%20and%20Settings\Administrator\Application%20Data\Microsoft\Excel\2007&#24180;&#22320;&#26041;&#25919;&#24220;&#24615;&#20538;&#21153;&#25253;&#34920;&#27719;&#24635;&#65288;20080708&#65289;&#12304;&#23450;&#31295;&#123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bugdet-server\&#22320;&#26041;&#22788;\05&#22320;&#26041;&#20915;&#31639;\&#20004;&#32423;&#32467;&#31639;\2014&#24180;&#32467;&#31639;\&#20004;&#32423;&#32467;&#31639;&#19982;&#22320;&#26041;&#23545;&#36134;\&#31532;&#19977;&#27425;&#23545;&#36134;\2014&#24180;&#23545;&#36134;&#21333;(20150408&#65289;-&#31532;&#19977;&#27425;&#23545;&#3613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Documents%20and%20Settings\Administrator\Application%20Data\Microsoft\Excel\&#19977;&#26041;&#23545;&#36134;&#21333;%20(version%201).xlsb"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esktop\&#20648;&#22791;&#39033;&#30446;\&#65288;&#8730;&#65289;2020.03.21-2020&#24180;&#22320;&#26041;&#25919;&#24220;&#26032;&#22686;&#20538;&#21048;&#38656;&#27714;&#34920;&#65288;&#20840;&#37096;&#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EXCEL\&#26412;&#20070;&#33539;&#20363;\chap5\chap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bugdet-server\&#20538;&#21153;&#22788;\&#21016;&#20122;&#20255;\7000%20&#27979;&#31639;\&#21496;&#39046;&#23548;&#12304;&#20851;&#20110;7000&#20159;&#20803;&#22312;&#24314;&#39033;&#30446;&#21518;&#32493;&#34701;&#36164;&#20538;&#21153;&#36164;&#37329;&#20998;&#37197;&#26377;&#20851;&#38382;&#39064;&#30340;&#35831;&#31034;&#12305;&#65288;20150730&#65289;&#12304;3&#31295;&#65292;&#26681;&#25454;&#38472;&#21496;&#38271;&#24847;&#35265;&#25913;&#65293;&#21016;&#22635;&#25968;&#12305;\2015&#24180;&#22312;&#24314;&#39033;&#30446;&#21450;&#26842;&#25143;&#21306;&#25913;&#36896;&#34920;\00%20&#27719;&#24635;&#34920;\06%20&#36797;&#23425;&#30465;\&#36797;&#234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2320;&#26041;&#22788;&#20027;&#26426;\&#22320;&#26041;&#22788;&#20027;&#26426;\Documents%20and%20Settings\User\&#26700;&#38754;\&#35838;&#39064;\&#26032;&#24314;&#25991;&#20214;&#22841;\&#35838;&#39064;&#349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39044;&#31639;&#8730;\&#21508;&#24180;&#39044;&#31639;&#35843;&#25972;&#36164;&#26009;&#8730;\2022&#24180;&#39044;&#31639;&#35843;&#25972;\2.&#31532;&#20108;&#27425;&#39044;&#31639;&#35843;&#25972;\ok&#29256;\&#27733;&#22836;&#24066;&#28640;&#27743;&#21306;2021&#24180;&#25919;&#24220;&#39044;&#31639;&#35843;&#25972;&#33609;&#26696;&#65288;&#25972;&#21512;&#2925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INSERVER\private\XHC\XLS\XJ.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7\&#37329;&#34701;&#31185;\Users\sucy\AppData\Local\Temp\NTKOFTmpFiles\04-&#22269;&#21153;&#38498;&#19987;&#39033;&#35843;&#30740;\201709090%20&#22320;&#26041;&#19978;&#25253;&#38544;&#24615;&#20538;&#21153;&#25237;&#21521;&#24773;&#20917;&#65288;&#27743;&#33487;&#12289;&#28246;&#21335;&#12289;&#20113;&#21335;&#12289;&#20869;&#33945;&#21476;&#12289;&#40657;&#40857;&#27743;&#25968;&#25454;&#65289;&#12304;&#20998;&#39033;&#30446;&#31867;&#22411;&#12305;\&#34917;&#20805;&#39033;&#30446;&#31867;&#22411;\2017&#24180;\&#25919;&#24220;&#24615;&#20538;&#21153;\20170829%20%20&#21452;&#23792;&#38544;&#24615;&#20538;&#21153;&#32479;&#35745;&#22871;&#34920;--&#34917;&#39033;&#30446;&#31867;&#22411;\&#21508;&#21333;&#20301;&#19978;&#25253;\&#22478;&#24314;&#25237;%20%20&#21452;%20&#23792;&#38544;&#24615;&#20538;&#21153;&#32479;&#35745;&#22871;&#34920;--&#34917;&#39033;&#30446;&#31867;&#224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28.2.15\&#21508;&#22320;&#39044;&#31639;\bugdet-server\BY\YS3\97&#20915;&#31639;&#21306;&#21439;&#26368;&#21518;&#27719;&#246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2.7\&#37329;&#34701;&#31185;\&#23384;&#26723;&#25991;&#20214;\04-&#22269;&#21153;&#38498;&#19987;&#39033;&#35843;&#30740;\05%205&#30465;&#19978;&#25253;&#25968;&#25454;\&#28246;&#21335;&#30465;&#38544;&#24615;&#20538;&#21153;&#32479;&#35745;&#22871;&#34920;&#65288;20170829&#65289;&#12304;&#36820;&#20113;&#21335;&#36130;&#25919;&#21381;&#34917;&#25968;&#12305;-&#34917;&#39033;&#30446;&#31867;&#224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 val="下拉选项"/>
      <sheetName val="Sheet2"/>
      <sheetName val="mmm"/>
      <sheetName val="基础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表1 （打印版）"/>
      <sheetName val="表2 （市县打印版）"/>
      <sheetName val="表3（打印版）"/>
      <sheetName val="表4"/>
      <sheetName val="表5"/>
      <sheetName val="表6"/>
      <sheetName val="项目类型"/>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封面"/>
      <sheetName val="目录"/>
      <sheetName val="1-1.资金来源汇总表"/>
      <sheetName val="1-2.资金投向汇总表"/>
      <sheetName val="1-3.政府承诺偿还的债务余额明细表"/>
      <sheetName val="1-4.政府提供担保的债务余额明细表"/>
      <sheetName val="2-1.政府支出事项总表"/>
      <sheetName val="2-2.政府支出事项对应项目情况"/>
      <sheetName val="2-3.政府支出事项明细表 "/>
      <sheetName val="下拉选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图数据表"/>
      <sheetName val="1-1风险分析表"/>
      <sheetName val="1-2市级风险分析"/>
      <sheetName val="1-3风险分析"/>
      <sheetName val="1-4余额表"/>
      <sheetName val="1-5余额结构表"/>
      <sheetName val="1-6余额增长情况图"/>
      <sheetName val="1-7余额增长表一"/>
      <sheetName val="1-8余额增长表二"/>
      <sheetName val="1-9余额构成图"/>
      <sheetName val="1-10余额分布图"/>
      <sheetName val="1-11余额人均排序表"/>
      <sheetName val="1-12负债率表"/>
      <sheetName val="1-13债务率表"/>
      <sheetName val="1-14资金性质表"/>
      <sheetName val="1-15资金性质分级表一"/>
      <sheetName val="1-16资金性质分级表二"/>
      <sheetName val="1-17资金性质分级表三"/>
      <sheetName val="1-18直接债务资金性质表"/>
      <sheetName val="1-19担保债务资金性质表"/>
      <sheetName val="1-20资金性质增长表"/>
      <sheetName val="1-21资金性质分级增长表一"/>
      <sheetName val="1-22资金性质分级增长表二"/>
      <sheetName val="1-23资金性质分级增长表三"/>
      <sheetName val="1-24直接债务资金性质增长表"/>
      <sheetName val="1-25担保债务资金性质增长表"/>
      <sheetName val="2-1余额分级表"/>
      <sheetName val="2-2余额分级增长表1"/>
      <sheetName val="2-3余额分级增长表2"/>
      <sheetName val="2-4直接分级表"/>
      <sheetName val="2-5直接分级增长表"/>
      <sheetName val="2-6担保分级表"/>
      <sheetName val="2-7担保分级增长表"/>
      <sheetName val="2-8余额分部门1"/>
      <sheetName val="2-9余额分部门2"/>
      <sheetName val="2-10余额分部门增长图"/>
      <sheetName val="2-11余额分部门增长表1"/>
      <sheetName val="2-12余额分部门增长表2"/>
      <sheetName val="2-13余额分部门增长表3"/>
      <sheetName val="2-14余额分部门增长表4"/>
      <sheetName val="2-15余额分部门增长表5"/>
      <sheetName val="2-16直接分部门1"/>
      <sheetName val="2-17直接分部门2"/>
      <sheetName val="2-18直接分部门增长表1"/>
      <sheetName val="2-19直接分部门增长表2"/>
      <sheetName val="2-20直接分部门增长表3"/>
      <sheetName val="2-21直接分部门增长表4"/>
      <sheetName val="2-22直接分部门增长表5"/>
      <sheetName val="2-23担保分部门1"/>
      <sheetName val="2-24担保分部门2"/>
      <sheetName val="2-25担保分部门增长表1"/>
      <sheetName val="2-26担保分部门增长表2"/>
      <sheetName val="2-27担保分部门增长表3"/>
      <sheetName val="2-28担保分部门增长表4"/>
      <sheetName val="2-29担保分部门增长表5"/>
      <sheetName val="2-13余额分部门增长表1 (机关)"/>
      <sheetName val="2-14余额分部门增长表2 (机关)"/>
      <sheetName val="2-15余额分部门增长表3 (机关)"/>
      <sheetName val="2-16余额分部门增长表4 (机关)"/>
      <sheetName val="2-17余额分部门增长表5 (机关)"/>
      <sheetName val="2-18直接分部门增长表1 (机关)"/>
      <sheetName val="2-19直接分部门增长表2 (机关)"/>
      <sheetName val="2-20直接分部门增长表3 (机关)"/>
      <sheetName val="2-21直接分部门增长表4 (机关)"/>
      <sheetName val="2-22直接分部门增长表5 (机关)"/>
      <sheetName val="2-33担保分部门增长表1 (机关)"/>
      <sheetName val="2-34担保分部门增长表2 (机关)"/>
      <sheetName val="2-35担保分部门增长表3 (机关)"/>
      <sheetName val="2-36担保分部门增长表4 (机关)"/>
      <sheetName val="2-37担保分部门增长表5 (机关)"/>
      <sheetName val="余额直接_机关"/>
      <sheetName val="余额担保_机关"/>
      <sheetName val="2-13余额分部门增长表1 (事业)"/>
      <sheetName val="2-14余额分部门增长表2 (事业)"/>
      <sheetName val="2-15余额分部门增长表3 (事业)"/>
      <sheetName val="2-16余额分部门增长表4 (事业)"/>
      <sheetName val="2-17余额分部门增长表5 (事业)"/>
      <sheetName val="2-18直接分部门增长表1 (事业)"/>
      <sheetName val="2-19直接分部门增长表2 (事业)"/>
      <sheetName val="2-20直接分部门增长表3 (事业)"/>
      <sheetName val="2-21直接分部门增长表4 (事业)"/>
      <sheetName val="2-22直接分部门增长表5 (事业)"/>
      <sheetName val="2-33担保分部门增长表1 (事业)"/>
      <sheetName val="2-34担保分部门增长表2 (事业)"/>
      <sheetName val="2-35担保分部门增长表3 (事业)"/>
      <sheetName val="2-36担保分部门增长表4 (事业)"/>
      <sheetName val="2-37担保分部门增长表5 (事业)"/>
      <sheetName val="余额直接_事业"/>
      <sheetName val="余额担保_事业"/>
      <sheetName val="2-13余额分部门增长表1 (融资平台公司)"/>
      <sheetName val="2-14余额分部门增长表2 (融资平台公司)"/>
      <sheetName val="2-15余额分部门增长表3 (融资平台公司)"/>
      <sheetName val="2-16余额分部门增长表4 (融资平台公司)"/>
      <sheetName val="2-17余额分部门增长表5 (融资平台公司)"/>
      <sheetName val="2-18直接分部门增长表1 (融资平台公司)"/>
      <sheetName val="2-19直接分部门增长表2 (融资平台公司)"/>
      <sheetName val="2-20直接分部门增长表3 (融资平台公司)"/>
      <sheetName val="2-21直接分部门增长表4 (融资平台公司)"/>
      <sheetName val="2-22直接分部门增长表5 (融资平台公司)"/>
      <sheetName val="2-33担保分部门增长表1 (融资平台公司)"/>
      <sheetName val="2-34担保分部门增长表2 (融资平台公司)"/>
      <sheetName val="2-35担保分部门增长表3 (融资平台公司)"/>
      <sheetName val="2-36担保分部门增长表4 (融资平台公司)"/>
      <sheetName val="2-37担保分部门增长表5 (融资平台公司)"/>
      <sheetName val="余额直接_融资平台公司"/>
      <sheetName val="余额担保_融资平台公司"/>
      <sheetName val="3-1机关余额分部门1"/>
      <sheetName val="3-1机关余额分部门2"/>
      <sheetName val="3-3机关直接分部门1"/>
      <sheetName val="3-3机关直接分部门2"/>
      <sheetName val="3-7机关担保分部门1"/>
      <sheetName val="3-7机关担保分部门2"/>
      <sheetName val="3-1事业余额分部门1"/>
      <sheetName val="3-1事业余额分部门"/>
      <sheetName val="3-3事业直接分部门1"/>
      <sheetName val="3-3事业直接分部门2"/>
      <sheetName val="3-7事业担保分部门1"/>
      <sheetName val="3-7事业担保分部门2"/>
      <sheetName val="3-1_融资平台公司余额分部门1"/>
      <sheetName val="3-1_融资平台公司余额分部门"/>
      <sheetName val="3-3_融资平台公司直接分部门1"/>
      <sheetName val="3-3_融资平台公司直接分部门2"/>
      <sheetName val="3-7_融资平台公司担保分部门1"/>
      <sheetName val="3-7_融资平台公司担保分部门2"/>
      <sheetName val="4-1余额来源表"/>
      <sheetName val="4-2余额来源比重表"/>
      <sheetName val="4-3余额来源增长表"/>
      <sheetName val="(来源)债务债权－机关"/>
      <sheetName val="(来源)债务债权－事业单位"/>
      <sheetName val="(来源)债务债权-融资平台公司"/>
      <sheetName val="(余额)年初-年末"/>
      <sheetName val="4-4来源构成图"/>
      <sheetName val="4-5来源构成图(银行存款)"/>
      <sheetName val="4-6来源情况图"/>
      <sheetName val="5-1当年收支平衡表"/>
      <sheetName val="5-2当年余额变动表"/>
      <sheetName val="5-3当年收入分部门表1"/>
      <sheetName val="5-4当年收入分部门表2"/>
      <sheetName val="5-5当年支出分部门表1"/>
      <sheetName val="5-6当年支出分部门表2"/>
      <sheetName val="5-7当年支出用途1"/>
      <sheetName val="5-8当年支出用途2"/>
      <sheetName val="5-7当年支出用途"/>
      <sheetName val="5-7当年支出用途1 (省)"/>
      <sheetName val="5-8当年支出用途2 (省)"/>
      <sheetName val="5-7当年支出用途1 (市)"/>
      <sheetName val="5-8当年支出用途2 (市)"/>
      <sheetName val="5-7当年支出用途1 (县)"/>
      <sheetName val="5-8当年支出用途2 (县)"/>
      <sheetName val="5-9当年偿本付息表"/>
      <sheetName val="5-10偿还来源结构"/>
      <sheetName val="5-11偿还计划"/>
      <sheetName val="6-1历年来政府性债务统计情况"/>
      <sheetName val="6-2历年来总额分地区"/>
      <sheetName val="6-3历年来直接债务分地区"/>
      <sheetName val="6-4历年来担保债务分地区"/>
      <sheetName val="6-5历年来债务（省级）"/>
      <sheetName val="6-6历年来债务（市级）"/>
      <sheetName val="6-7历年来债务（县级）"/>
      <sheetName val="6-8历年来债务（乡镇）"/>
      <sheetName val="6-9历年来债务分来源表1（金融机构）"/>
      <sheetName val="6-10历年来债务分来源表2（上级财政）"/>
      <sheetName val="6-11历年来债务分来源表3（其他）"/>
      <sheetName val="6-12历年来人均债务排序表"/>
      <sheetName val="6-13历年来各地区负债率表"/>
      <sheetName val="6-14历年来各地区债务率表"/>
      <sheetName val="6-15历年来逾期债务表"/>
      <sheetName val="6-16历年来逾期率表"/>
      <sheetName val="人民银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StartUp"/>
      <sheetName val="StartUp_2"/>
      <sheetName val="StartUp_3"/>
      <sheetName val="StartUp_4"/>
      <sheetName val="StartUp_5"/>
      <sheetName val="StartUp_6"/>
      <sheetName val="StartUp_7"/>
      <sheetName val="StartUp_8"/>
      <sheetName val="StartUp_9"/>
      <sheetName val="StartUp_10"/>
      <sheetName val="StartUp_11"/>
      <sheetName val="StartUp_12"/>
      <sheetName val="债券分配统计（未调整前）"/>
      <sheetName val="分配计算表（非扩权县）"/>
      <sheetName val="分配计算表（扩权县）"/>
      <sheetName val="基础数据汇总表"/>
      <sheetName val="基1项目需求"/>
      <sheetName val="基2举债空间"/>
      <sheetName val="需财政资金偿还债务"/>
      <sheetName val="债务逾期表"/>
      <sheetName val="2010年财力表"/>
      <sheetName val="04-09可用财力"/>
      <sheetName val="融资平台投资需求"/>
      <sheetName val="公路里程"/>
      <sheetName val="基础编码"/>
      <sheetName val="1-4余额表"/>
      <sheetName val="C01-1"/>
      <sheetName val="差异系数"/>
      <sheetName val="data"/>
      <sheetName val="中央"/>
      <sheetName val="P1012001"/>
      <sheetName val="基础数据"/>
      <sheetName val="01北京市"/>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代码对比表"/>
      <sheetName val="d"/>
      <sheetName val="data"/>
      <sheetName val="差异系数"/>
      <sheetName val="经费权重"/>
      <sheetName val="Total"/>
      <sheetName val="rkgm"/>
      <sheetName val="rkmj"/>
      <sheetName val="wdxs"/>
      <sheetName val="hbxs"/>
      <sheetName val="1-1余额表"/>
      <sheetName val="2-11担保分级表"/>
      <sheetName val="2-7一般分级表"/>
      <sheetName val="2-1余额分级表"/>
      <sheetName val="2-5直接分级表"/>
      <sheetName val="2-9专项分级表"/>
      <sheetName val="基础数据"/>
      <sheetName val="中央"/>
      <sheetName val="公路里程"/>
      <sheetName val="区划对应表"/>
      <sheetName val="基础编码"/>
      <sheetName val="四月份月报"/>
      <sheetName val="Sheet1"/>
      <sheetName val="1-4余额表"/>
      <sheetName val="P1012001"/>
      <sheetName val="参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2007"/>
      <sheetName val="2009"/>
      <sheetName val="第6行"/>
      <sheetName val="动态分析报表"/>
      <sheetName val="C01-1"/>
      <sheetName val="公路里程"/>
      <sheetName val="参数表"/>
      <sheetName val="差异系数"/>
      <sheetName val="data"/>
      <sheetName val="中央"/>
      <sheetName val="01北京市"/>
      <sheetName val="经费权重"/>
      <sheetName val="四月份月报"/>
      <sheetName val="Sheet1"/>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L24"/>
      <sheetName val="08村级"/>
      <sheetName val="经费权重"/>
      <sheetName val="参数表"/>
      <sheetName val="2009"/>
      <sheetName val="分县数据"/>
      <sheetName val="基础编码"/>
      <sheetName val="公路里程"/>
      <sheetName val="差异系数"/>
      <sheetName val="data"/>
      <sheetName val="区划对应表"/>
      <sheetName val="中央"/>
      <sheetName val="有效性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封面"/>
      <sheetName val="目录"/>
      <sheetName val="逻辑关系图"/>
      <sheetName val="1-1余额表"/>
      <sheetName val="1-2余额结构表"/>
      <sheetName val="1-3余额增长表一"/>
      <sheetName val="1-4余额增长表二"/>
      <sheetName val="1-5余额增长表三"/>
      <sheetName val="1-6余额构成图"/>
      <sheetName val="1-7余额分布图"/>
      <sheetName val="1-8余额人均排序表"/>
      <sheetName val="1-9负债率表"/>
      <sheetName val="财力"/>
      <sheetName val="1-10债务率表"/>
      <sheetName val="2-1余额分级表"/>
      <sheetName val="2-2余额分级图"/>
      <sheetName val="2-3余额分级增长表1"/>
      <sheetName val="2-4余额分级增长表2"/>
      <sheetName val="2-5直接分级表"/>
      <sheetName val="2-6直接分级增长表"/>
      <sheetName val="2-7一般分级表"/>
      <sheetName val="2-8一般分级增长表"/>
      <sheetName val="2-9专项分级表"/>
      <sheetName val="2-10专项分级增长表"/>
      <sheetName val="2-11担保分级表"/>
      <sheetName val="2-12担保分级增长表"/>
      <sheetName val="3-1余额分部门1"/>
      <sheetName val="3-1余额分部门2"/>
      <sheetName val="3-2余额分部门比重1"/>
      <sheetName val="3-2余额分部门比重2"/>
      <sheetName val="3-3直接分部门1"/>
      <sheetName val="3-3直接分部门2"/>
      <sheetName val="3-4直接分部门比重1"/>
      <sheetName val="3-4直接分部门比重2"/>
      <sheetName val="3-5一般分部门1"/>
      <sheetName val="3-5一般分部门2"/>
      <sheetName val="3-6专项分部门1"/>
      <sheetName val="3-6专项分部门2"/>
      <sheetName val="3-7担保分部门1"/>
      <sheetName val="3-7担保分部门2"/>
      <sheetName val="2-13余额分部门增长表1"/>
      <sheetName val="2-14余额分部门增长表2"/>
      <sheetName val="2-15余额分部门增长表3"/>
      <sheetName val="2-16余额分部门增长表4"/>
      <sheetName val="2-17余额分部门增长表5"/>
      <sheetName val="2-18直接分部门增长表1"/>
      <sheetName val="2-19直接分部门增长表2"/>
      <sheetName val="2-20直接分部门增长表3"/>
      <sheetName val="2-21直接分部门增长表4"/>
      <sheetName val="2-22直接分部门增长表5"/>
      <sheetName val="2-23一般分部门增长表1"/>
      <sheetName val="2-24一般分部门增长表2"/>
      <sheetName val="2-25一般分部门增长表3"/>
      <sheetName val="2-26一般分部门增长表4"/>
      <sheetName val="2-27一般分部门增长表5"/>
      <sheetName val="2-28专项分部门增长表1"/>
      <sheetName val="2-29专项分部门增长表2"/>
      <sheetName val="2-30专项分部门增长表3"/>
      <sheetName val="2-31专项分部门增长表4"/>
      <sheetName val="2-32专项分部门增长表5"/>
      <sheetName val="2-33担保分部门增长表1"/>
      <sheetName val="2-34担保分部门增长表2"/>
      <sheetName val="2-35担保分部门增长表3"/>
      <sheetName val="2-36担保分部门增长表4"/>
      <sheetName val="2-37担保分部门增长表5"/>
      <sheetName val="4-1余额逾期"/>
      <sheetName val="4-2余额vs逾期图"/>
      <sheetName val="4-3余额逾期增长"/>
      <sheetName val="4-4余额逾期分级"/>
      <sheetName val="4-5直接逾期"/>
      <sheetName val="4-6直接逾期分级"/>
      <sheetName val="4-7担保逾期"/>
      <sheetName val="4-8担保逾期分级"/>
      <sheetName val="4-9当年逾期增减"/>
      <sheetName val="5-1余额来源表"/>
      <sheetName val="5-2余额来源比重表"/>
      <sheetName val="5-3余额来源增长表"/>
      <sheetName val="5-4余额来源构成图"/>
      <sheetName val="5-5余额来源情况图"/>
      <sheetName val="6-1当年收支平衡表"/>
      <sheetName val="6-2当年余额变动表"/>
      <sheetName val="6-3当年收入分部门表1"/>
      <sheetName val="6-3当年收入分部门表2"/>
      <sheetName val="6-4当年支出分部门表1"/>
      <sheetName val="6-4当年支出分部门表2"/>
      <sheetName val="6-5当年支出用途1"/>
      <sheetName val="6-5当年支出用途2"/>
      <sheetName val="6-6当年偿本付息表"/>
      <sheetName val="6-7偿还计划"/>
      <sheetName val="〇七年初"/>
      <sheetName val="县级表"/>
      <sheetName val="风险指标"/>
      <sheetName val="2006年末"/>
      <sheetName val="〇六年末整理"/>
      <sheetName val="年末"/>
      <sheetName val="基础表"/>
      <sheetName val="省级"/>
      <sheetName val="市级表"/>
      <sheetName val="编码"/>
      <sheetName val="图数据表"/>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Define"/>
      <sheetName val="2014年横排表"/>
      <sheetName val="01北京市"/>
      <sheetName val="02天津市"/>
      <sheetName val="03河北省"/>
      <sheetName val="04山西省"/>
      <sheetName val="05内蒙古"/>
      <sheetName val="06辽宁省"/>
      <sheetName val="06辽宁地区"/>
      <sheetName val="07大连市"/>
      <sheetName val="08吉林省"/>
      <sheetName val="09黑龙江"/>
      <sheetName val="10上海市"/>
      <sheetName val="11江苏省"/>
      <sheetName val="12浙江省"/>
      <sheetName val="12浙江地区"/>
      <sheetName val="13宁波市"/>
      <sheetName val="14安徽省"/>
      <sheetName val="15福建省"/>
      <sheetName val="15福建地区"/>
      <sheetName val="16厦门市"/>
      <sheetName val="17江西省"/>
      <sheetName val="18山东省"/>
      <sheetName val="18山东地区"/>
      <sheetName val="19青岛市"/>
      <sheetName val="20河南省"/>
      <sheetName val="21湖北省"/>
      <sheetName val="22湖南省"/>
      <sheetName val="23广东省"/>
      <sheetName val="23广东地区"/>
      <sheetName val="24深圳市"/>
      <sheetName val="25广西自治区"/>
      <sheetName val="26海南省"/>
      <sheetName val="27重庆市"/>
      <sheetName val="28四川省"/>
      <sheetName val="29贵州省"/>
      <sheetName val="30云南省"/>
      <sheetName val="31西藏自治区"/>
      <sheetName val="32陕西省"/>
      <sheetName val="33甘肃省"/>
      <sheetName val="34青海省"/>
      <sheetName val="35宁夏自治区"/>
      <sheetName val="36新疆自治区"/>
      <sheetName val="2014年平衡"/>
      <sheetName val="2014年补助"/>
      <sheetName val="2014年上解"/>
      <sheetName val="分县数据"/>
      <sheetName val="1-4余额表"/>
      <sheetName val="Chap5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区划对应表"/>
      <sheetName val="举借方式"/>
      <sheetName val="银行"/>
      <sheetName val="有效性列表"/>
      <sheetName val="00 目录"/>
      <sheetName val="公司债务项目情况表"/>
      <sheetName val="公司资产、在建项目情况表"/>
      <sheetName val="01个数"/>
      <sheetName val="02余额--汇总"/>
      <sheetName val="03来源--汇总"/>
      <sheetName val="04来源--省级"/>
      <sheetName val="05来源--市级"/>
      <sheetName val="06来源--县级"/>
      <sheetName val="08方式--省级"/>
      <sheetName val="09方式--市级"/>
      <sheetName val="10方式--县级"/>
      <sheetName val="07方式--汇总"/>
      <sheetName val="11资产负债--汇总"/>
      <sheetName val="12在建项目--汇总"/>
      <sheetName val="经费权重"/>
      <sheetName val="1-1余额表"/>
      <sheetName val="2-11担保分级表"/>
      <sheetName val="2-7一般分级表"/>
      <sheetName val="2-1余额分级表"/>
      <sheetName val="2-5直接分级表"/>
      <sheetName val="2-9专项分级表"/>
      <sheetName val="P1012001"/>
      <sheetName val="01北京市"/>
      <sheetName val="基础编码"/>
      <sheetName val="C01-1"/>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 val="人民银行"/>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0000000"/>
      <sheetName val="StartUp"/>
      <sheetName val="StartUp_2"/>
      <sheetName val="StartUp_3"/>
      <sheetName val="StartUp_4"/>
      <sheetName val="StartUp_5"/>
      <sheetName val="StartUp_6"/>
      <sheetName val="StartUp_7"/>
      <sheetName val="StartUp_8"/>
      <sheetName val="StartUp_9"/>
      <sheetName val="StartUp_10"/>
      <sheetName val="StartUp_11"/>
      <sheetName val="StartUp_12"/>
      <sheetName val="StartUp_13"/>
      <sheetName val="StartUp_14"/>
      <sheetName val="StartUp_15"/>
      <sheetName val="StartUp_16"/>
      <sheetName val="StartUp_17"/>
      <sheetName val="StartUp_18"/>
      <sheetName val="StartUp_19"/>
      <sheetName val="StartUp_20"/>
      <sheetName val="StartUp_21"/>
      <sheetName val="StartUp_22"/>
      <sheetName val="StartUp_23"/>
      <sheetName val="StartUp_24"/>
      <sheetName val="StartUp_25"/>
      <sheetName val="StartUp_26"/>
      <sheetName val="StartUp_27"/>
      <sheetName val="StartUp_28"/>
      <sheetName val="StartUp_29"/>
      <sheetName val="StartUp_30"/>
      <sheetName val="StartUp_31"/>
      <sheetName val="StartUp_32"/>
      <sheetName val="StartUp_33"/>
      <sheetName val="StartUp_34"/>
      <sheetName val="StartUp_35"/>
      <sheetName val="StartUp_36"/>
      <sheetName val="StartUp_37"/>
      <sheetName val="StartUp_38"/>
      <sheetName val="StartUp_39"/>
      <sheetName val="StartUp_40"/>
      <sheetName val="StartUp_41"/>
      <sheetName val="StartUp_42"/>
      <sheetName val="StartUp_43"/>
      <sheetName val="StartUp_44"/>
      <sheetName val="StartUp_45"/>
      <sheetName val="StartUp_46"/>
      <sheetName val="StartUp_47"/>
      <sheetName val="StartUp_48"/>
      <sheetName val="StartUp_49"/>
      <sheetName val="StartUp_50"/>
      <sheetName val="StartUp_51"/>
      <sheetName val="StartUp_52"/>
      <sheetName val="StartUp_53"/>
      <sheetName val="StartUp_54"/>
      <sheetName val="StartUp_55"/>
      <sheetName val="StartUp_56"/>
      <sheetName val="StartUp_57"/>
      <sheetName val="StartUp_58"/>
      <sheetName val="StartUp_59"/>
      <sheetName val="StartUp_60"/>
      <sheetName val="StartUp_61"/>
      <sheetName val="StartUp_62"/>
      <sheetName val="StartUp_63"/>
      <sheetName val="StartUp_64"/>
      <sheetName val="StartUp_65"/>
      <sheetName val="StartUp_66"/>
      <sheetName val="StartUp_67"/>
      <sheetName val="StartUp_68"/>
      <sheetName val="StartUp_69"/>
      <sheetName val="StartUp_70"/>
      <sheetName val="StartUp_71"/>
      <sheetName val="StartUp_72"/>
      <sheetName val="StartUp_73"/>
      <sheetName val="StartUp_74"/>
      <sheetName val="StartUp_75"/>
      <sheetName val="StartUp_76"/>
      <sheetName val="StartUp_77"/>
      <sheetName val="StartUp_78"/>
      <sheetName val="StartUp_79"/>
      <sheetName val="StartUp_80"/>
      <sheetName val="StartUp_81"/>
      <sheetName val="StartUp_82"/>
      <sheetName val="StartUp_83"/>
      <sheetName val="StartUp_84"/>
      <sheetName val="StartUp_85"/>
      <sheetName val="StartUp_86"/>
      <sheetName val="StartUp_87"/>
      <sheetName val="StartUp_88"/>
      <sheetName val="StartUp_89"/>
      <sheetName val="StartUp_90"/>
      <sheetName val="StartUp_91"/>
      <sheetName val="StartUp_92"/>
      <sheetName val="StartUp_93"/>
      <sheetName val="StartUp_94"/>
      <sheetName val="StartUp_95"/>
      <sheetName val="StartUp_96"/>
      <sheetName val="StartUp_97"/>
      <sheetName val="StartUp_98"/>
      <sheetName val="StartUp_99"/>
      <sheetName val="StartUp_100"/>
      <sheetName val="StartUp_101"/>
      <sheetName val="StartUp_102"/>
      <sheetName val="StartUp_103"/>
      <sheetName val="StartUp_104"/>
      <sheetName val="StartUp_105"/>
      <sheetName val="StartUp_106"/>
      <sheetName val="StartUp_107"/>
      <sheetName val="StartUp_108"/>
      <sheetName val="StartUp_109"/>
      <sheetName val="StartUp_110"/>
      <sheetName val="StartUp_111"/>
      <sheetName val="StartUp_112"/>
      <sheetName val="StartUp_113"/>
      <sheetName val="StartUp_114"/>
      <sheetName val="StartUp_115"/>
      <sheetName val="StartUp_116"/>
      <sheetName val="StartUp_117"/>
      <sheetName val="StartUp_118"/>
      <sheetName val="StartUp_119"/>
      <sheetName val="StartUp_120"/>
      <sheetName val="StartUp_121"/>
      <sheetName val="StartUp_122"/>
      <sheetName val="StartUp_123"/>
      <sheetName val="StartUp_124"/>
      <sheetName val="StartUp_125"/>
      <sheetName val="StartUp_126"/>
      <sheetName val="StartUp_127"/>
      <sheetName val="StartUp_128"/>
      <sheetName val="StartUp_129"/>
      <sheetName val="StartUp_130"/>
      <sheetName val="StartUp_131"/>
      <sheetName val="StartUp_132"/>
      <sheetName val="StartUp_133"/>
      <sheetName val="StartUp_134"/>
      <sheetName val="StartUp_135"/>
      <sheetName val="StartUp_136"/>
      <sheetName val="StartUp_137"/>
      <sheetName val="StartUp_138"/>
      <sheetName val="StartUp_139"/>
      <sheetName val="StartUp_140"/>
      <sheetName val="StartUp_141"/>
      <sheetName val="StartUp_142"/>
      <sheetName val="StartUp_143"/>
      <sheetName val="StartUp_144"/>
      <sheetName val="StartUp_145"/>
      <sheetName val="StartUp_146"/>
      <sheetName val="StartUp_147"/>
      <sheetName val="StartUp_148"/>
      <sheetName val="StartUp_149"/>
      <sheetName val="StartUp_150"/>
      <sheetName val="StartUp_151"/>
      <sheetName val="StartUp_152"/>
      <sheetName val="StartUp_153"/>
      <sheetName val="StartUp_154"/>
      <sheetName val="StartUp_155"/>
      <sheetName val="StartUp_156"/>
      <sheetName val="StartUp_157"/>
      <sheetName val="StartUp_158"/>
      <sheetName val="StartUp_159"/>
      <sheetName val="StartUp_160"/>
      <sheetName val="StartUp_161"/>
      <sheetName val="StartUp_162"/>
      <sheetName val="StartUp_163"/>
      <sheetName val="StartUp_164"/>
      <sheetName val="StartUp_165"/>
      <sheetName val="StartUp_166"/>
      <sheetName val="StartUp_167"/>
      <sheetName val="StartUp_168"/>
      <sheetName val="StartUp_169"/>
      <sheetName val="StartUp_170"/>
      <sheetName val="StartUp_171"/>
      <sheetName val="StartUp_172"/>
      <sheetName val="StartUp_173"/>
      <sheetName val="StartUp_174"/>
      <sheetName val="StartUp_175"/>
      <sheetName val="StartUp_176"/>
      <sheetName val="StartUp_177"/>
      <sheetName val="StartUp_178"/>
      <sheetName val="StartUp_179"/>
      <sheetName val="StartUp_180"/>
      <sheetName val="StartUp_181"/>
      <sheetName val="StartUp_182"/>
      <sheetName val="StartUp_183"/>
      <sheetName val="StartUp_184"/>
      <sheetName val="StartUp_185"/>
      <sheetName val="StartUp_186"/>
      <sheetName val="StartUp_187"/>
      <sheetName val="StartUp_188"/>
      <sheetName val="StartUp_189"/>
      <sheetName val="StartUp_190"/>
      <sheetName val="StartUp_191"/>
      <sheetName val="StartUp_192"/>
      <sheetName val="StartUp_193"/>
      <sheetName val="StartUp_194"/>
      <sheetName val="StartUp_195"/>
      <sheetName val="StartUp_196"/>
      <sheetName val="StartUp_197"/>
      <sheetName val="StartUp_198"/>
      <sheetName val="StartUp_199"/>
      <sheetName val="StartUp_200"/>
      <sheetName val="StartUp_201"/>
      <sheetName val="StartUp_202"/>
      <sheetName val="StartUp_203"/>
      <sheetName val="StartUp_204"/>
      <sheetName val="StartUp_205"/>
      <sheetName val="StartUp_206"/>
      <sheetName val="StartUp_207"/>
      <sheetName val="StartUp_208"/>
      <sheetName val="StartUp_209"/>
      <sheetName val="StartUp_210"/>
      <sheetName val="StartUp_211"/>
      <sheetName val="StartUp_212"/>
      <sheetName val="StartUp_213"/>
      <sheetName val="StartUp_214"/>
      <sheetName val="StartUp_215"/>
      <sheetName val="StartUp_216"/>
      <sheetName val="StartUp_217"/>
      <sheetName val="StartUp_218"/>
      <sheetName val="StartUp_219"/>
      <sheetName val="StartUp_220"/>
      <sheetName val="StartUp_221"/>
      <sheetName val="StartUp_222"/>
      <sheetName val="StartUp_223"/>
      <sheetName val="StartUp_224"/>
      <sheetName val="StartUp_225"/>
      <sheetName val="StartUp_226"/>
      <sheetName val="StartUp_227"/>
      <sheetName val="StartUp_228"/>
      <sheetName val="StartUp_229"/>
      <sheetName val="StartUp_230"/>
      <sheetName val="StartUp_231"/>
      <sheetName val="StartUp_232"/>
      <sheetName val="StartUp_233"/>
      <sheetName val="StartUp_234"/>
      <sheetName val="StartUp_235"/>
      <sheetName val="StartUp_236"/>
      <sheetName val="StartUp_237"/>
      <sheetName val="StartUp_238"/>
      <sheetName val="StartUp_239"/>
      <sheetName val="StartUp_240"/>
      <sheetName val="StartUp_241"/>
      <sheetName val="StartUp_242"/>
      <sheetName val="StartUp_243"/>
      <sheetName val="StartUp_244"/>
      <sheetName val="StartUp_245"/>
      <sheetName val="StartUp_246"/>
      <sheetName val="StartUp_247"/>
      <sheetName val="StartUp_248"/>
      <sheetName val="StartUp_249"/>
      <sheetName val="StartUp_250"/>
      <sheetName val="StartUp_251"/>
      <sheetName val="StartUp_252"/>
      <sheetName val="StartUp_253"/>
      <sheetName val="StartUp_254"/>
      <sheetName val="StartUp_255"/>
      <sheetName val="StartUp_256"/>
      <sheetName val="StartUp_257"/>
      <sheetName val="StartUp_258"/>
      <sheetName val="StartUp_259"/>
      <sheetName val="StartUp_260"/>
      <sheetName val="StartUp_261"/>
      <sheetName val="StartUp_262"/>
      <sheetName val="StartUp_263"/>
      <sheetName val="StartUp_264"/>
      <sheetName val="StartUp_265"/>
      <sheetName val="StartUp_266"/>
      <sheetName val="StartUp_267"/>
      <sheetName val="StartUp_268"/>
      <sheetName val="StartUp_269"/>
      <sheetName val="StartUp_270"/>
      <sheetName val="StartUp_271"/>
      <sheetName val="StartUp_272"/>
      <sheetName val="StartUp_273"/>
      <sheetName val="StartUp_274"/>
      <sheetName val="StartUp_275"/>
      <sheetName val="StartUp_276"/>
      <sheetName val="StartUp_277"/>
      <sheetName val="StartUp_278"/>
      <sheetName val="StartUp_279"/>
      <sheetName val="StartUp_280"/>
      <sheetName val="StartUp_281"/>
      <sheetName val="StartUp_282"/>
      <sheetName val="StartUp_283"/>
      <sheetName val="StartUp_284"/>
      <sheetName val="StartUp_285"/>
      <sheetName val="StartUp_286"/>
      <sheetName val="StartUp_287"/>
      <sheetName val="StartUp_288"/>
      <sheetName val="StartUp_289"/>
      <sheetName val="StartUp_290"/>
      <sheetName val="StartUp_291"/>
      <sheetName val="StartUp_292"/>
      <sheetName val="StartUp_293"/>
      <sheetName val="StartUp_294"/>
      <sheetName val="StartUp_295"/>
      <sheetName val="StartUp_296"/>
      <sheetName val="StartUp_297"/>
      <sheetName val="StartUp_298"/>
      <sheetName val="StartUp_299"/>
      <sheetName val="StartUp_300"/>
      <sheetName val="StartUp_301"/>
      <sheetName val="StartUp_302"/>
      <sheetName val="StartUp_303"/>
      <sheetName val="StartUp_304"/>
      <sheetName val="StartUp_305"/>
      <sheetName val="StartUp_306"/>
      <sheetName val="StartUp_307"/>
      <sheetName val="StartUp_308"/>
      <sheetName val="StartUp_309"/>
      <sheetName val="StartUp_310"/>
      <sheetName val="StartUp_311"/>
      <sheetName val="StartUp_312"/>
      <sheetName val="StartUp_313"/>
      <sheetName val="StartUp_314"/>
      <sheetName val="StartUp_315"/>
      <sheetName val="StartUp_316"/>
      <sheetName val="StartUp_317"/>
      <sheetName val="StartUp_318"/>
      <sheetName val="StartUp_319"/>
      <sheetName val="StartUp_320"/>
      <sheetName val="StartUp_321"/>
      <sheetName val="StartUp_322"/>
      <sheetName val="StartUp_323"/>
      <sheetName val="StartUp_324"/>
      <sheetName val="StartUp_325"/>
      <sheetName val="StartUp_326"/>
      <sheetName val="StartUp_327"/>
      <sheetName val="StartUp_328"/>
      <sheetName val="StartUp_329"/>
      <sheetName val="StartUp_330"/>
      <sheetName val="StartUp_331"/>
      <sheetName val="StartUp_332"/>
      <sheetName val="StartUp_333"/>
      <sheetName val="StartUp_334"/>
      <sheetName val="StartUp_335"/>
      <sheetName val="StartUp_336"/>
      <sheetName val="StartUp_337"/>
      <sheetName val="StartUp_338"/>
      <sheetName val="StartUp_339"/>
      <sheetName val="StartUp_340"/>
      <sheetName val="StartUp_341"/>
      <sheetName val="StartUp_342"/>
      <sheetName val="StartUp_343"/>
      <sheetName val="StartUp_344"/>
      <sheetName val="StartUp_345"/>
      <sheetName val="StartUp_346"/>
      <sheetName val="StartUp_347"/>
      <sheetName val="StartUp_348"/>
      <sheetName val="StartUp_349"/>
      <sheetName val="StartUp_350"/>
      <sheetName val="StartUp_351"/>
      <sheetName val="StartUp_352"/>
      <sheetName val="StartUp_353"/>
      <sheetName val="StartUp_354"/>
      <sheetName val="StartUp_355"/>
      <sheetName val="StartUp_356"/>
      <sheetName val="StartUp_357"/>
      <sheetName val="StartUp_358"/>
      <sheetName val="StartUp_359"/>
      <sheetName val="StartUp_360"/>
      <sheetName val="StartUp_361"/>
      <sheetName val="StartUp_362"/>
      <sheetName val="StartUp_363"/>
      <sheetName val="StartUp_364"/>
      <sheetName val="StartUp_365"/>
      <sheetName val="StartUp_366"/>
      <sheetName val="StartUp_367"/>
      <sheetName val="StartUp_368"/>
      <sheetName val="StartUp_369"/>
      <sheetName val="StartUp_370"/>
      <sheetName val="StartUp_371"/>
      <sheetName val="StartUp_372"/>
      <sheetName val="StartUp_373"/>
      <sheetName val="StartUp_374"/>
      <sheetName val="StartUp_375"/>
      <sheetName val="StartUp_376"/>
      <sheetName val="StartUp_377"/>
      <sheetName val="StartUp_378"/>
      <sheetName val="区划对应表"/>
      <sheetName val="四川-对账表"/>
      <sheetName val="核对表"/>
      <sheetName val="四川-对账表 (2)"/>
      <sheetName val="四月份月报"/>
      <sheetName val="C01-1"/>
      <sheetName val="有效性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代码对比表"/>
      <sheetName val="d"/>
      <sheetName val="data"/>
      <sheetName val="差异系数"/>
      <sheetName val="经费权重"/>
      <sheetName val="Total"/>
      <sheetName val="rkgm"/>
      <sheetName val="rkmj"/>
      <sheetName val="wdxs"/>
      <sheetName val="hbxs"/>
      <sheetName val="四月份月报"/>
      <sheetName val="国家"/>
      <sheetName val="P1012001"/>
      <sheetName val="Sheet1"/>
      <sheetName val="有效性列表"/>
      <sheetName val="区划对应表"/>
      <sheetName val="参数表"/>
      <sheetName val="分县数据"/>
      <sheetName val="公路里程"/>
      <sheetName val="人民银行"/>
      <sheetName val="01北京市"/>
      <sheetName val="L24"/>
      <sheetName val="中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录入13"/>
      <sheetName val="录入14"/>
      <sheetName val="合计"/>
      <sheetName val="分县数据"/>
      <sheetName val="P1012001"/>
      <sheetName val="区划对应表"/>
      <sheetName val="L24"/>
      <sheetName val="四月份月报"/>
      <sheetName val="经费权重"/>
      <sheetName val="国家"/>
      <sheetName val="总表"/>
      <sheetName val="Sheet1"/>
      <sheetName val="01北京市"/>
      <sheetName val="1-1余额表"/>
      <sheetName val="2-11担保分级表"/>
      <sheetName val="2-7一般分级表"/>
      <sheetName val="2-1余额分级表"/>
      <sheetName val="2-5直接分级表"/>
      <sheetName val="2-9专项分级表"/>
      <sheetName val="有效性列表"/>
      <sheetName val="公路里程"/>
      <sheetName val="中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L24"/>
      <sheetName val="1-4余额表"/>
      <sheetName val="中央"/>
      <sheetName val="分县数据"/>
      <sheetName val="四月份月报"/>
      <sheetName val="参数表"/>
      <sheetName val="C01-1"/>
      <sheetName val="经费权重"/>
      <sheetName val="国家"/>
      <sheetName val="区划对应表"/>
      <sheetName val="下拉选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填报说明"/>
      <sheetName val="表A 政府平台明细"/>
      <sheetName val="表B 保障性住房明细"/>
      <sheetName val="表C 汇总表"/>
      <sheetName val="表D 8月放款客户"/>
      <sheetName val="表E 修改备忘"/>
      <sheetName val="参数表"/>
      <sheetName val="Sheet1"/>
      <sheetName val="分县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C01-1"/>
      <sheetName val="Define"/>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中央"/>
      <sheetName val="_x005f_x005f_x005f_x0000__x005f"/>
      <sheetName val="_x005f_x005f_x005f_x005f_"/>
      <sheetName val="_x005f_x005f_x005f_x005f_x005f_x005f_x005f_x005f_x005f_x005f_"/>
      <sheetName val="Sheet1"/>
      <sheetName val="_x005f_x005f_x005f_x005f_x005f_x005f_x005f_x005f_"/>
      <sheetName val="有效性列表"/>
      <sheetName val="区划对应表"/>
      <sheetName val="L24"/>
      <sheetName val="人民银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2007"/>
      <sheetName val="2008"/>
      <sheetName val="第6行"/>
      <sheetName val="动态分析报表"/>
      <sheetName val="区划对应表"/>
      <sheetName val="中央"/>
      <sheetName val="P1012001"/>
      <sheetName val="C01-1"/>
      <sheetName val="Sheet1"/>
      <sheetName val="总表"/>
      <sheetName val="经费权重"/>
      <sheetName val="基础数据"/>
      <sheetName val="参数表"/>
      <sheetName val="国家"/>
      <sheetName val="分县数据"/>
      <sheetName val="1-1余额表"/>
      <sheetName val="2-11担保分级表"/>
      <sheetName val="2-7一般分级表"/>
      <sheetName val="2-1余额分级表"/>
      <sheetName val="2-5直接分级表"/>
      <sheetName val="2-9专项分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需要调整指标"/>
      <sheetName val="发文表数8296"/>
      <sheetName val="发文表数"/>
      <sheetName val="增长率"/>
      <sheetName val="总表"/>
      <sheetName val="标准收入"/>
      <sheetName val="标准支出"/>
      <sheetName val="转移支付系数"/>
      <sheetName val="困难程度系数"/>
      <sheetName val="奖励资金"/>
      <sheetName val="标准支出-对比"/>
      <sheetName val="特殊因素"/>
      <sheetName val="分省"/>
      <sheetName val="总人口人均"/>
      <sheetName val="分年分析"/>
      <sheetName val="2013总表"/>
      <sheetName val="2013收入"/>
      <sheetName val="2013支出"/>
      <sheetName val="少少数民族人口"/>
      <sheetName val="2012年平衡"/>
      <sheetName val="2012年补助"/>
      <sheetName val="2012年上解"/>
      <sheetName val="2012总表"/>
      <sheetName val="2012收入"/>
      <sheetName val="2012支出"/>
      <sheetName val="2010年平衡"/>
      <sheetName val="2010年补助"/>
      <sheetName val="2010年上解"/>
      <sheetName val="2011年平衡"/>
      <sheetName val="2011年补助"/>
      <sheetName val="2011年上解"/>
      <sheetName val="总表1"/>
      <sheetName val="标准支出 (2)"/>
      <sheetName val="2011年标准支出"/>
      <sheetName val="历年增长率"/>
      <sheetName val="困难程度系数 (2)"/>
      <sheetName val="P1012001"/>
      <sheetName val="L24"/>
      <sheetName val="有效性列表"/>
      <sheetName val="区划对应表"/>
      <sheetName val="基础数据"/>
      <sheetName val="中央"/>
      <sheetName val="2007"/>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tartUp"/>
      <sheetName val="区划对应表"/>
      <sheetName val="举借方式"/>
      <sheetName val="银行"/>
      <sheetName val="有效性列表"/>
      <sheetName val="00 目录"/>
      <sheetName val="封面"/>
      <sheetName val="公司债务项目情况表"/>
      <sheetName val="公司资产、在建项目情况表"/>
      <sheetName val="01个数"/>
      <sheetName val="02余额--汇总"/>
      <sheetName val="03来源--汇总"/>
      <sheetName val="04来源--省级"/>
      <sheetName val="05来源--市级"/>
      <sheetName val="06来源--县级"/>
      <sheetName val="07方式--汇总"/>
      <sheetName val="08方式--省级"/>
      <sheetName val="09方式--市级"/>
      <sheetName val="10方式--县级"/>
      <sheetName val="11资产负债--汇总"/>
      <sheetName val="12在建项目--汇总"/>
      <sheetName val="分县数据"/>
      <sheetName val="国家"/>
      <sheetName val="L24"/>
      <sheetName val="总表"/>
      <sheetName val="1-1余额表"/>
      <sheetName val="2-11担保分级表"/>
      <sheetName val="2-7一般分级表"/>
      <sheetName val="2-1余额分级表"/>
      <sheetName val="2-5直接分级表"/>
      <sheetName val="2-9专项分级表"/>
      <sheetName val="2007"/>
      <sheetName val="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Sheet1"/>
      <sheetName val="国家"/>
      <sheetName val="中央"/>
      <sheetName val="公路里程"/>
      <sheetName val="有效性列表"/>
      <sheetName val="区划对应表"/>
      <sheetName val="参数表"/>
      <sheetName val="总表"/>
      <sheetName val="工商税收"/>
      <sheetName val="D011H403"/>
      <sheetName val="_ESList"/>
      <sheetName val="事业发展"/>
      <sheetName val="P1012001"/>
      <sheetName val="DDETABLE "/>
      <sheetName val="基础编码"/>
      <sheetName val="2014"/>
      <sheetName val="XL4Poppy"/>
      <sheetName val=""/>
      <sheetName val="#REF!"/>
      <sheetName val="_x005f_x0000__x005f_x0000__x005f_x0000__x005f_x0000__x0"/>
      <sheetName val="_x005f_x005f_x005f_x0000__x005f_x005f_x005f_x0000__x005"/>
      <sheetName val="1-4余额表"/>
      <sheetName val="_x005f_x005f_x005f_x005f_x005f_x005f_x005f_x0000__x005f"/>
      <sheetName val="????????"/>
      <sheetName val="????_x0"/>
      <sheetName val="_x005f_x005f_x005f_x005f_x005f_x005f_x005f_x005f_x005f_x005f_"/>
      <sheetName val="________"/>
      <sheetName val="_____x0"/>
      <sheetName val="公检法司编制"/>
      <sheetName val="行政编制"/>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01 汇总表（下发数据内）"/>
      <sheetName val="02 项目统计表（下发数据内）"/>
      <sheetName val="01 汇总表（下发数据外）"/>
      <sheetName val="02 项目统计表（下发数据外）"/>
      <sheetName val="Sheet4"/>
      <sheetName val="基础数据"/>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区划对应表"/>
      <sheetName val="国家"/>
      <sheetName val="基础数据"/>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P1012001"/>
      <sheetName val="基础编码"/>
      <sheetName val="参数表"/>
      <sheetName val="2002年一般预算收入"/>
      <sheetName val="财政供养人员增幅"/>
      <sheetName val="工商税收"/>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2007"/>
      <sheetName val="农业人口"/>
      <sheetName val="本年收入合计"/>
      <sheetName val="事业发展"/>
      <sheetName val="基础数据"/>
      <sheetName val="1-4余额表"/>
      <sheetName val="Sheet1"/>
      <sheetName val="XL4Poppy"/>
      <sheetName val=""/>
      <sheetName val="_x005f_x0000__x005f_x0000__x005f_x0000__x005f_x0000__x0"/>
      <sheetName val="_x005f_x005f_x005f_x0000__x005f_x005f_x005f_x0000__x005"/>
      <sheetName val="20 运输公司"/>
      <sheetName val="_x005f_x005f_x005f_x005f_x005f_x005f_x005f_x0000__x005f"/>
      <sheetName val="市级专项格式"/>
      <sheetName val="经济科目"/>
      <sheetName val="维修租赁"/>
      <sheetName val="专项业务"/>
      <sheetName val="_x005f_x005f_x005f_x005f_x005f_x005f_x005f_x005f_x005f_x005f_"/>
      <sheetName val="行政区划"/>
      <sheetName val="POWER ASSUMPTIONS"/>
      <sheetName val="村级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图数据表"/>
      <sheetName val="1-1风险分析表"/>
      <sheetName val="1-2市级风险分析"/>
      <sheetName val="1-3风险分析"/>
      <sheetName val="1-4余额表"/>
      <sheetName val="1-5余额结构表"/>
      <sheetName val="1-6余额增长情况图"/>
      <sheetName val="1-7余额增长表一"/>
      <sheetName val="1-8余额增长表二"/>
      <sheetName val="1-9余额构成图"/>
      <sheetName val="1-10余额分布图"/>
      <sheetName val="1-11余额人均排序表"/>
      <sheetName val="1-12负债率表"/>
      <sheetName val="1-13债务率表"/>
      <sheetName val="1-14资金性质表"/>
      <sheetName val="1-15资金性质分级表一"/>
      <sheetName val="1-16资金性质分级表二"/>
      <sheetName val="1-17资金性质分级表三"/>
      <sheetName val="1-18直接债务资金性质表"/>
      <sheetName val="1-19担保债务资金性质表"/>
      <sheetName val="1-20资金性质增长表"/>
      <sheetName val="1-21资金性质分级增长表一"/>
      <sheetName val="1-22资金性质分级增长表二"/>
      <sheetName val="1-23资金性质分级增长表三"/>
      <sheetName val="1-24直接债务资金性质增长表"/>
      <sheetName val="1-25担保债务资金性质增长表"/>
      <sheetName val="2-1余额分级表"/>
      <sheetName val="2-2余额分级增长表1"/>
      <sheetName val="2-3余额分级增长表2"/>
      <sheetName val="2-4直接分级表"/>
      <sheetName val="2-5直接分级增长表"/>
      <sheetName val="2-6担保分级表"/>
      <sheetName val="2-7担保分级增长表"/>
      <sheetName val="2-8余额分部门1"/>
      <sheetName val="2-9余额分部门2"/>
      <sheetName val="2-10余额分部门增长图"/>
      <sheetName val="2-11余额分部门增长表1"/>
      <sheetName val="2-12余额分部门增长表2"/>
      <sheetName val="2-13余额分部门增长表3"/>
      <sheetName val="2-14余额分部门增长表4"/>
      <sheetName val="2-15余额分部门增长表5"/>
      <sheetName val="2-16直接分部门1"/>
      <sheetName val="2-17直接分部门2"/>
      <sheetName val="2-18直接分部门增长表1"/>
      <sheetName val="2-19直接分部门增长表2"/>
      <sheetName val="2-20直接分部门增长表3"/>
      <sheetName val="2-21直接分部门增长表4"/>
      <sheetName val="2-22直接分部门增长表5"/>
      <sheetName val="2-23担保分部门1"/>
      <sheetName val="2-24担保分部门2"/>
      <sheetName val="2-25担保分部门增长表1"/>
      <sheetName val="2-26担保分部门增长表2"/>
      <sheetName val="2-27担保分部门增长表3"/>
      <sheetName val="2-28担保分部门增长表4"/>
      <sheetName val="2-29担保分部门增长表5"/>
      <sheetName val="2-13余额分部门增长表1 (机关)"/>
      <sheetName val="2-14余额分部门增长表2 (机关)"/>
      <sheetName val="2-15余额分部门增长表3 (机关)"/>
      <sheetName val="2-16余额分部门增长表4 (机关)"/>
      <sheetName val="2-17余额分部门增长表5 (机关)"/>
      <sheetName val="2-18直接分部门增长表1 (机关)"/>
      <sheetName val="2-19直接分部门增长表2 (机关)"/>
      <sheetName val="2-20直接分部门增长表3 (机关)"/>
      <sheetName val="2-21直接分部门增长表4 (机关)"/>
      <sheetName val="2-22直接分部门增长表5 (机关)"/>
      <sheetName val="2-33担保分部门增长表1 (机关)"/>
      <sheetName val="2-34担保分部门增长表2 (机关)"/>
      <sheetName val="2-35担保分部门增长表3 (机关)"/>
      <sheetName val="2-36担保分部门增长表4 (机关)"/>
      <sheetName val="2-37担保分部门增长表5 (机关)"/>
      <sheetName val="余额直接_机关"/>
      <sheetName val="余额担保_机关"/>
      <sheetName val="2-13余额分部门增长表1 (事业)"/>
      <sheetName val="2-14余额分部门增长表2 (事业)"/>
      <sheetName val="2-15余额分部门增长表3 (事业)"/>
      <sheetName val="2-16余额分部门增长表4 (事业)"/>
      <sheetName val="2-17余额分部门增长表5 (事业)"/>
      <sheetName val="2-18直接分部门增长表1 (事业)"/>
      <sheetName val="2-19直接分部门增长表2 (事业)"/>
      <sheetName val="2-20直接分部门增长表3 (事业)"/>
      <sheetName val="2-21直接分部门增长表4 (事业)"/>
      <sheetName val="2-22直接分部门增长表5 (事业)"/>
      <sheetName val="2-33担保分部门增长表1 (事业)"/>
      <sheetName val="2-34担保分部门增长表2 (事业)"/>
      <sheetName val="2-35担保分部门增长表3 (事业)"/>
      <sheetName val="2-36担保分部门增长表4 (事业)"/>
      <sheetName val="2-37担保分部门增长表5 (事业)"/>
      <sheetName val="余额直接_事业"/>
      <sheetName val="余额担保_事业"/>
      <sheetName val="2-13余额分部门增长表1 (融资平台公司)"/>
      <sheetName val="2-14余额分部门增长表2 (融资平台公司)"/>
      <sheetName val="2-15余额分部门增长表3 (融资平台公司)"/>
      <sheetName val="2-16余额分部门增长表4 (融资平台公司)"/>
      <sheetName val="2-17余额分部门增长表5 (融资平台公司)"/>
      <sheetName val="2-18直接分部门增长表1 (融资平台公司)"/>
      <sheetName val="2-19直接分部门增长表2 (融资平台公司)"/>
      <sheetName val="2-20直接分部门增长表3 (融资平台公司)"/>
      <sheetName val="2-21直接分部门增长表4 (融资平台公司)"/>
      <sheetName val="2-22直接分部门增长表5 (融资平台公司)"/>
      <sheetName val="2-33担保分部门增长表1 (融资平台公司)"/>
      <sheetName val="2-34担保分部门增长表2 (融资平台公司)"/>
      <sheetName val="2-35担保分部门增长表3 (融资平台公司)"/>
      <sheetName val="2-36担保分部门增长表4 (融资平台公司)"/>
      <sheetName val="2-37担保分部门增长表5 (融资平台公司)"/>
      <sheetName val="余额直接_融资平台公司"/>
      <sheetName val="余额担保_融资平台公司"/>
      <sheetName val="3-1机关余额分部门1"/>
      <sheetName val="3-1机关余额分部门2"/>
      <sheetName val="3-3机关直接分部门1"/>
      <sheetName val="3-3机关直接分部门2"/>
      <sheetName val="3-7机关担保分部门1"/>
      <sheetName val="3-7机关担保分部门2"/>
      <sheetName val="3-1事业余额分部门1"/>
      <sheetName val="3-1事业余额分部门"/>
      <sheetName val="3-3事业直接分部门1"/>
      <sheetName val="3-3事业直接分部门2"/>
      <sheetName val="3-7事业担保分部门1"/>
      <sheetName val="3-7事业担保分部门2"/>
      <sheetName val="3-1_融资平台公司余额分部门1"/>
      <sheetName val="3-1_融资平台公司余额分部门"/>
      <sheetName val="3-3_融资平台公司直接分部门1"/>
      <sheetName val="3-3_融资平台公司直接分部门2"/>
      <sheetName val="3-7_融资平台公司担保分部门1"/>
      <sheetName val="3-7_融资平台公司担保分部门2"/>
      <sheetName val="4-1余额来源表"/>
      <sheetName val="4-2余额来源比重表"/>
      <sheetName val="4-3余额来源增长表"/>
      <sheetName val="(来源)债务债权－机关"/>
      <sheetName val="(来源)债务债权－事业单位"/>
      <sheetName val="(来源)债务债权-融资平台公司"/>
      <sheetName val="(余额)年初-年末"/>
      <sheetName val="4-4来源构成图"/>
      <sheetName val="4-5来源构成图(银行存款)"/>
      <sheetName val="4-6来源情况图"/>
      <sheetName val="5-1当年收支平衡表"/>
      <sheetName val="5-2当年余额变动表"/>
      <sheetName val="5-3当年收入分部门表1"/>
      <sheetName val="5-4当年收入分部门表2"/>
      <sheetName val="5-5当年支出分部门表1"/>
      <sheetName val="5-6当年支出分部门表2"/>
      <sheetName val="5-7当年支出用途1"/>
      <sheetName val="5-8当年支出用途2"/>
      <sheetName val="5-7当年支出用途"/>
      <sheetName val="5-7当年支出用途1 (省)"/>
      <sheetName val="5-8当年支出用途2 (省)"/>
      <sheetName val="5-7当年支出用途1 (市)"/>
      <sheetName val="5-8当年支出用途2 (市)"/>
      <sheetName val="5-7当年支出用途1 (县)"/>
      <sheetName val="5-8当年支出用途2 (县)"/>
      <sheetName val="5-9当年偿本付息表"/>
      <sheetName val="5-10偿还来源结构"/>
      <sheetName val="5-11偿还计划"/>
      <sheetName val="6-1历年来政府性债务统计情况"/>
      <sheetName val="6-2历年来总额分地区"/>
      <sheetName val="6-3历年来直接债务分地区"/>
      <sheetName val="6-4历年来担保债务分地区"/>
      <sheetName val="6-5历年来债务（省级）"/>
      <sheetName val="6-6历年来债务（市级）"/>
      <sheetName val="6-7历年来债务（县级）"/>
      <sheetName val="6-8历年来债务（乡镇）"/>
      <sheetName val="6-9历年来债务分来源表1（金融机构）"/>
      <sheetName val="6-10历年来债务分来源表2（上级财政）"/>
      <sheetName val="6-11历年来债务分来源表3（其他）"/>
      <sheetName val="6-12历年来人均债务排序表"/>
      <sheetName val="6-13历年来各地区负债率表"/>
      <sheetName val="6-14历年来各地区债务率表"/>
      <sheetName val="6-15历年来逾期债务表"/>
      <sheetName val="6-16历年来逾期率表"/>
      <sheetName val="人民银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封面"/>
      <sheetName val="目录"/>
      <sheetName val="逻辑关系图"/>
      <sheetName val="1-1余额表"/>
      <sheetName val="1-2余额结构表"/>
      <sheetName val="1-3余额增长表一"/>
      <sheetName val="1-4余额增长表二"/>
      <sheetName val="1-5余额增长表三"/>
      <sheetName val="1-6余额构成图"/>
      <sheetName val="1-7余额分布图"/>
      <sheetName val="1-8余额人均排序表"/>
      <sheetName val="1-9负债率表"/>
      <sheetName val="财力"/>
      <sheetName val="1-10债务率表"/>
      <sheetName val="2-1余额分级表"/>
      <sheetName val="2-2余额分级图"/>
      <sheetName val="2-3余额分级增长表1"/>
      <sheetName val="2-4余额分级增长表2"/>
      <sheetName val="2-5直接分级表"/>
      <sheetName val="2-6直接分级增长表"/>
      <sheetName val="2-7一般分级表"/>
      <sheetName val="2-8一般分级增长表"/>
      <sheetName val="2-9专项分级表"/>
      <sheetName val="2-10专项分级增长表"/>
      <sheetName val="2-11担保分级表"/>
      <sheetName val="2-12担保分级增长表"/>
      <sheetName val="3-1余额分部门1"/>
      <sheetName val="3-1余额分部门2"/>
      <sheetName val="3-2余额分部门比重1"/>
      <sheetName val="3-2余额分部门比重2"/>
      <sheetName val="3-3直接分部门1"/>
      <sheetName val="3-3直接分部门2"/>
      <sheetName val="3-4直接分部门比重1"/>
      <sheetName val="3-4直接分部门比重2"/>
      <sheetName val="3-5一般分部门1"/>
      <sheetName val="3-5一般分部门2"/>
      <sheetName val="3-6专项分部门1"/>
      <sheetName val="3-6专项分部门2"/>
      <sheetName val="3-7担保分部门1"/>
      <sheetName val="3-7担保分部门2"/>
      <sheetName val="2-13余额分部门增长表1"/>
      <sheetName val="2-14余额分部门增长表2"/>
      <sheetName val="2-15余额分部门增长表3"/>
      <sheetName val="2-16余额分部门增长表4"/>
      <sheetName val="2-17余额分部门增长表5"/>
      <sheetName val="2-18直接分部门增长表1"/>
      <sheetName val="2-19直接分部门增长表2"/>
      <sheetName val="2-20直接分部门增长表3"/>
      <sheetName val="2-21直接分部门增长表4"/>
      <sheetName val="2-22直接分部门增长表5"/>
      <sheetName val="2-23一般分部门增长表1"/>
      <sheetName val="2-24一般分部门增长表2"/>
      <sheetName val="2-25一般分部门增长表3"/>
      <sheetName val="2-26一般分部门增长表4"/>
      <sheetName val="2-27一般分部门增长表5"/>
      <sheetName val="2-28专项分部门增长表1"/>
      <sheetName val="2-29专项分部门增长表2"/>
      <sheetName val="2-30专项分部门增长表3"/>
      <sheetName val="2-31专项分部门增长表4"/>
      <sheetName val="2-32专项分部门增长表5"/>
      <sheetName val="2-33担保分部门增长表1"/>
      <sheetName val="2-34担保分部门增长表2"/>
      <sheetName val="2-35担保分部门增长表3"/>
      <sheetName val="2-36担保分部门增长表4"/>
      <sheetName val="2-37担保分部门增长表5"/>
      <sheetName val="4-1余额逾期"/>
      <sheetName val="4-2余额vs逾期图"/>
      <sheetName val="4-3余额逾期增长"/>
      <sheetName val="4-4余额逾期分级"/>
      <sheetName val="4-5直接逾期"/>
      <sheetName val="4-6直接逾期分级"/>
      <sheetName val="4-7担保逾期"/>
      <sheetName val="4-8担保逾期分级"/>
      <sheetName val="4-9当年逾期增减"/>
      <sheetName val="5-1余额来源表"/>
      <sheetName val="5-2余额来源比重表"/>
      <sheetName val="5-3余额来源增长表"/>
      <sheetName val="5-4余额来源构成图"/>
      <sheetName val="5-5余额来源情况图"/>
      <sheetName val="6-1当年收支平衡表"/>
      <sheetName val="6-2当年余额变动表"/>
      <sheetName val="6-3当年收入分部门表1"/>
      <sheetName val="6-3当年收入分部门表2"/>
      <sheetName val="6-4当年支出分部门表1"/>
      <sheetName val="6-4当年支出分部门表2"/>
      <sheetName val="6-5当年支出用途1"/>
      <sheetName val="6-5当年支出用途2"/>
      <sheetName val="6-6当年偿本付息表"/>
      <sheetName val="6-7偿还计划"/>
      <sheetName val="〇七年初"/>
      <sheetName val="县级表"/>
      <sheetName val="风险指标"/>
      <sheetName val="2006年末"/>
      <sheetName val="〇六年末整理"/>
      <sheetName val="年末"/>
      <sheetName val="基础表"/>
      <sheetName val="省级"/>
      <sheetName val="市级表"/>
      <sheetName val="编码"/>
      <sheetName val="图数据表"/>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Define"/>
      <sheetName val="2014年横排表"/>
      <sheetName val="01北京市"/>
      <sheetName val="02天津市"/>
      <sheetName val="03河北省"/>
      <sheetName val="04山西省"/>
      <sheetName val="05内蒙古"/>
      <sheetName val="06辽宁省"/>
      <sheetName val="06辽宁地区"/>
      <sheetName val="07大连市"/>
      <sheetName val="08吉林省"/>
      <sheetName val="09黑龙江"/>
      <sheetName val="10上海市"/>
      <sheetName val="11江苏省"/>
      <sheetName val="12浙江省"/>
      <sheetName val="12浙江地区"/>
      <sheetName val="13宁波市"/>
      <sheetName val="14安徽省"/>
      <sheetName val="15福建省"/>
      <sheetName val="15福建地区"/>
      <sheetName val="16厦门市"/>
      <sheetName val="17江西省"/>
      <sheetName val="18山东省"/>
      <sheetName val="18山东地区"/>
      <sheetName val="19青岛市"/>
      <sheetName val="20河南省"/>
      <sheetName val="21湖北省"/>
      <sheetName val="22湖南省"/>
      <sheetName val="23广东省"/>
      <sheetName val="23广东地区"/>
      <sheetName val="24深圳市"/>
      <sheetName val="25广西自治区"/>
      <sheetName val="26海南省"/>
      <sheetName val="27重庆市"/>
      <sheetName val="28四川省"/>
      <sheetName val="29贵州省"/>
      <sheetName val="30云南省"/>
      <sheetName val="31西藏自治区"/>
      <sheetName val="32陕西省"/>
      <sheetName val="33甘肃省"/>
      <sheetName val="34青海省"/>
      <sheetName val="35宁夏自治区"/>
      <sheetName val="36新疆自治区"/>
      <sheetName val="2014年平衡"/>
      <sheetName val="2014年补助"/>
      <sheetName val="2014年上解"/>
      <sheetName val="分县数据"/>
      <sheetName val="1-4余额表"/>
      <sheetName val="Chap5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人民银行"/>
      <sheetName val="银监部门"/>
      <sheetName val="财政部门"/>
      <sheetName val="三方对账表"/>
      <sheetName val="三方对账表 (2)"/>
      <sheetName val="三方对账表 (3)"/>
      <sheetName val="Sheet1"/>
      <sheetName val="下拉选项"/>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1.2020年地方政府新增债券需求情况汇总表"/>
      <sheetName val="提前批"/>
      <sheetName val="第2批一般债券"/>
      <sheetName val="第2批专项债券"/>
      <sheetName val="项目类型1"/>
      <sheetName val="第2批专项债券（简表）"/>
      <sheetName val="DB"/>
      <sheetName val="db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chap5_4"/>
      <sheetName val="chap5_3"/>
      <sheetName val="chap5_2"/>
      <sheetName val="Chap5_1"/>
    </sheetNames>
    <sheetDataSet>
      <sheetData sheetId="0" refreshError="1"/>
      <sheetData sheetId="1" refreshError="1"/>
      <sheetData sheetId="2" refreshError="1"/>
      <sheetData sheetId="3"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01 汇总表（下发数据内）"/>
      <sheetName val="02 项目统计表（下发数据内）"/>
      <sheetName val="01 汇总表（下发数据外）"/>
      <sheetName val="02 项目统计表（下发数据外）"/>
      <sheetName val="Sheet4"/>
      <sheetName val="基础数据"/>
      <sheetName val="Chap5_1"/>
      <sheetName val="1-4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2007"/>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封面"/>
      <sheetName val="（附表1）公共财政预算收入"/>
      <sheetName val="（附表2）公共预算支出科目"/>
      <sheetName val="（附表3）公共预算支出项目"/>
      <sheetName val="（附表4）财力性补助"/>
      <sheetName val="（附表5）政府性基金预算收入科目"/>
      <sheetName val="（附表6）政府性基金预算收入项目"/>
      <sheetName val="（附表7）政府性基金支出科目"/>
      <sheetName val="（附表8）政府性基金预算支出项目"/>
      <sheetName val="（附表9）社会保险基金收入表"/>
      <sheetName val="（附表10）社会保险基金支出表"/>
      <sheetName val="（附表11）新增债券资金用途"/>
      <sheetName val="1-1余额表"/>
      <sheetName val="2-11担保分级表"/>
      <sheetName val="2-7一般分级表"/>
      <sheetName val="2-1余额分级表"/>
      <sheetName val="2-5直接分级表"/>
      <sheetName val="2-9专项分级表"/>
      <sheetName val="01北京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Kx"/>
      <sheetName val="C01-1"/>
      <sheetName val="P1012001"/>
      <sheetName val="表二"/>
      <sheetName val="表五"/>
      <sheetName val="2012.2.2 (整合)"/>
      <sheetName val="2012.2.2"/>
      <sheetName val="全市结转"/>
      <sheetName val="提前告知数"/>
      <sheetName val="2012年财力"/>
      <sheetName val="类型"/>
      <sheetName val="人民银行"/>
      <sheetName val="中央"/>
      <sheetName val="2007"/>
      <sheetName val="#REF"/>
      <sheetName val="四月份月报"/>
      <sheetName val="单位编码"/>
      <sheetName val="DDETABLE "/>
      <sheetName val="Sheet2"/>
      <sheetName val="下拉选项"/>
      <sheetName val="经费权重"/>
      <sheetName val="mmm"/>
      <sheetName val="人员支出"/>
      <sheetName val="Financ. Overview"/>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表4"/>
      <sheetName val="表5"/>
      <sheetName val="表6"/>
      <sheetName val="项目类型"/>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1012001"/>
      <sheetName val="有效性列表"/>
      <sheetName val="区划对应表"/>
      <sheetName val="项目类型"/>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Sheet3"/>
      <sheetName val="各年度收费、罚没、专项收入.xls_Sheet3"/>
      <sheetName val="区划对应表"/>
      <sheetName val="1-4余额表"/>
      <sheetName val="表二"/>
      <sheetName val="表五"/>
      <sheetName val="2012.2.2 (整合)"/>
      <sheetName val="2012.2.2"/>
      <sheetName val="全市结转"/>
      <sheetName val="提前告知数"/>
      <sheetName val="总人口"/>
      <sheetName val="基础编码"/>
      <sheetName val="省本级收入预计"/>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差异系数"/>
      <sheetName val="data"/>
      <sheetName val="Financ. Overview"/>
      <sheetName val="Toolbox"/>
      <sheetName val="Main"/>
      <sheetName val="_ESList"/>
      <sheetName val="一般预算收入"/>
      <sheetName val="表二 汇总表（业务处填）"/>
      <sheetName val="KKKKKKKK"/>
      <sheetName val="农业人口"/>
      <sheetName val="Open"/>
      <sheetName val="事业发展"/>
      <sheetName val="公检法司编制"/>
      <sheetName val="行政编制"/>
      <sheetName val="人民银行"/>
      <sheetName val="2009"/>
      <sheetName val="GDP"/>
      <sheetName val="本年收入合计"/>
      <sheetName val="财政部和发改委范围"/>
      <sheetName val="POWER ASSUMPTIONS"/>
      <sheetName val="2007"/>
      <sheetName val="国家"/>
      <sheetName val="分类"/>
      <sheetName val="市级专项格式"/>
      <sheetName val="1-1余额表"/>
      <sheetName val="2-11担保分级表"/>
      <sheetName val="2-7一般分级表"/>
      <sheetName val="2-1余额分级表"/>
      <sheetName val="2-5直接分级表"/>
      <sheetName val="2-9专项分级表"/>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封面"/>
      <sheetName val="表1"/>
      <sheetName val="表2"/>
      <sheetName val="表3"/>
      <sheetName val="表4"/>
      <sheetName val="表5"/>
      <sheetName val="表6"/>
      <sheetName val="Sheet1"/>
      <sheetName val="项目类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8"/>
  <sheetViews>
    <sheetView view="pageBreakPreview" zoomScaleNormal="100" workbookViewId="0">
      <selection activeCell="A2" sqref="A2:C2"/>
    </sheetView>
  </sheetViews>
  <sheetFormatPr defaultColWidth="9" defaultRowHeight="14.25"/>
  <cols>
    <col min="1" max="5" width="9" style="86"/>
    <col min="6" max="6" width="12.625" style="86" customWidth="1"/>
    <col min="7" max="7" width="27" style="86"/>
    <col min="8" max="8" width="9" style="86"/>
    <col min="9" max="9" width="9.75" style="86" customWidth="1"/>
    <col min="10" max="16384" width="9" style="86"/>
  </cols>
  <sheetData>
    <row r="2" ht="20.25" spans="1:10">
      <c r="A2" s="423"/>
      <c r="B2" s="423"/>
      <c r="C2" s="423"/>
      <c r="D2" s="424"/>
      <c r="E2" s="424"/>
      <c r="F2" s="424"/>
      <c r="G2" s="424"/>
      <c r="H2" s="424"/>
      <c r="I2" s="424"/>
      <c r="J2" s="424"/>
    </row>
    <row r="3" ht="20.25" spans="3:10">
      <c r="C3" s="424"/>
      <c r="D3" s="424"/>
      <c r="E3" s="424"/>
      <c r="F3" s="424"/>
      <c r="G3" s="424"/>
      <c r="H3" s="424"/>
      <c r="I3" s="424"/>
      <c r="J3" s="424"/>
    </row>
    <row r="4" ht="20.25" spans="3:10">
      <c r="C4" s="424"/>
      <c r="D4" s="424"/>
      <c r="E4" s="424"/>
      <c r="F4" s="424"/>
      <c r="G4" s="424"/>
      <c r="H4" s="424"/>
      <c r="I4" s="424"/>
      <c r="J4" s="424"/>
    </row>
    <row r="5" ht="20.25" spans="3:12">
      <c r="C5" s="424"/>
      <c r="D5" s="424"/>
      <c r="E5" s="424"/>
      <c r="F5" s="424"/>
      <c r="G5" s="424"/>
      <c r="H5" s="424"/>
      <c r="I5" s="424"/>
      <c r="L5" s="424"/>
    </row>
    <row r="8" ht="35.25" spans="1:12">
      <c r="A8" s="425" t="s">
        <v>0</v>
      </c>
      <c r="B8" s="425"/>
      <c r="C8" s="425"/>
      <c r="D8" s="425"/>
      <c r="E8" s="425"/>
      <c r="F8" s="425"/>
      <c r="G8" s="425"/>
      <c r="H8" s="425"/>
      <c r="I8" s="425"/>
      <c r="J8" s="425"/>
      <c r="K8" s="425"/>
      <c r="L8" s="428"/>
    </row>
    <row r="15" ht="20.25" spans="1:12">
      <c r="A15" s="426" t="s">
        <v>1</v>
      </c>
      <c r="B15" s="426"/>
      <c r="C15" s="426"/>
      <c r="D15" s="426"/>
      <c r="E15" s="426"/>
      <c r="F15" s="426"/>
      <c r="G15" s="426"/>
      <c r="H15" s="426"/>
      <c r="I15" s="426"/>
      <c r="J15" s="426"/>
      <c r="K15" s="426"/>
      <c r="L15" s="424"/>
    </row>
    <row r="16" ht="20.25" spans="3:8">
      <c r="C16" s="424"/>
      <c r="D16" s="424"/>
      <c r="E16" s="424"/>
      <c r="F16" s="427"/>
      <c r="G16" s="424"/>
      <c r="H16" s="424"/>
    </row>
    <row r="17" ht="20.25" spans="3:8">
      <c r="C17" s="424"/>
      <c r="D17" s="424"/>
      <c r="E17" s="424"/>
      <c r="F17" s="427"/>
      <c r="G17" s="424"/>
      <c r="H17" s="424"/>
    </row>
    <row r="18" ht="20.25" spans="1:12">
      <c r="A18" s="426" t="s">
        <v>2</v>
      </c>
      <c r="B18" s="426"/>
      <c r="C18" s="426"/>
      <c r="D18" s="426"/>
      <c r="E18" s="426"/>
      <c r="F18" s="426"/>
      <c r="G18" s="426"/>
      <c r="H18" s="426"/>
      <c r="I18" s="426"/>
      <c r="J18" s="426"/>
      <c r="K18" s="426"/>
      <c r="L18" s="424"/>
    </row>
  </sheetData>
  <mergeCells count="4">
    <mergeCell ref="A2:C2"/>
    <mergeCell ref="A8:K8"/>
    <mergeCell ref="A15:K15"/>
    <mergeCell ref="A18:K18"/>
  </mergeCells>
  <printOptions horizontalCentered="1"/>
  <pageMargins left="0.786805555555556" right="0.786805555555556" top="0.786805555555556" bottom="0.786805555555556" header="0.196527777777778" footer="0.196527777777778"/>
  <pageSetup paperSize="9" scale="93"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9"/>
  <sheetViews>
    <sheetView view="pageBreakPreview" zoomScaleNormal="80" workbookViewId="0">
      <pane ySplit="5" topLeftCell="A179" activePane="bottomLeft" state="frozen"/>
      <selection/>
      <selection pane="bottomLeft" activeCell="A3" sqref="A3"/>
    </sheetView>
  </sheetViews>
  <sheetFormatPr defaultColWidth="9" defaultRowHeight="30" customHeight="1"/>
  <cols>
    <col min="1" max="1" width="8.625" style="101" customWidth="1"/>
    <col min="2" max="2" width="10.625" style="101" hidden="1" customWidth="1"/>
    <col min="3" max="3" width="20.625" style="102" customWidth="1"/>
    <col min="4" max="4" width="65.625" style="102" customWidth="1"/>
    <col min="5" max="5" width="15.625" style="103" hidden="1" customWidth="1"/>
    <col min="6" max="6" width="15.625" style="104" hidden="1" customWidth="1"/>
    <col min="7" max="8" width="15.625" style="105" hidden="1" customWidth="1"/>
    <col min="9" max="9" width="15.625" style="105" customWidth="1"/>
    <col min="10" max="10" width="15.625" style="105" hidden="1" customWidth="1"/>
    <col min="11" max="13" width="15.625" style="105" customWidth="1"/>
    <col min="14" max="14" width="60.625" style="106" customWidth="1"/>
    <col min="15" max="15" width="9" style="95" customWidth="1"/>
    <col min="16" max="16" width="12.625" style="95" customWidth="1"/>
    <col min="17" max="17" width="9.25" style="95" customWidth="1"/>
    <col min="18" max="16382" width="9" style="95"/>
    <col min="16383" max="16384" width="9" style="107"/>
  </cols>
  <sheetData>
    <row r="1" ht="20" customHeight="1" spans="1:1">
      <c r="A1" s="108" t="s">
        <v>1824</v>
      </c>
    </row>
    <row r="2" customHeight="1" spans="1:14">
      <c r="A2" s="80" t="s">
        <v>1825</v>
      </c>
      <c r="B2" s="80"/>
      <c r="C2" s="109"/>
      <c r="D2" s="80"/>
      <c r="E2" s="110"/>
      <c r="F2" s="110"/>
      <c r="G2" s="110"/>
      <c r="H2" s="110"/>
      <c r="I2" s="110"/>
      <c r="J2" s="110"/>
      <c r="K2" s="110"/>
      <c r="L2" s="110"/>
      <c r="M2" s="110"/>
      <c r="N2" s="80"/>
    </row>
    <row r="3" s="95" customFormat="1" ht="20" customHeight="1" spans="1:14">
      <c r="A3" s="111"/>
      <c r="B3" s="111"/>
      <c r="C3" s="111"/>
      <c r="D3" s="112"/>
      <c r="E3" s="113"/>
      <c r="F3" s="113"/>
      <c r="G3" s="113"/>
      <c r="H3" s="114" t="s">
        <v>24</v>
      </c>
      <c r="I3" s="114"/>
      <c r="J3" s="114"/>
      <c r="K3" s="114"/>
      <c r="L3" s="114"/>
      <c r="M3" s="114"/>
      <c r="N3" s="129" t="s">
        <v>24</v>
      </c>
    </row>
    <row r="4" s="96" customFormat="1" customHeight="1" spans="1:17">
      <c r="A4" s="39" t="s">
        <v>588</v>
      </c>
      <c r="B4" s="38" t="s">
        <v>589</v>
      </c>
      <c r="C4" s="38" t="s">
        <v>590</v>
      </c>
      <c r="D4" s="38" t="s">
        <v>591</v>
      </c>
      <c r="E4" s="115" t="s">
        <v>1585</v>
      </c>
      <c r="F4" s="115" t="s">
        <v>594</v>
      </c>
      <c r="G4" s="115"/>
      <c r="H4" s="115" t="s">
        <v>26</v>
      </c>
      <c r="I4" s="130" t="s">
        <v>592</v>
      </c>
      <c r="J4" s="131" t="s">
        <v>1826</v>
      </c>
      <c r="K4" s="132" t="s">
        <v>594</v>
      </c>
      <c r="L4" s="133"/>
      <c r="M4" s="134" t="s">
        <v>28</v>
      </c>
      <c r="N4" s="38" t="s">
        <v>30</v>
      </c>
      <c r="O4" s="38" t="s">
        <v>1827</v>
      </c>
      <c r="P4" s="38" t="s">
        <v>1828</v>
      </c>
      <c r="Q4" s="38" t="s">
        <v>1829</v>
      </c>
    </row>
    <row r="5" s="96" customFormat="1" customHeight="1" spans="1:17">
      <c r="A5" s="116"/>
      <c r="B5" s="38"/>
      <c r="C5" s="38"/>
      <c r="D5" s="38"/>
      <c r="E5" s="115"/>
      <c r="F5" s="115" t="s">
        <v>595</v>
      </c>
      <c r="G5" s="115" t="s">
        <v>596</v>
      </c>
      <c r="H5" s="115"/>
      <c r="I5" s="130"/>
      <c r="J5" s="135"/>
      <c r="K5" s="136" t="s">
        <v>595</v>
      </c>
      <c r="L5" s="136" t="s">
        <v>596</v>
      </c>
      <c r="M5" s="137"/>
      <c r="N5" s="38"/>
      <c r="O5" s="38" t="s">
        <v>1827</v>
      </c>
      <c r="P5" s="38" t="s">
        <v>1828</v>
      </c>
      <c r="Q5" s="38" t="s">
        <v>1829</v>
      </c>
    </row>
    <row r="6" s="95" customFormat="1" customHeight="1" spans="1:17">
      <c r="A6" s="117">
        <v>1</v>
      </c>
      <c r="B6" s="118"/>
      <c r="C6" s="118" t="s">
        <v>1830</v>
      </c>
      <c r="D6" s="118"/>
      <c r="E6" s="119" t="e">
        <f t="shared" ref="E6:M6" si="0">E7+E125+E145+E151+E184+E185+E186</f>
        <v>#REF!</v>
      </c>
      <c r="F6" s="119" t="e">
        <f t="shared" si="0"/>
        <v>#REF!</v>
      </c>
      <c r="G6" s="119" t="e">
        <f t="shared" si="0"/>
        <v>#REF!</v>
      </c>
      <c r="H6" s="119" t="e">
        <f t="shared" si="0"/>
        <v>#REF!</v>
      </c>
      <c r="I6" s="138">
        <f t="shared" si="0"/>
        <v>531398.678934</v>
      </c>
      <c r="J6" s="138">
        <f t="shared" si="0"/>
        <v>20070.783236</v>
      </c>
      <c r="K6" s="139">
        <f t="shared" si="0"/>
        <v>-136115.564515</v>
      </c>
      <c r="L6" s="138">
        <f t="shared" si="0"/>
        <v>-136115.564515</v>
      </c>
      <c r="M6" s="138">
        <f t="shared" si="0"/>
        <v>395283.114419</v>
      </c>
      <c r="N6" s="140"/>
      <c r="O6" s="141"/>
      <c r="P6" s="141"/>
      <c r="Q6" s="145"/>
    </row>
    <row r="7" s="95" customFormat="1" customHeight="1" spans="1:17">
      <c r="A7" s="117">
        <v>2</v>
      </c>
      <c r="B7" s="118"/>
      <c r="C7" s="118" t="s">
        <v>1637</v>
      </c>
      <c r="D7" s="118"/>
      <c r="E7" s="119" t="e">
        <f>E8+E10+#REF!+E31+E62+E71+E121</f>
        <v>#REF!</v>
      </c>
      <c r="F7" s="119" t="e">
        <f>F8+F10+#REF!+F31+F62+F71+F121</f>
        <v>#REF!</v>
      </c>
      <c r="G7" s="119" t="e">
        <f>G8+G10+#REF!+G31+G62+G71+G121</f>
        <v>#REF!</v>
      </c>
      <c r="H7" s="119" t="e">
        <f>H8+H10+#REF!+H31+H62+H71+H121</f>
        <v>#REF!</v>
      </c>
      <c r="I7" s="138">
        <f>I8+I10+I31+I62+I71+I121</f>
        <v>81373.806055</v>
      </c>
      <c r="J7" s="138">
        <f t="shared" ref="I7:M7" si="1">J8+J10+J31+J62+J71+J121</f>
        <v>17932.892659</v>
      </c>
      <c r="K7" s="138">
        <f t="shared" si="1"/>
        <v>-29199.267615</v>
      </c>
      <c r="L7" s="138">
        <f t="shared" si="1"/>
        <v>-29199.267615</v>
      </c>
      <c r="M7" s="138">
        <f t="shared" si="1"/>
        <v>52174.53844</v>
      </c>
      <c r="N7" s="140"/>
      <c r="O7" s="141"/>
      <c r="P7" s="141"/>
      <c r="Q7" s="145"/>
    </row>
    <row r="8" s="95" customFormat="1" customHeight="1" spans="1:17">
      <c r="A8" s="117">
        <v>3</v>
      </c>
      <c r="B8" s="118"/>
      <c r="C8" s="118" t="s">
        <v>1596</v>
      </c>
      <c r="D8" s="118"/>
      <c r="E8" s="119">
        <f t="shared" ref="E8:M8" si="2">SUM(E9:E9)</f>
        <v>10000</v>
      </c>
      <c r="F8" s="119">
        <f t="shared" si="2"/>
        <v>0</v>
      </c>
      <c r="G8" s="119">
        <f t="shared" si="2"/>
        <v>-5000</v>
      </c>
      <c r="H8" s="119">
        <f t="shared" si="2"/>
        <v>5000</v>
      </c>
      <c r="I8" s="138">
        <f t="shared" si="2"/>
        <v>5000</v>
      </c>
      <c r="J8" s="138">
        <f t="shared" si="2"/>
        <v>5000</v>
      </c>
      <c r="K8" s="138">
        <f t="shared" si="2"/>
        <v>-5000</v>
      </c>
      <c r="L8" s="138">
        <f t="shared" si="2"/>
        <v>-5000</v>
      </c>
      <c r="M8" s="138">
        <f t="shared" si="2"/>
        <v>0</v>
      </c>
      <c r="N8" s="140"/>
      <c r="O8" s="141"/>
      <c r="P8" s="141"/>
      <c r="Q8" s="145"/>
    </row>
    <row r="9" s="97" customFormat="1" customHeight="1" spans="1:17">
      <c r="A9" s="120">
        <v>4</v>
      </c>
      <c r="B9" s="121" t="s">
        <v>1831</v>
      </c>
      <c r="C9" s="122" t="s">
        <v>1832</v>
      </c>
      <c r="D9" s="123" t="s">
        <v>1833</v>
      </c>
      <c r="E9" s="124">
        <v>10000</v>
      </c>
      <c r="F9" s="125">
        <v>0</v>
      </c>
      <c r="G9" s="125">
        <v>-5000</v>
      </c>
      <c r="H9" s="125">
        <f t="shared" ref="H9:H30" si="3">E9+G9</f>
        <v>5000</v>
      </c>
      <c r="I9" s="142">
        <v>5000</v>
      </c>
      <c r="J9" s="142">
        <v>5000</v>
      </c>
      <c r="K9" s="83">
        <v>-5000</v>
      </c>
      <c r="L9" s="83">
        <v>-5000</v>
      </c>
      <c r="M9" s="83">
        <v>0</v>
      </c>
      <c r="N9" s="123"/>
      <c r="O9" s="121" t="s">
        <v>1834</v>
      </c>
      <c r="P9" s="121" t="s">
        <v>1835</v>
      </c>
      <c r="Q9" s="145">
        <v>2120802</v>
      </c>
    </row>
    <row r="10" s="95" customFormat="1" customHeight="1" spans="1:17">
      <c r="A10" s="117">
        <v>5</v>
      </c>
      <c r="B10" s="118"/>
      <c r="C10" s="118" t="s">
        <v>1836</v>
      </c>
      <c r="D10" s="118"/>
      <c r="E10" s="119">
        <f t="shared" ref="E10:M10" si="4">SUM(E11:E30)</f>
        <v>3834.959</v>
      </c>
      <c r="F10" s="119">
        <f t="shared" si="4"/>
        <v>6352.51</v>
      </c>
      <c r="G10" s="119">
        <f t="shared" si="4"/>
        <v>-340.13</v>
      </c>
      <c r="H10" s="119">
        <f t="shared" si="4"/>
        <v>3494.829</v>
      </c>
      <c r="I10" s="138">
        <f t="shared" si="4"/>
        <v>3494.83</v>
      </c>
      <c r="J10" s="138">
        <f t="shared" si="4"/>
        <v>653.02382</v>
      </c>
      <c r="K10" s="138">
        <f t="shared" si="4"/>
        <v>-2787.02382</v>
      </c>
      <c r="L10" s="138">
        <f t="shared" si="4"/>
        <v>-2787.02382</v>
      </c>
      <c r="M10" s="138">
        <f t="shared" si="4"/>
        <v>707.80618</v>
      </c>
      <c r="N10" s="140"/>
      <c r="O10" s="141"/>
      <c r="P10" s="141"/>
      <c r="Q10" s="141"/>
    </row>
    <row r="11" s="95" customFormat="1" customHeight="1" spans="1:17">
      <c r="A11" s="120">
        <v>6</v>
      </c>
      <c r="B11" s="121" t="s">
        <v>1837</v>
      </c>
      <c r="C11" s="123" t="s">
        <v>1055</v>
      </c>
      <c r="D11" s="123" t="s">
        <v>1838</v>
      </c>
      <c r="E11" s="125">
        <v>225.959</v>
      </c>
      <c r="F11" s="125">
        <v>0</v>
      </c>
      <c r="G11" s="125">
        <v>-125.96</v>
      </c>
      <c r="H11" s="125">
        <f t="shared" si="3"/>
        <v>99.999</v>
      </c>
      <c r="I11" s="83">
        <v>100</v>
      </c>
      <c r="J11" s="83">
        <f>I11-15</f>
        <v>85</v>
      </c>
      <c r="K11" s="83">
        <v>-85</v>
      </c>
      <c r="L11" s="83">
        <v>-85</v>
      </c>
      <c r="M11" s="83">
        <f>I11+L11</f>
        <v>15</v>
      </c>
      <c r="N11" s="71"/>
      <c r="O11" s="121" t="s">
        <v>1839</v>
      </c>
      <c r="P11" s="121" t="s">
        <v>1835</v>
      </c>
      <c r="Q11" s="145">
        <v>2120802</v>
      </c>
    </row>
    <row r="12" s="95" customFormat="1" customHeight="1" spans="1:17">
      <c r="A12" s="120">
        <v>7</v>
      </c>
      <c r="B12" s="121" t="s">
        <v>1831</v>
      </c>
      <c r="C12" s="122" t="s">
        <v>1832</v>
      </c>
      <c r="D12" s="123" t="s">
        <v>1840</v>
      </c>
      <c r="E12" s="125">
        <v>11</v>
      </c>
      <c r="F12" s="125">
        <v>0</v>
      </c>
      <c r="G12" s="125">
        <v>0</v>
      </c>
      <c r="H12" s="125">
        <f t="shared" si="3"/>
        <v>11</v>
      </c>
      <c r="I12" s="142">
        <v>11</v>
      </c>
      <c r="J12" s="142">
        <v>11</v>
      </c>
      <c r="K12" s="83">
        <v>-11</v>
      </c>
      <c r="L12" s="83">
        <v>-11</v>
      </c>
      <c r="M12" s="83">
        <f t="shared" ref="M12:M30" si="5">I12+L12</f>
        <v>0</v>
      </c>
      <c r="N12" s="71"/>
      <c r="O12" s="121" t="s">
        <v>1839</v>
      </c>
      <c r="P12" s="121" t="s">
        <v>1835</v>
      </c>
      <c r="Q12" s="145">
        <v>2120801</v>
      </c>
    </row>
    <row r="13" s="95" customFormat="1" customHeight="1" spans="1:17">
      <c r="A13" s="120">
        <v>8</v>
      </c>
      <c r="B13" s="121" t="s">
        <v>1831</v>
      </c>
      <c r="C13" s="122" t="s">
        <v>1832</v>
      </c>
      <c r="D13" s="123" t="s">
        <v>1841</v>
      </c>
      <c r="E13" s="125">
        <v>11</v>
      </c>
      <c r="F13" s="125">
        <v>-0.28</v>
      </c>
      <c r="G13" s="125">
        <v>-0.28</v>
      </c>
      <c r="H13" s="125">
        <f t="shared" si="3"/>
        <v>10.72</v>
      </c>
      <c r="I13" s="142">
        <v>10.72</v>
      </c>
      <c r="J13" s="142">
        <v>0</v>
      </c>
      <c r="K13" s="83">
        <v>0</v>
      </c>
      <c r="L13" s="83">
        <v>0</v>
      </c>
      <c r="M13" s="83">
        <f t="shared" si="5"/>
        <v>10.72</v>
      </c>
      <c r="N13" s="123"/>
      <c r="O13" s="121" t="s">
        <v>1839</v>
      </c>
      <c r="P13" s="121" t="s">
        <v>1835</v>
      </c>
      <c r="Q13" s="145">
        <v>2120802</v>
      </c>
    </row>
    <row r="14" s="98" customFormat="1" customHeight="1" spans="1:17">
      <c r="A14" s="120">
        <v>9</v>
      </c>
      <c r="B14" s="126" t="s">
        <v>1831</v>
      </c>
      <c r="C14" s="123" t="s">
        <v>1832</v>
      </c>
      <c r="D14" s="123" t="s">
        <v>1842</v>
      </c>
      <c r="E14" s="125">
        <v>8</v>
      </c>
      <c r="F14" s="125">
        <v>0</v>
      </c>
      <c r="G14" s="125">
        <v>0</v>
      </c>
      <c r="H14" s="125">
        <f t="shared" si="3"/>
        <v>8</v>
      </c>
      <c r="I14" s="142">
        <v>8</v>
      </c>
      <c r="J14" s="142">
        <v>0</v>
      </c>
      <c r="K14" s="83">
        <v>0</v>
      </c>
      <c r="L14" s="83">
        <v>0</v>
      </c>
      <c r="M14" s="83">
        <f t="shared" si="5"/>
        <v>8</v>
      </c>
      <c r="N14" s="123"/>
      <c r="O14" s="121" t="s">
        <v>1839</v>
      </c>
      <c r="P14" s="121" t="s">
        <v>1835</v>
      </c>
      <c r="Q14" s="145">
        <v>2120801</v>
      </c>
    </row>
    <row r="15" s="95" customFormat="1" customHeight="1" spans="1:17">
      <c r="A15" s="120">
        <v>10</v>
      </c>
      <c r="B15" s="121" t="s">
        <v>1831</v>
      </c>
      <c r="C15" s="122" t="s">
        <v>1832</v>
      </c>
      <c r="D15" s="123" t="s">
        <v>1843</v>
      </c>
      <c r="E15" s="125">
        <v>57</v>
      </c>
      <c r="F15" s="125">
        <v>0</v>
      </c>
      <c r="G15" s="125">
        <v>-26</v>
      </c>
      <c r="H15" s="125">
        <f t="shared" si="3"/>
        <v>31</v>
      </c>
      <c r="I15" s="142">
        <v>31</v>
      </c>
      <c r="J15" s="142">
        <v>19.91</v>
      </c>
      <c r="K15" s="83">
        <v>-19.91</v>
      </c>
      <c r="L15" s="83">
        <v>-19.91</v>
      </c>
      <c r="M15" s="83">
        <f t="shared" si="5"/>
        <v>11.09</v>
      </c>
      <c r="N15" s="123"/>
      <c r="O15" s="121" t="s">
        <v>1839</v>
      </c>
      <c r="P15" s="121" t="s">
        <v>1835</v>
      </c>
      <c r="Q15" s="145">
        <v>2120802</v>
      </c>
    </row>
    <row r="16" s="95" customFormat="1" customHeight="1" spans="1:17">
      <c r="A16" s="120">
        <v>11</v>
      </c>
      <c r="B16" s="121" t="s">
        <v>1831</v>
      </c>
      <c r="C16" s="122" t="s">
        <v>1832</v>
      </c>
      <c r="D16" s="123" t="s">
        <v>1844</v>
      </c>
      <c r="E16" s="125">
        <v>2020</v>
      </c>
      <c r="F16" s="125">
        <v>3151.15</v>
      </c>
      <c r="G16" s="125">
        <v>0</v>
      </c>
      <c r="H16" s="125">
        <f t="shared" si="3"/>
        <v>2020</v>
      </c>
      <c r="I16" s="142">
        <v>2020</v>
      </c>
      <c r="J16" s="142">
        <v>0</v>
      </c>
      <c r="K16" s="83">
        <v>-2020</v>
      </c>
      <c r="L16" s="83">
        <v>-2020</v>
      </c>
      <c r="M16" s="83">
        <f t="shared" si="5"/>
        <v>0</v>
      </c>
      <c r="N16" s="123" t="s">
        <v>1845</v>
      </c>
      <c r="O16" s="121" t="s">
        <v>1839</v>
      </c>
      <c r="P16" s="121" t="s">
        <v>1835</v>
      </c>
      <c r="Q16" s="145">
        <v>2120802</v>
      </c>
    </row>
    <row r="17" s="95" customFormat="1" customHeight="1" spans="1:17">
      <c r="A17" s="120">
        <v>12</v>
      </c>
      <c r="B17" s="121" t="s">
        <v>1831</v>
      </c>
      <c r="C17" s="122" t="s">
        <v>1832</v>
      </c>
      <c r="D17" s="123" t="s">
        <v>1846</v>
      </c>
      <c r="E17" s="125">
        <v>32</v>
      </c>
      <c r="F17" s="125">
        <v>0</v>
      </c>
      <c r="G17" s="125">
        <v>0</v>
      </c>
      <c r="H17" s="125">
        <f t="shared" si="3"/>
        <v>32</v>
      </c>
      <c r="I17" s="142">
        <v>32</v>
      </c>
      <c r="J17" s="142">
        <v>32</v>
      </c>
      <c r="K17" s="83">
        <v>-32</v>
      </c>
      <c r="L17" s="83">
        <v>-32</v>
      </c>
      <c r="M17" s="83">
        <f t="shared" si="5"/>
        <v>0</v>
      </c>
      <c r="N17" s="123"/>
      <c r="O17" s="121" t="s">
        <v>1839</v>
      </c>
      <c r="P17" s="121" t="s">
        <v>1835</v>
      </c>
      <c r="Q17" s="145">
        <v>2120801</v>
      </c>
    </row>
    <row r="18" s="98" customFormat="1" customHeight="1" spans="1:17">
      <c r="A18" s="120">
        <v>13</v>
      </c>
      <c r="B18" s="126" t="s">
        <v>1831</v>
      </c>
      <c r="C18" s="123" t="s">
        <v>1832</v>
      </c>
      <c r="D18" s="123" t="s">
        <v>1847</v>
      </c>
      <c r="E18" s="125">
        <v>226</v>
      </c>
      <c r="F18" s="125">
        <v>2674</v>
      </c>
      <c r="G18" s="125">
        <v>0</v>
      </c>
      <c r="H18" s="125">
        <f t="shared" si="3"/>
        <v>226</v>
      </c>
      <c r="I18" s="142">
        <v>226</v>
      </c>
      <c r="J18" s="142">
        <v>100</v>
      </c>
      <c r="K18" s="83">
        <v>-100</v>
      </c>
      <c r="L18" s="83">
        <v>-100</v>
      </c>
      <c r="M18" s="83">
        <f t="shared" si="5"/>
        <v>126</v>
      </c>
      <c r="N18" s="123"/>
      <c r="O18" s="121" t="s">
        <v>1839</v>
      </c>
      <c r="P18" s="121" t="s">
        <v>1835</v>
      </c>
      <c r="Q18" s="145">
        <v>2120802</v>
      </c>
    </row>
    <row r="19" s="95" customFormat="1" customHeight="1" spans="1:17">
      <c r="A19" s="120">
        <v>14</v>
      </c>
      <c r="B19" s="121" t="s">
        <v>1831</v>
      </c>
      <c r="C19" s="122" t="s">
        <v>1832</v>
      </c>
      <c r="D19" s="123" t="s">
        <v>1848</v>
      </c>
      <c r="E19" s="125">
        <v>119</v>
      </c>
      <c r="F19" s="125">
        <v>-0.36</v>
      </c>
      <c r="G19" s="125">
        <v>-0.36</v>
      </c>
      <c r="H19" s="125">
        <f t="shared" si="3"/>
        <v>118.64</v>
      </c>
      <c r="I19" s="142">
        <v>118.64</v>
      </c>
      <c r="J19" s="142">
        <v>0</v>
      </c>
      <c r="K19" s="83">
        <v>-119</v>
      </c>
      <c r="L19" s="83">
        <v>-119</v>
      </c>
      <c r="M19" s="83">
        <f t="shared" si="5"/>
        <v>-0.359999999999999</v>
      </c>
      <c r="N19" s="123" t="s">
        <v>1849</v>
      </c>
      <c r="O19" s="121" t="s">
        <v>1839</v>
      </c>
      <c r="P19" s="121" t="s">
        <v>1835</v>
      </c>
      <c r="Q19" s="145">
        <v>2120802</v>
      </c>
    </row>
    <row r="20" s="95" customFormat="1" customHeight="1" spans="1:17">
      <c r="A20" s="120">
        <v>15</v>
      </c>
      <c r="B20" s="121" t="s">
        <v>1831</v>
      </c>
      <c r="C20" s="122" t="s">
        <v>1832</v>
      </c>
      <c r="D20" s="123" t="s">
        <v>1850</v>
      </c>
      <c r="E20" s="125">
        <v>9</v>
      </c>
      <c r="F20" s="125">
        <v>0</v>
      </c>
      <c r="G20" s="125">
        <v>0</v>
      </c>
      <c r="H20" s="125">
        <f t="shared" si="3"/>
        <v>9</v>
      </c>
      <c r="I20" s="142">
        <v>9</v>
      </c>
      <c r="J20" s="142">
        <v>9</v>
      </c>
      <c r="K20" s="83">
        <v>-9</v>
      </c>
      <c r="L20" s="83">
        <v>-9</v>
      </c>
      <c r="M20" s="83">
        <f t="shared" si="5"/>
        <v>0</v>
      </c>
      <c r="N20" s="123"/>
      <c r="O20" s="121" t="s">
        <v>1839</v>
      </c>
      <c r="P20" s="121" t="s">
        <v>1835</v>
      </c>
      <c r="Q20" s="145">
        <v>2120801</v>
      </c>
    </row>
    <row r="21" s="95" customFormat="1" customHeight="1" spans="1:17">
      <c r="A21" s="120">
        <v>16</v>
      </c>
      <c r="B21" s="121" t="s">
        <v>1831</v>
      </c>
      <c r="C21" s="122" t="s">
        <v>1832</v>
      </c>
      <c r="D21" s="123" t="s">
        <v>1851</v>
      </c>
      <c r="E21" s="125">
        <v>80</v>
      </c>
      <c r="F21" s="125">
        <v>373</v>
      </c>
      <c r="G21" s="125">
        <v>0</v>
      </c>
      <c r="H21" s="125">
        <f t="shared" si="3"/>
        <v>80</v>
      </c>
      <c r="I21" s="142">
        <v>80</v>
      </c>
      <c r="J21" s="142">
        <v>0</v>
      </c>
      <c r="K21" s="83">
        <v>0</v>
      </c>
      <c r="L21" s="83">
        <v>0</v>
      </c>
      <c r="M21" s="83">
        <f t="shared" si="5"/>
        <v>80</v>
      </c>
      <c r="N21" s="123"/>
      <c r="O21" s="121" t="s">
        <v>1839</v>
      </c>
      <c r="P21" s="121" t="s">
        <v>1835</v>
      </c>
      <c r="Q21" s="145">
        <v>2120802</v>
      </c>
    </row>
    <row r="22" s="98" customFormat="1" customHeight="1" spans="1:17">
      <c r="A22" s="120">
        <v>17</v>
      </c>
      <c r="B22" s="126" t="s">
        <v>1831</v>
      </c>
      <c r="C22" s="123" t="s">
        <v>1832</v>
      </c>
      <c r="D22" s="123" t="s">
        <v>1852</v>
      </c>
      <c r="E22" s="125">
        <v>45</v>
      </c>
      <c r="F22" s="125">
        <v>155</v>
      </c>
      <c r="G22" s="125">
        <v>0</v>
      </c>
      <c r="H22" s="125">
        <f t="shared" si="3"/>
        <v>45</v>
      </c>
      <c r="I22" s="142">
        <v>45</v>
      </c>
      <c r="J22" s="142">
        <v>1.11382</v>
      </c>
      <c r="K22" s="83">
        <v>-1.11382</v>
      </c>
      <c r="L22" s="83">
        <v>-1.11382</v>
      </c>
      <c r="M22" s="83">
        <f t="shared" si="5"/>
        <v>43.88618</v>
      </c>
      <c r="N22" s="123"/>
      <c r="O22" s="121" t="s">
        <v>1839</v>
      </c>
      <c r="P22" s="121" t="s">
        <v>1835</v>
      </c>
      <c r="Q22" s="146">
        <v>2120806</v>
      </c>
    </row>
    <row r="23" s="95" customFormat="1" customHeight="1" spans="1:17">
      <c r="A23" s="120">
        <v>18</v>
      </c>
      <c r="B23" s="121" t="s">
        <v>1831</v>
      </c>
      <c r="C23" s="123" t="s">
        <v>923</v>
      </c>
      <c r="D23" s="123" t="s">
        <v>1853</v>
      </c>
      <c r="E23" s="125">
        <v>45</v>
      </c>
      <c r="F23" s="125">
        <v>0</v>
      </c>
      <c r="G23" s="125">
        <v>0</v>
      </c>
      <c r="H23" s="125">
        <f t="shared" si="3"/>
        <v>45</v>
      </c>
      <c r="I23" s="142">
        <v>45</v>
      </c>
      <c r="J23" s="142">
        <v>5</v>
      </c>
      <c r="K23" s="83">
        <v>0</v>
      </c>
      <c r="L23" s="83">
        <v>0</v>
      </c>
      <c r="M23" s="83">
        <f t="shared" si="5"/>
        <v>45</v>
      </c>
      <c r="N23" s="123"/>
      <c r="O23" s="121" t="s">
        <v>1839</v>
      </c>
      <c r="P23" s="121" t="s">
        <v>1835</v>
      </c>
      <c r="Q23" s="145">
        <v>2120801</v>
      </c>
    </row>
    <row r="24" s="95" customFormat="1" customHeight="1" spans="1:17">
      <c r="A24" s="120">
        <v>19</v>
      </c>
      <c r="B24" s="121" t="s">
        <v>1831</v>
      </c>
      <c r="C24" s="123" t="s">
        <v>657</v>
      </c>
      <c r="D24" s="123" t="s">
        <v>1854</v>
      </c>
      <c r="E24" s="125">
        <v>50</v>
      </c>
      <c r="F24" s="125">
        <v>0</v>
      </c>
      <c r="G24" s="125">
        <v>0</v>
      </c>
      <c r="H24" s="125">
        <f t="shared" si="3"/>
        <v>50</v>
      </c>
      <c r="I24" s="142">
        <v>50</v>
      </c>
      <c r="J24" s="142">
        <v>0</v>
      </c>
      <c r="K24" s="83">
        <v>0</v>
      </c>
      <c r="L24" s="83">
        <v>0</v>
      </c>
      <c r="M24" s="83">
        <f t="shared" si="5"/>
        <v>50</v>
      </c>
      <c r="N24" s="123"/>
      <c r="O24" s="121" t="s">
        <v>1839</v>
      </c>
      <c r="P24" s="121" t="s">
        <v>1835</v>
      </c>
      <c r="Q24" s="147">
        <v>2120802</v>
      </c>
    </row>
    <row r="25" s="95" customFormat="1" customHeight="1" spans="1:17">
      <c r="A25" s="120">
        <v>20</v>
      </c>
      <c r="B25" s="126" t="s">
        <v>1831</v>
      </c>
      <c r="C25" s="122" t="s">
        <v>659</v>
      </c>
      <c r="D25" s="123" t="s">
        <v>1855</v>
      </c>
      <c r="E25" s="125">
        <v>300</v>
      </c>
      <c r="F25" s="125">
        <v>0</v>
      </c>
      <c r="G25" s="125">
        <v>0</v>
      </c>
      <c r="H25" s="125">
        <f t="shared" si="3"/>
        <v>300</v>
      </c>
      <c r="I25" s="142">
        <v>300</v>
      </c>
      <c r="J25" s="142">
        <v>110</v>
      </c>
      <c r="K25" s="83">
        <v>-110</v>
      </c>
      <c r="L25" s="83">
        <v>-110</v>
      </c>
      <c r="M25" s="83">
        <f t="shared" si="5"/>
        <v>190</v>
      </c>
      <c r="N25" s="123"/>
      <c r="O25" s="121" t="s">
        <v>1839</v>
      </c>
      <c r="P25" s="121" t="s">
        <v>1835</v>
      </c>
      <c r="Q25" s="148">
        <v>2120802</v>
      </c>
    </row>
    <row r="26" s="98" customFormat="1" customHeight="1" spans="1:17">
      <c r="A26" s="120">
        <v>21</v>
      </c>
      <c r="B26" s="126" t="s">
        <v>1831</v>
      </c>
      <c r="C26" s="123" t="s">
        <v>1341</v>
      </c>
      <c r="D26" s="123" t="s">
        <v>1856</v>
      </c>
      <c r="E26" s="125">
        <v>200</v>
      </c>
      <c r="F26" s="125">
        <v>0</v>
      </c>
      <c r="G26" s="125">
        <v>-100</v>
      </c>
      <c r="H26" s="125">
        <f t="shared" si="3"/>
        <v>100</v>
      </c>
      <c r="I26" s="142">
        <v>100</v>
      </c>
      <c r="J26" s="142">
        <v>100</v>
      </c>
      <c r="K26" s="83">
        <v>-100</v>
      </c>
      <c r="L26" s="83">
        <v>-100</v>
      </c>
      <c r="M26" s="83">
        <f t="shared" si="5"/>
        <v>0</v>
      </c>
      <c r="N26" s="123"/>
      <c r="O26" s="121" t="s">
        <v>1839</v>
      </c>
      <c r="P26" s="121" t="s">
        <v>1835</v>
      </c>
      <c r="Q26" s="145">
        <v>2120801</v>
      </c>
    </row>
    <row r="27" s="95" customFormat="1" customHeight="1" spans="1:17">
      <c r="A27" s="120">
        <v>22</v>
      </c>
      <c r="B27" s="126" t="s">
        <v>1831</v>
      </c>
      <c r="C27" s="123" t="s">
        <v>1341</v>
      </c>
      <c r="D27" s="123" t="s">
        <v>1857</v>
      </c>
      <c r="E27" s="125">
        <v>100</v>
      </c>
      <c r="F27" s="125">
        <v>0</v>
      </c>
      <c r="G27" s="125">
        <v>-50</v>
      </c>
      <c r="H27" s="125">
        <f t="shared" si="3"/>
        <v>50</v>
      </c>
      <c r="I27" s="142">
        <v>50</v>
      </c>
      <c r="J27" s="142">
        <v>50</v>
      </c>
      <c r="K27" s="83">
        <v>-50</v>
      </c>
      <c r="L27" s="83">
        <v>-50</v>
      </c>
      <c r="M27" s="83">
        <f t="shared" si="5"/>
        <v>0</v>
      </c>
      <c r="N27" s="123"/>
      <c r="O27" s="121" t="s">
        <v>1839</v>
      </c>
      <c r="P27" s="121" t="s">
        <v>1835</v>
      </c>
      <c r="Q27" s="145">
        <v>2120801</v>
      </c>
    </row>
    <row r="28" s="98" customFormat="1" customHeight="1" spans="1:17">
      <c r="A28" s="120">
        <v>23</v>
      </c>
      <c r="B28" s="126" t="s">
        <v>1831</v>
      </c>
      <c r="C28" s="123" t="s">
        <v>1341</v>
      </c>
      <c r="D28" s="123" t="s">
        <v>1858</v>
      </c>
      <c r="E28" s="125">
        <v>47</v>
      </c>
      <c r="F28" s="125">
        <v>0</v>
      </c>
      <c r="G28" s="125">
        <v>-37.53</v>
      </c>
      <c r="H28" s="125">
        <f t="shared" si="3"/>
        <v>9.47</v>
      </c>
      <c r="I28" s="142">
        <v>9.47</v>
      </c>
      <c r="J28" s="142">
        <v>0</v>
      </c>
      <c r="K28" s="83">
        <v>0</v>
      </c>
      <c r="L28" s="83">
        <v>0</v>
      </c>
      <c r="M28" s="83">
        <f t="shared" si="5"/>
        <v>9.47</v>
      </c>
      <c r="N28" s="123"/>
      <c r="O28" s="121" t="s">
        <v>1839</v>
      </c>
      <c r="P28" s="121" t="s">
        <v>1835</v>
      </c>
      <c r="Q28" s="146">
        <v>2120803</v>
      </c>
    </row>
    <row r="29" s="95" customFormat="1" customHeight="1" spans="1:17">
      <c r="A29" s="120">
        <v>24</v>
      </c>
      <c r="B29" s="126" t="s">
        <v>1831</v>
      </c>
      <c r="C29" s="123" t="s">
        <v>1341</v>
      </c>
      <c r="D29" s="123" t="s">
        <v>1859</v>
      </c>
      <c r="E29" s="125">
        <v>49</v>
      </c>
      <c r="F29" s="125">
        <v>0</v>
      </c>
      <c r="G29" s="125">
        <v>0</v>
      </c>
      <c r="H29" s="125">
        <f t="shared" si="3"/>
        <v>49</v>
      </c>
      <c r="I29" s="142">
        <v>49</v>
      </c>
      <c r="J29" s="142">
        <v>0</v>
      </c>
      <c r="K29" s="83">
        <v>0</v>
      </c>
      <c r="L29" s="83">
        <v>0</v>
      </c>
      <c r="M29" s="83">
        <f t="shared" si="5"/>
        <v>49</v>
      </c>
      <c r="N29" s="123"/>
      <c r="O29" s="121" t="s">
        <v>1839</v>
      </c>
      <c r="P29" s="121" t="s">
        <v>1835</v>
      </c>
      <c r="Q29" s="145">
        <v>2120801</v>
      </c>
    </row>
    <row r="30" s="95" customFormat="1" customHeight="1" spans="1:17">
      <c r="A30" s="120">
        <v>25</v>
      </c>
      <c r="B30" s="121" t="s">
        <v>1831</v>
      </c>
      <c r="C30" s="123" t="s">
        <v>1039</v>
      </c>
      <c r="D30" s="122" t="s">
        <v>1860</v>
      </c>
      <c r="E30" s="125">
        <v>200</v>
      </c>
      <c r="F30" s="125">
        <v>0</v>
      </c>
      <c r="G30" s="125">
        <v>0</v>
      </c>
      <c r="H30" s="125">
        <f t="shared" si="3"/>
        <v>200</v>
      </c>
      <c r="I30" s="142">
        <v>200</v>
      </c>
      <c r="J30" s="142">
        <v>130</v>
      </c>
      <c r="K30" s="83">
        <v>-130</v>
      </c>
      <c r="L30" s="83">
        <v>-130</v>
      </c>
      <c r="M30" s="83">
        <f t="shared" si="5"/>
        <v>70</v>
      </c>
      <c r="N30" s="123"/>
      <c r="O30" s="121" t="s">
        <v>1839</v>
      </c>
      <c r="P30" s="121" t="s">
        <v>1835</v>
      </c>
      <c r="Q30" s="147">
        <v>2120801</v>
      </c>
    </row>
    <row r="31" s="98" customFormat="1" customHeight="1" spans="1:17">
      <c r="A31" s="117">
        <v>26</v>
      </c>
      <c r="B31" s="118"/>
      <c r="C31" s="118" t="s">
        <v>1861</v>
      </c>
      <c r="D31" s="118"/>
      <c r="E31" s="119">
        <f t="shared" ref="E31:M31" si="6">SUM(E32:E61)</f>
        <v>3816.2</v>
      </c>
      <c r="F31" s="119">
        <f t="shared" si="6"/>
        <v>6608.072724</v>
      </c>
      <c r="G31" s="119">
        <f t="shared" si="6"/>
        <v>-214.55</v>
      </c>
      <c r="H31" s="119">
        <f t="shared" si="6"/>
        <v>3601.65</v>
      </c>
      <c r="I31" s="138">
        <f t="shared" si="6"/>
        <v>3601.647822</v>
      </c>
      <c r="J31" s="138">
        <f t="shared" si="6"/>
        <v>1592.320584</v>
      </c>
      <c r="K31" s="138">
        <f t="shared" si="6"/>
        <v>-2924.62</v>
      </c>
      <c r="L31" s="138">
        <f t="shared" si="6"/>
        <v>-2924.62</v>
      </c>
      <c r="M31" s="138">
        <f t="shared" si="6"/>
        <v>677.027822</v>
      </c>
      <c r="N31" s="143"/>
      <c r="O31" s="141"/>
      <c r="P31" s="141"/>
      <c r="Q31" s="145"/>
    </row>
    <row r="32" s="95" customFormat="1" customHeight="1" spans="1:17">
      <c r="A32" s="120">
        <v>27</v>
      </c>
      <c r="B32" s="121" t="s">
        <v>1862</v>
      </c>
      <c r="C32" s="123" t="s">
        <v>1145</v>
      </c>
      <c r="D32" s="123" t="s">
        <v>1863</v>
      </c>
      <c r="E32" s="125">
        <v>1.46</v>
      </c>
      <c r="F32" s="125">
        <v>0</v>
      </c>
      <c r="G32" s="125">
        <v>0</v>
      </c>
      <c r="H32" s="125">
        <f t="shared" ref="H32:H61" si="7">E32+G32</f>
        <v>1.46</v>
      </c>
      <c r="I32" s="83">
        <v>1.46</v>
      </c>
      <c r="J32" s="83">
        <v>0.01</v>
      </c>
      <c r="K32" s="83">
        <v>-0.1</v>
      </c>
      <c r="L32" s="83">
        <v>-0.1</v>
      </c>
      <c r="M32" s="83">
        <f>I32+L32</f>
        <v>1.36</v>
      </c>
      <c r="N32" s="122"/>
      <c r="O32" s="121" t="s">
        <v>1864</v>
      </c>
      <c r="P32" s="121" t="s">
        <v>1835</v>
      </c>
      <c r="Q32" s="145">
        <v>2120803</v>
      </c>
    </row>
    <row r="33" s="98" customFormat="1" customHeight="1" spans="1:17">
      <c r="A33" s="120">
        <v>28</v>
      </c>
      <c r="B33" s="121" t="s">
        <v>1837</v>
      </c>
      <c r="C33" s="123" t="s">
        <v>745</v>
      </c>
      <c r="D33" s="123" t="s">
        <v>1865</v>
      </c>
      <c r="E33" s="125">
        <v>723.09</v>
      </c>
      <c r="F33" s="125">
        <v>0</v>
      </c>
      <c r="G33" s="125">
        <v>0</v>
      </c>
      <c r="H33" s="125">
        <f t="shared" si="7"/>
        <v>723.09</v>
      </c>
      <c r="I33" s="83">
        <v>723.087238</v>
      </c>
      <c r="J33" s="83">
        <f>I33-180-150-193.087238</f>
        <v>200</v>
      </c>
      <c r="K33" s="83">
        <v>-723.09</v>
      </c>
      <c r="L33" s="83">
        <v>-723.09</v>
      </c>
      <c r="M33" s="83">
        <f t="shared" ref="M33:M61" si="8">I33+L33</f>
        <v>-0.0027620000000752</v>
      </c>
      <c r="N33" s="71" t="s">
        <v>1866</v>
      </c>
      <c r="O33" s="121" t="s">
        <v>1864</v>
      </c>
      <c r="P33" s="121" t="s">
        <v>1835</v>
      </c>
      <c r="Q33" s="145">
        <v>2120899</v>
      </c>
    </row>
    <row r="34" s="98" customFormat="1" customHeight="1" spans="1:17">
      <c r="A34" s="120">
        <v>29</v>
      </c>
      <c r="B34" s="121" t="s">
        <v>1837</v>
      </c>
      <c r="C34" s="123" t="s">
        <v>1055</v>
      </c>
      <c r="D34" s="123" t="s">
        <v>1867</v>
      </c>
      <c r="E34" s="125">
        <v>1000</v>
      </c>
      <c r="F34" s="125">
        <v>-290</v>
      </c>
      <c r="G34" s="125">
        <v>-290</v>
      </c>
      <c r="H34" s="125">
        <f t="shared" si="7"/>
        <v>710</v>
      </c>
      <c r="I34" s="83">
        <v>710</v>
      </c>
      <c r="J34" s="83">
        <v>710</v>
      </c>
      <c r="K34" s="83">
        <v>-710</v>
      </c>
      <c r="L34" s="83">
        <v>-710</v>
      </c>
      <c r="M34" s="83">
        <f t="shared" si="8"/>
        <v>0</v>
      </c>
      <c r="N34" s="71"/>
      <c r="O34" s="121" t="s">
        <v>1864</v>
      </c>
      <c r="P34" s="121" t="s">
        <v>1835</v>
      </c>
      <c r="Q34" s="145">
        <v>2120899</v>
      </c>
    </row>
    <row r="35" s="98" customFormat="1" customHeight="1" spans="1:17">
      <c r="A35" s="120">
        <v>30</v>
      </c>
      <c r="B35" s="121" t="s">
        <v>1837</v>
      </c>
      <c r="C35" s="123" t="s">
        <v>1055</v>
      </c>
      <c r="D35" s="123" t="s">
        <v>1868</v>
      </c>
      <c r="E35" s="125">
        <v>595.55</v>
      </c>
      <c r="F35" s="125">
        <v>0</v>
      </c>
      <c r="G35" s="125">
        <v>-300</v>
      </c>
      <c r="H35" s="125">
        <f t="shared" si="7"/>
        <v>295.55</v>
      </c>
      <c r="I35" s="83">
        <v>295.55</v>
      </c>
      <c r="J35" s="83">
        <v>295.55</v>
      </c>
      <c r="K35" s="83">
        <v>-295.55</v>
      </c>
      <c r="L35" s="83">
        <v>-295.55</v>
      </c>
      <c r="M35" s="83">
        <f t="shared" si="8"/>
        <v>0</v>
      </c>
      <c r="N35" s="71"/>
      <c r="O35" s="121" t="s">
        <v>1864</v>
      </c>
      <c r="P35" s="121" t="s">
        <v>1835</v>
      </c>
      <c r="Q35" s="145">
        <v>2120899</v>
      </c>
    </row>
    <row r="36" s="98" customFormat="1" customHeight="1" spans="1:17">
      <c r="A36" s="120">
        <v>31</v>
      </c>
      <c r="B36" s="121" t="s">
        <v>1869</v>
      </c>
      <c r="C36" s="123" t="s">
        <v>662</v>
      </c>
      <c r="D36" s="123" t="s">
        <v>1870</v>
      </c>
      <c r="E36" s="125">
        <v>40</v>
      </c>
      <c r="F36" s="125">
        <v>0</v>
      </c>
      <c r="G36" s="125">
        <v>0</v>
      </c>
      <c r="H36" s="125">
        <f t="shared" si="7"/>
        <v>40</v>
      </c>
      <c r="I36" s="83">
        <v>40</v>
      </c>
      <c r="J36" s="83">
        <v>11.3</v>
      </c>
      <c r="K36" s="83">
        <v>-11.3</v>
      </c>
      <c r="L36" s="83">
        <v>-11.3</v>
      </c>
      <c r="M36" s="83">
        <f t="shared" si="8"/>
        <v>28.7</v>
      </c>
      <c r="N36" s="71"/>
      <c r="O36" s="121" t="s">
        <v>1864</v>
      </c>
      <c r="P36" s="121" t="s">
        <v>1835</v>
      </c>
      <c r="Q36" s="149">
        <v>2120804</v>
      </c>
    </row>
    <row r="37" s="97" customFormat="1" customHeight="1" spans="1:17">
      <c r="A37" s="120">
        <v>32</v>
      </c>
      <c r="B37" s="121" t="s">
        <v>1869</v>
      </c>
      <c r="C37" s="122" t="s">
        <v>1076</v>
      </c>
      <c r="D37" s="123" t="s">
        <v>1871</v>
      </c>
      <c r="E37" s="125">
        <v>124.82</v>
      </c>
      <c r="F37" s="125">
        <v>734.25722</v>
      </c>
      <c r="G37" s="125">
        <v>0</v>
      </c>
      <c r="H37" s="125">
        <f t="shared" si="7"/>
        <v>124.82</v>
      </c>
      <c r="I37" s="83">
        <v>124.82</v>
      </c>
      <c r="J37" s="83">
        <v>0</v>
      </c>
      <c r="K37" s="83">
        <v>-125</v>
      </c>
      <c r="L37" s="83">
        <v>-125</v>
      </c>
      <c r="M37" s="83">
        <f t="shared" si="8"/>
        <v>-0.180000000000007</v>
      </c>
      <c r="N37" s="71" t="s">
        <v>1872</v>
      </c>
      <c r="O37" s="121" t="s">
        <v>1864</v>
      </c>
      <c r="P37" s="121" t="s">
        <v>1835</v>
      </c>
      <c r="Q37" s="145">
        <v>2120899</v>
      </c>
    </row>
    <row r="38" s="97" customFormat="1" customHeight="1" spans="1:17">
      <c r="A38" s="120">
        <v>33</v>
      </c>
      <c r="B38" s="121" t="s">
        <v>1831</v>
      </c>
      <c r="C38" s="123" t="s">
        <v>659</v>
      </c>
      <c r="D38" s="123" t="s">
        <v>1873</v>
      </c>
      <c r="E38" s="125">
        <v>41.22</v>
      </c>
      <c r="F38" s="125">
        <v>0</v>
      </c>
      <c r="G38" s="125">
        <v>0</v>
      </c>
      <c r="H38" s="125">
        <f t="shared" si="7"/>
        <v>41.22</v>
      </c>
      <c r="I38" s="142">
        <v>41.22</v>
      </c>
      <c r="J38" s="142">
        <v>0</v>
      </c>
      <c r="K38" s="83">
        <v>0</v>
      </c>
      <c r="L38" s="83">
        <v>0</v>
      </c>
      <c r="M38" s="83">
        <f t="shared" si="8"/>
        <v>41.22</v>
      </c>
      <c r="N38" s="123"/>
      <c r="O38" s="121" t="s">
        <v>1864</v>
      </c>
      <c r="P38" s="121" t="s">
        <v>1835</v>
      </c>
      <c r="Q38" s="145">
        <v>2120803</v>
      </c>
    </row>
    <row r="39" s="98" customFormat="1" customHeight="1" spans="1:17">
      <c r="A39" s="120">
        <v>34</v>
      </c>
      <c r="B39" s="121" t="s">
        <v>1862</v>
      </c>
      <c r="C39" s="123" t="s">
        <v>838</v>
      </c>
      <c r="D39" s="123" t="s">
        <v>1874</v>
      </c>
      <c r="E39" s="125">
        <v>13.84</v>
      </c>
      <c r="F39" s="125">
        <v>0</v>
      </c>
      <c r="G39" s="125">
        <v>0</v>
      </c>
      <c r="H39" s="125">
        <f t="shared" si="7"/>
        <v>13.84</v>
      </c>
      <c r="I39" s="83">
        <v>13.84</v>
      </c>
      <c r="J39" s="83">
        <v>0</v>
      </c>
      <c r="K39" s="83">
        <v>0</v>
      </c>
      <c r="L39" s="83">
        <v>0</v>
      </c>
      <c r="M39" s="83">
        <f t="shared" si="8"/>
        <v>13.84</v>
      </c>
      <c r="N39" s="122"/>
      <c r="O39" s="121" t="s">
        <v>1864</v>
      </c>
      <c r="P39" s="121" t="s">
        <v>1835</v>
      </c>
      <c r="Q39" s="145">
        <v>2120803</v>
      </c>
    </row>
    <row r="40" s="98" customFormat="1" customHeight="1" spans="1:17">
      <c r="A40" s="120">
        <v>35</v>
      </c>
      <c r="B40" s="121" t="s">
        <v>1862</v>
      </c>
      <c r="C40" s="123" t="s">
        <v>1875</v>
      </c>
      <c r="D40" s="123" t="s">
        <v>1876</v>
      </c>
      <c r="E40" s="125">
        <v>31.64</v>
      </c>
      <c r="F40" s="125">
        <v>189.78</v>
      </c>
      <c r="G40" s="125">
        <v>0</v>
      </c>
      <c r="H40" s="125">
        <f t="shared" si="7"/>
        <v>31.64</v>
      </c>
      <c r="I40" s="83">
        <v>31.64</v>
      </c>
      <c r="J40" s="83">
        <v>0</v>
      </c>
      <c r="K40" s="83">
        <v>0</v>
      </c>
      <c r="L40" s="83">
        <v>0</v>
      </c>
      <c r="M40" s="83">
        <f t="shared" si="8"/>
        <v>31.64</v>
      </c>
      <c r="N40" s="122"/>
      <c r="O40" s="121" t="s">
        <v>1864</v>
      </c>
      <c r="P40" s="121" t="s">
        <v>1835</v>
      </c>
      <c r="Q40" s="145">
        <v>2120803</v>
      </c>
    </row>
    <row r="41" s="98" customFormat="1" customHeight="1" spans="1:17">
      <c r="A41" s="120">
        <v>36</v>
      </c>
      <c r="B41" s="121" t="s">
        <v>1862</v>
      </c>
      <c r="C41" s="123" t="s">
        <v>1877</v>
      </c>
      <c r="D41" s="123" t="s">
        <v>1878</v>
      </c>
      <c r="E41" s="125">
        <v>5.55</v>
      </c>
      <c r="F41" s="125">
        <v>0</v>
      </c>
      <c r="G41" s="125">
        <v>0</v>
      </c>
      <c r="H41" s="125">
        <f t="shared" si="7"/>
        <v>5.55</v>
      </c>
      <c r="I41" s="83">
        <v>5.55</v>
      </c>
      <c r="J41" s="83">
        <v>0</v>
      </c>
      <c r="K41" s="83">
        <v>0</v>
      </c>
      <c r="L41" s="83">
        <v>0</v>
      </c>
      <c r="M41" s="83">
        <f t="shared" si="8"/>
        <v>5.55</v>
      </c>
      <c r="N41" s="122"/>
      <c r="O41" s="121" t="s">
        <v>1864</v>
      </c>
      <c r="P41" s="121" t="s">
        <v>1835</v>
      </c>
      <c r="Q41" s="145">
        <v>2120803</v>
      </c>
    </row>
    <row r="42" s="98" customFormat="1" customHeight="1" spans="1:17">
      <c r="A42" s="120">
        <v>37</v>
      </c>
      <c r="B42" s="121" t="s">
        <v>1862</v>
      </c>
      <c r="C42" s="123" t="s">
        <v>1879</v>
      </c>
      <c r="D42" s="123" t="s">
        <v>1880</v>
      </c>
      <c r="E42" s="125">
        <v>33.28</v>
      </c>
      <c r="F42" s="125">
        <v>0</v>
      </c>
      <c r="G42" s="125">
        <v>0</v>
      </c>
      <c r="H42" s="125">
        <f t="shared" si="7"/>
        <v>33.28</v>
      </c>
      <c r="I42" s="83">
        <v>33.28</v>
      </c>
      <c r="J42" s="83">
        <v>0.01</v>
      </c>
      <c r="K42" s="83">
        <v>-0.1</v>
      </c>
      <c r="L42" s="83">
        <v>-0.1</v>
      </c>
      <c r="M42" s="83">
        <f t="shared" si="8"/>
        <v>33.18</v>
      </c>
      <c r="N42" s="122"/>
      <c r="O42" s="121" t="s">
        <v>1864</v>
      </c>
      <c r="P42" s="121" t="s">
        <v>1835</v>
      </c>
      <c r="Q42" s="145">
        <v>2120803</v>
      </c>
    </row>
    <row r="43" s="98" customFormat="1" customHeight="1" spans="1:17">
      <c r="A43" s="120">
        <v>38</v>
      </c>
      <c r="B43" s="121" t="s">
        <v>1862</v>
      </c>
      <c r="C43" s="123" t="s">
        <v>1879</v>
      </c>
      <c r="D43" s="123" t="s">
        <v>1881</v>
      </c>
      <c r="E43" s="125">
        <v>8.89</v>
      </c>
      <c r="F43" s="125">
        <v>90</v>
      </c>
      <c r="G43" s="125">
        <v>0</v>
      </c>
      <c r="H43" s="125">
        <f t="shared" si="7"/>
        <v>8.89</v>
      </c>
      <c r="I43" s="83">
        <v>8.89</v>
      </c>
      <c r="J43" s="83">
        <v>0</v>
      </c>
      <c r="K43" s="83">
        <v>0</v>
      </c>
      <c r="L43" s="83">
        <v>0</v>
      </c>
      <c r="M43" s="83">
        <f t="shared" si="8"/>
        <v>8.89</v>
      </c>
      <c r="N43" s="71"/>
      <c r="O43" s="121" t="s">
        <v>1864</v>
      </c>
      <c r="P43" s="121" t="s">
        <v>1835</v>
      </c>
      <c r="Q43" s="145">
        <v>2120803</v>
      </c>
    </row>
    <row r="44" s="98" customFormat="1" customHeight="1" spans="1:17">
      <c r="A44" s="120">
        <v>39</v>
      </c>
      <c r="B44" s="121" t="s">
        <v>1862</v>
      </c>
      <c r="C44" s="123" t="s">
        <v>1122</v>
      </c>
      <c r="D44" s="123" t="s">
        <v>1882</v>
      </c>
      <c r="E44" s="125">
        <v>10.15</v>
      </c>
      <c r="F44" s="125">
        <v>49.54</v>
      </c>
      <c r="G44" s="125">
        <v>0</v>
      </c>
      <c r="H44" s="125">
        <f t="shared" si="7"/>
        <v>10.15</v>
      </c>
      <c r="I44" s="83">
        <v>10.15</v>
      </c>
      <c r="J44" s="83">
        <v>0</v>
      </c>
      <c r="K44" s="83">
        <v>0</v>
      </c>
      <c r="L44" s="83">
        <v>0</v>
      </c>
      <c r="M44" s="83">
        <f t="shared" si="8"/>
        <v>10.15</v>
      </c>
      <c r="N44" s="71"/>
      <c r="O44" s="121" t="s">
        <v>1864</v>
      </c>
      <c r="P44" s="121" t="s">
        <v>1835</v>
      </c>
      <c r="Q44" s="145">
        <v>2120803</v>
      </c>
    </row>
    <row r="45" s="97" customFormat="1" customHeight="1" spans="1:17">
      <c r="A45" s="120">
        <v>40</v>
      </c>
      <c r="B45" s="121" t="s">
        <v>1862</v>
      </c>
      <c r="C45" s="122" t="s">
        <v>1122</v>
      </c>
      <c r="D45" s="123" t="s">
        <v>1883</v>
      </c>
      <c r="E45" s="125">
        <v>40</v>
      </c>
      <c r="F45" s="125">
        <v>42.35</v>
      </c>
      <c r="G45" s="125">
        <v>0</v>
      </c>
      <c r="H45" s="125">
        <f t="shared" si="7"/>
        <v>40</v>
      </c>
      <c r="I45" s="83">
        <v>40</v>
      </c>
      <c r="J45" s="83">
        <v>0</v>
      </c>
      <c r="K45" s="83">
        <v>0</v>
      </c>
      <c r="L45" s="83">
        <v>0</v>
      </c>
      <c r="M45" s="83">
        <f t="shared" si="8"/>
        <v>40</v>
      </c>
      <c r="N45" s="71"/>
      <c r="O45" s="121" t="s">
        <v>1864</v>
      </c>
      <c r="P45" s="121" t="s">
        <v>1835</v>
      </c>
      <c r="Q45" s="145">
        <v>2120803</v>
      </c>
    </row>
    <row r="46" s="98" customFormat="1" customHeight="1" spans="1:17">
      <c r="A46" s="120">
        <v>41</v>
      </c>
      <c r="B46" s="121" t="s">
        <v>1862</v>
      </c>
      <c r="C46" s="123" t="s">
        <v>1122</v>
      </c>
      <c r="D46" s="123" t="s">
        <v>1884</v>
      </c>
      <c r="E46" s="125">
        <v>16.71</v>
      </c>
      <c r="F46" s="125">
        <v>83.29</v>
      </c>
      <c r="G46" s="125">
        <v>0</v>
      </c>
      <c r="H46" s="125">
        <f t="shared" si="7"/>
        <v>16.71</v>
      </c>
      <c r="I46" s="83">
        <v>16.71</v>
      </c>
      <c r="J46" s="83">
        <v>0</v>
      </c>
      <c r="K46" s="83">
        <v>0</v>
      </c>
      <c r="L46" s="83">
        <v>0</v>
      </c>
      <c r="M46" s="83">
        <f t="shared" si="8"/>
        <v>16.71</v>
      </c>
      <c r="N46" s="71"/>
      <c r="O46" s="121" t="s">
        <v>1864</v>
      </c>
      <c r="P46" s="121" t="s">
        <v>1835</v>
      </c>
      <c r="Q46" s="145">
        <v>2120803</v>
      </c>
    </row>
    <row r="47" s="97" customFormat="1" customHeight="1" spans="1:17">
      <c r="A47" s="120">
        <v>42</v>
      </c>
      <c r="B47" s="121" t="s">
        <v>1862</v>
      </c>
      <c r="C47" s="127" t="s">
        <v>1885</v>
      </c>
      <c r="D47" s="123" t="s">
        <v>1886</v>
      </c>
      <c r="E47" s="125">
        <v>43.54</v>
      </c>
      <c r="F47" s="125">
        <v>600</v>
      </c>
      <c r="G47" s="125">
        <v>0</v>
      </c>
      <c r="H47" s="125">
        <f t="shared" si="7"/>
        <v>43.54</v>
      </c>
      <c r="I47" s="83">
        <v>43.54</v>
      </c>
      <c r="J47" s="83">
        <v>0</v>
      </c>
      <c r="K47" s="83">
        <v>0</v>
      </c>
      <c r="L47" s="83">
        <v>0</v>
      </c>
      <c r="M47" s="83">
        <f t="shared" si="8"/>
        <v>43.54</v>
      </c>
      <c r="N47" s="71"/>
      <c r="O47" s="121" t="s">
        <v>1864</v>
      </c>
      <c r="P47" s="121" t="s">
        <v>1835</v>
      </c>
      <c r="Q47" s="145">
        <v>2120803</v>
      </c>
    </row>
    <row r="48" s="97" customFormat="1" customHeight="1" spans="1:17">
      <c r="A48" s="120">
        <v>43</v>
      </c>
      <c r="B48" s="121" t="s">
        <v>1862</v>
      </c>
      <c r="C48" s="127" t="s">
        <v>1885</v>
      </c>
      <c r="D48" s="123" t="s">
        <v>1887</v>
      </c>
      <c r="E48" s="125">
        <v>33.92</v>
      </c>
      <c r="F48" s="125">
        <v>300</v>
      </c>
      <c r="G48" s="125">
        <v>0</v>
      </c>
      <c r="H48" s="125">
        <f t="shared" si="7"/>
        <v>33.92</v>
      </c>
      <c r="I48" s="83">
        <v>33.92</v>
      </c>
      <c r="J48" s="83">
        <v>0</v>
      </c>
      <c r="K48" s="83">
        <v>0</v>
      </c>
      <c r="L48" s="83">
        <v>0</v>
      </c>
      <c r="M48" s="83">
        <f t="shared" si="8"/>
        <v>33.92</v>
      </c>
      <c r="N48" s="71"/>
      <c r="O48" s="121" t="s">
        <v>1864</v>
      </c>
      <c r="P48" s="121" t="s">
        <v>1835</v>
      </c>
      <c r="Q48" s="145">
        <v>2120803</v>
      </c>
    </row>
    <row r="49" s="98" customFormat="1" customHeight="1" spans="1:17">
      <c r="A49" s="120">
        <v>44</v>
      </c>
      <c r="B49" s="121" t="s">
        <v>1862</v>
      </c>
      <c r="C49" s="123" t="s">
        <v>1055</v>
      </c>
      <c r="D49" s="123" t="s">
        <v>1888</v>
      </c>
      <c r="E49" s="125">
        <v>15.3</v>
      </c>
      <c r="F49" s="125">
        <v>74.7</v>
      </c>
      <c r="G49" s="125">
        <v>0</v>
      </c>
      <c r="H49" s="125">
        <f t="shared" si="7"/>
        <v>15.3</v>
      </c>
      <c r="I49" s="83">
        <v>15.3</v>
      </c>
      <c r="J49" s="83">
        <v>0</v>
      </c>
      <c r="K49" s="83">
        <v>0</v>
      </c>
      <c r="L49" s="83">
        <v>0</v>
      </c>
      <c r="M49" s="83">
        <f t="shared" si="8"/>
        <v>15.3</v>
      </c>
      <c r="N49" s="71"/>
      <c r="O49" s="121" t="s">
        <v>1864</v>
      </c>
      <c r="P49" s="121" t="s">
        <v>1835</v>
      </c>
      <c r="Q49" s="145">
        <v>2120803</v>
      </c>
    </row>
    <row r="50" s="98" customFormat="1" customHeight="1" spans="1:17">
      <c r="A50" s="120">
        <v>45</v>
      </c>
      <c r="B50" s="121" t="s">
        <v>1862</v>
      </c>
      <c r="C50" s="123" t="s">
        <v>1145</v>
      </c>
      <c r="D50" s="123" t="s">
        <v>1889</v>
      </c>
      <c r="E50" s="125">
        <v>12.65</v>
      </c>
      <c r="F50" s="125">
        <v>3.48</v>
      </c>
      <c r="G50" s="125">
        <v>3.48</v>
      </c>
      <c r="H50" s="125">
        <f t="shared" si="7"/>
        <v>16.13</v>
      </c>
      <c r="I50" s="83">
        <v>16.13</v>
      </c>
      <c r="J50" s="83">
        <v>3.48</v>
      </c>
      <c r="K50" s="83">
        <v>-3.48</v>
      </c>
      <c r="L50" s="83">
        <v>-3.48</v>
      </c>
      <c r="M50" s="83">
        <f t="shared" si="8"/>
        <v>12.65</v>
      </c>
      <c r="N50" s="71"/>
      <c r="O50" s="121" t="s">
        <v>1864</v>
      </c>
      <c r="P50" s="121" t="s">
        <v>1835</v>
      </c>
      <c r="Q50" s="145">
        <v>2120803</v>
      </c>
    </row>
    <row r="51" s="98" customFormat="1" customHeight="1" spans="1:17">
      <c r="A51" s="120">
        <v>46</v>
      </c>
      <c r="B51" s="121" t="s">
        <v>1862</v>
      </c>
      <c r="C51" s="123" t="s">
        <v>1890</v>
      </c>
      <c r="D51" s="123" t="s">
        <v>1891</v>
      </c>
      <c r="E51" s="125">
        <v>39.16</v>
      </c>
      <c r="F51" s="125">
        <v>36.23</v>
      </c>
      <c r="G51" s="125">
        <v>36.23</v>
      </c>
      <c r="H51" s="125">
        <f t="shared" si="7"/>
        <v>75.39</v>
      </c>
      <c r="I51" s="83">
        <v>75.39</v>
      </c>
      <c r="J51" s="83">
        <v>36.23</v>
      </c>
      <c r="K51" s="83">
        <v>0</v>
      </c>
      <c r="L51" s="83">
        <v>0</v>
      </c>
      <c r="M51" s="83">
        <f t="shared" si="8"/>
        <v>75.39</v>
      </c>
      <c r="N51" s="71"/>
      <c r="O51" s="121" t="s">
        <v>1864</v>
      </c>
      <c r="P51" s="121" t="s">
        <v>1835</v>
      </c>
      <c r="Q51" s="145">
        <v>2120803</v>
      </c>
    </row>
    <row r="52" s="98" customFormat="1" customHeight="1" spans="1:17">
      <c r="A52" s="120">
        <v>47</v>
      </c>
      <c r="B52" s="121" t="s">
        <v>1862</v>
      </c>
      <c r="C52" s="123" t="s">
        <v>666</v>
      </c>
      <c r="D52" s="123" t="s">
        <v>1892</v>
      </c>
      <c r="E52" s="125">
        <v>21.67</v>
      </c>
      <c r="F52" s="125">
        <v>117.48</v>
      </c>
      <c r="G52" s="125">
        <v>0</v>
      </c>
      <c r="H52" s="125">
        <f t="shared" si="7"/>
        <v>21.67</v>
      </c>
      <c r="I52" s="83">
        <v>21.67</v>
      </c>
      <c r="J52" s="83">
        <v>0</v>
      </c>
      <c r="K52" s="83">
        <v>0</v>
      </c>
      <c r="L52" s="83">
        <v>0</v>
      </c>
      <c r="M52" s="83">
        <f t="shared" si="8"/>
        <v>21.67</v>
      </c>
      <c r="N52" s="71"/>
      <c r="O52" s="121" t="s">
        <v>1864</v>
      </c>
      <c r="P52" s="121" t="s">
        <v>1835</v>
      </c>
      <c r="Q52" s="145">
        <v>2120803</v>
      </c>
    </row>
    <row r="53" s="98" customFormat="1" customHeight="1" spans="1:17">
      <c r="A53" s="120">
        <v>48</v>
      </c>
      <c r="B53" s="121" t="s">
        <v>1862</v>
      </c>
      <c r="C53" s="123" t="s">
        <v>657</v>
      </c>
      <c r="D53" s="123" t="s">
        <v>1893</v>
      </c>
      <c r="E53" s="125">
        <v>42.47</v>
      </c>
      <c r="F53" s="125">
        <v>0</v>
      </c>
      <c r="G53" s="125">
        <v>0</v>
      </c>
      <c r="H53" s="125">
        <f t="shared" si="7"/>
        <v>42.47</v>
      </c>
      <c r="I53" s="83">
        <v>42.47</v>
      </c>
      <c r="J53" s="83">
        <v>0</v>
      </c>
      <c r="K53" s="83">
        <v>0</v>
      </c>
      <c r="L53" s="83">
        <v>0</v>
      </c>
      <c r="M53" s="83">
        <f t="shared" si="8"/>
        <v>42.47</v>
      </c>
      <c r="N53" s="71"/>
      <c r="O53" s="121" t="s">
        <v>1864</v>
      </c>
      <c r="P53" s="121" t="s">
        <v>1835</v>
      </c>
      <c r="Q53" s="145">
        <v>2120803</v>
      </c>
    </row>
    <row r="54" s="98" customFormat="1" customHeight="1" spans="1:17">
      <c r="A54" s="120">
        <v>49</v>
      </c>
      <c r="B54" s="121" t="s">
        <v>1862</v>
      </c>
      <c r="C54" s="123" t="s">
        <v>657</v>
      </c>
      <c r="D54" s="123" t="s">
        <v>1894</v>
      </c>
      <c r="E54" s="125">
        <v>40</v>
      </c>
      <c r="F54" s="125">
        <v>0</v>
      </c>
      <c r="G54" s="125">
        <v>0</v>
      </c>
      <c r="H54" s="125">
        <f t="shared" si="7"/>
        <v>40</v>
      </c>
      <c r="I54" s="83">
        <v>40</v>
      </c>
      <c r="J54" s="83">
        <v>0</v>
      </c>
      <c r="K54" s="83">
        <v>0</v>
      </c>
      <c r="L54" s="83">
        <v>0</v>
      </c>
      <c r="M54" s="83">
        <f t="shared" si="8"/>
        <v>40</v>
      </c>
      <c r="N54" s="71"/>
      <c r="O54" s="121" t="s">
        <v>1864</v>
      </c>
      <c r="P54" s="121" t="s">
        <v>1835</v>
      </c>
      <c r="Q54" s="145">
        <v>2120803</v>
      </c>
    </row>
    <row r="55" s="98" customFormat="1" customHeight="1" spans="1:17">
      <c r="A55" s="120">
        <v>50</v>
      </c>
      <c r="B55" s="121" t="s">
        <v>1862</v>
      </c>
      <c r="C55" s="123" t="s">
        <v>649</v>
      </c>
      <c r="D55" s="123" t="s">
        <v>1895</v>
      </c>
      <c r="E55" s="125">
        <v>73.03</v>
      </c>
      <c r="F55" s="125">
        <v>500.64</v>
      </c>
      <c r="G55" s="125">
        <v>0</v>
      </c>
      <c r="H55" s="125">
        <f t="shared" si="7"/>
        <v>73.03</v>
      </c>
      <c r="I55" s="83">
        <v>73.03</v>
      </c>
      <c r="J55" s="83">
        <v>0</v>
      </c>
      <c r="K55" s="83">
        <v>0</v>
      </c>
      <c r="L55" s="83">
        <v>0</v>
      </c>
      <c r="M55" s="83">
        <f t="shared" si="8"/>
        <v>73.03</v>
      </c>
      <c r="N55" s="71"/>
      <c r="O55" s="121" t="s">
        <v>1864</v>
      </c>
      <c r="P55" s="121" t="s">
        <v>1835</v>
      </c>
      <c r="Q55" s="145">
        <v>2120803</v>
      </c>
    </row>
    <row r="56" s="98" customFormat="1" customHeight="1" spans="1:17">
      <c r="A56" s="120">
        <v>51</v>
      </c>
      <c r="B56" s="121" t="s">
        <v>598</v>
      </c>
      <c r="C56" s="123" t="s">
        <v>657</v>
      </c>
      <c r="D56" s="123" t="s">
        <v>1896</v>
      </c>
      <c r="E56" s="125">
        <v>0</v>
      </c>
      <c r="F56" s="125">
        <v>57.740584</v>
      </c>
      <c r="G56" s="125">
        <v>57.74</v>
      </c>
      <c r="H56" s="125">
        <f t="shared" si="7"/>
        <v>57.74</v>
      </c>
      <c r="I56" s="83">
        <v>57.740584</v>
      </c>
      <c r="J56" s="83">
        <v>57.740584</v>
      </c>
      <c r="K56" s="83">
        <v>0</v>
      </c>
      <c r="L56" s="83">
        <v>0</v>
      </c>
      <c r="M56" s="83">
        <f t="shared" si="8"/>
        <v>57.740584</v>
      </c>
      <c r="N56" s="122"/>
      <c r="O56" s="121" t="s">
        <v>1864</v>
      </c>
      <c r="P56" s="121" t="s">
        <v>1835</v>
      </c>
      <c r="Q56" s="145">
        <v>2120803</v>
      </c>
    </row>
    <row r="57" s="98" customFormat="1" customHeight="1" spans="1:17">
      <c r="A57" s="120">
        <v>52</v>
      </c>
      <c r="B57" s="126" t="s">
        <v>1869</v>
      </c>
      <c r="C57" s="123" t="s">
        <v>1076</v>
      </c>
      <c r="D57" s="123" t="s">
        <v>1897</v>
      </c>
      <c r="E57" s="125">
        <v>342.37</v>
      </c>
      <c r="F57" s="125">
        <v>1748.821582</v>
      </c>
      <c r="G57" s="125">
        <v>0</v>
      </c>
      <c r="H57" s="125">
        <f t="shared" si="7"/>
        <v>342.37</v>
      </c>
      <c r="I57" s="83">
        <v>342.37</v>
      </c>
      <c r="J57" s="83">
        <v>0</v>
      </c>
      <c r="K57" s="83">
        <v>-342</v>
      </c>
      <c r="L57" s="83">
        <v>-342</v>
      </c>
      <c r="M57" s="83">
        <f t="shared" si="8"/>
        <v>0.370000000000005</v>
      </c>
      <c r="N57" s="71" t="s">
        <v>1898</v>
      </c>
      <c r="O57" s="121" t="s">
        <v>1864</v>
      </c>
      <c r="P57" s="121" t="s">
        <v>1835</v>
      </c>
      <c r="Q57" s="145" t="s">
        <v>1684</v>
      </c>
    </row>
    <row r="58" s="97" customFormat="1" customHeight="1" spans="1:17">
      <c r="A58" s="120">
        <v>53</v>
      </c>
      <c r="B58" s="126" t="s">
        <v>1869</v>
      </c>
      <c r="C58" s="123" t="s">
        <v>1076</v>
      </c>
      <c r="D58" s="123" t="s">
        <v>1899</v>
      </c>
      <c r="E58" s="125">
        <v>436.48</v>
      </c>
      <c r="F58" s="125">
        <v>1744.619075</v>
      </c>
      <c r="G58" s="125">
        <v>0</v>
      </c>
      <c r="H58" s="125">
        <f t="shared" si="7"/>
        <v>436.48</v>
      </c>
      <c r="I58" s="83">
        <v>436.48</v>
      </c>
      <c r="J58" s="83">
        <v>0</v>
      </c>
      <c r="K58" s="83">
        <v>-436</v>
      </c>
      <c r="L58" s="83">
        <v>-436</v>
      </c>
      <c r="M58" s="83">
        <f t="shared" si="8"/>
        <v>0.480000000000018</v>
      </c>
      <c r="N58" s="71" t="s">
        <v>1900</v>
      </c>
      <c r="O58" s="121" t="s">
        <v>1864</v>
      </c>
      <c r="P58" s="121" t="s">
        <v>1835</v>
      </c>
      <c r="Q58" s="145" t="s">
        <v>1684</v>
      </c>
    </row>
    <row r="59" s="98" customFormat="1" customHeight="1" spans="1:17">
      <c r="A59" s="120">
        <v>54</v>
      </c>
      <c r="B59" s="126" t="s">
        <v>1869</v>
      </c>
      <c r="C59" s="123" t="s">
        <v>666</v>
      </c>
      <c r="D59" s="123" t="s">
        <v>1901</v>
      </c>
      <c r="E59" s="125">
        <v>29.41</v>
      </c>
      <c r="F59" s="125">
        <v>147.144263</v>
      </c>
      <c r="G59" s="125">
        <v>0</v>
      </c>
      <c r="H59" s="125">
        <f t="shared" si="7"/>
        <v>29.41</v>
      </c>
      <c r="I59" s="83">
        <v>29.41</v>
      </c>
      <c r="J59" s="83">
        <v>0</v>
      </c>
      <c r="K59" s="83">
        <v>0</v>
      </c>
      <c r="L59" s="83">
        <v>0</v>
      </c>
      <c r="M59" s="83">
        <f t="shared" si="8"/>
        <v>29.41</v>
      </c>
      <c r="N59" s="71"/>
      <c r="O59" s="121" t="s">
        <v>1864</v>
      </c>
      <c r="P59" s="121" t="s">
        <v>1835</v>
      </c>
      <c r="Q59" s="145" t="s">
        <v>1684</v>
      </c>
    </row>
    <row r="60" s="98" customFormat="1" customHeight="1" spans="1:17">
      <c r="A60" s="120">
        <v>55</v>
      </c>
      <c r="B60" s="128" t="s">
        <v>1869</v>
      </c>
      <c r="C60" s="53" t="s">
        <v>1076</v>
      </c>
      <c r="D60" s="123" t="s">
        <v>1902</v>
      </c>
      <c r="E60" s="125">
        <v>0</v>
      </c>
      <c r="F60" s="125">
        <v>128</v>
      </c>
      <c r="G60" s="125">
        <v>78</v>
      </c>
      <c r="H60" s="125">
        <f t="shared" si="7"/>
        <v>78</v>
      </c>
      <c r="I60" s="83">
        <v>78</v>
      </c>
      <c r="J60" s="83">
        <v>78</v>
      </c>
      <c r="K60" s="83">
        <v>-78</v>
      </c>
      <c r="L60" s="83">
        <v>-78</v>
      </c>
      <c r="M60" s="83">
        <f t="shared" si="8"/>
        <v>0</v>
      </c>
      <c r="N60" s="71"/>
      <c r="O60" s="121" t="s">
        <v>1864</v>
      </c>
      <c r="P60" s="121" t="s">
        <v>1835</v>
      </c>
      <c r="Q60" s="145">
        <v>2120899</v>
      </c>
    </row>
    <row r="61" s="98" customFormat="1" customHeight="1" spans="1:17">
      <c r="A61" s="120">
        <v>56</v>
      </c>
      <c r="B61" s="128" t="s">
        <v>1869</v>
      </c>
      <c r="C61" s="53" t="s">
        <v>1076</v>
      </c>
      <c r="D61" s="123" t="s">
        <v>1903</v>
      </c>
      <c r="E61" s="125">
        <v>0</v>
      </c>
      <c r="F61" s="125">
        <v>250</v>
      </c>
      <c r="G61" s="125">
        <v>200</v>
      </c>
      <c r="H61" s="125">
        <f t="shared" si="7"/>
        <v>200</v>
      </c>
      <c r="I61" s="83">
        <v>200</v>
      </c>
      <c r="J61" s="83">
        <v>200</v>
      </c>
      <c r="K61" s="83">
        <v>-200</v>
      </c>
      <c r="L61" s="83">
        <v>-200</v>
      </c>
      <c r="M61" s="83">
        <f t="shared" si="8"/>
        <v>0</v>
      </c>
      <c r="N61" s="71"/>
      <c r="O61" s="121" t="s">
        <v>1864</v>
      </c>
      <c r="P61" s="121" t="s">
        <v>1835</v>
      </c>
      <c r="Q61" s="145" t="s">
        <v>1684</v>
      </c>
    </row>
    <row r="62" s="98" customFormat="1" customHeight="1" spans="1:17">
      <c r="A62" s="117">
        <v>57</v>
      </c>
      <c r="B62" s="118"/>
      <c r="C62" s="118" t="s">
        <v>1904</v>
      </c>
      <c r="D62" s="118"/>
      <c r="E62" s="119">
        <f t="shared" ref="E62:M62" si="9">SUM(E63:E70)</f>
        <v>8355.99</v>
      </c>
      <c r="F62" s="119">
        <f t="shared" si="9"/>
        <v>121.26</v>
      </c>
      <c r="G62" s="119">
        <f t="shared" si="9"/>
        <v>0.08423</v>
      </c>
      <c r="H62" s="119">
        <f t="shared" si="9"/>
        <v>8356.07423</v>
      </c>
      <c r="I62" s="138">
        <f t="shared" si="9"/>
        <v>8355.814233</v>
      </c>
      <c r="J62" s="138">
        <f t="shared" si="9"/>
        <v>101.682624</v>
      </c>
      <c r="K62" s="138">
        <f t="shared" si="9"/>
        <v>-7894.94</v>
      </c>
      <c r="L62" s="138">
        <f t="shared" si="9"/>
        <v>-7894.94</v>
      </c>
      <c r="M62" s="138">
        <f t="shared" si="9"/>
        <v>460.874233</v>
      </c>
      <c r="N62" s="140"/>
      <c r="O62" s="144"/>
      <c r="P62" s="144"/>
      <c r="Q62" s="145"/>
    </row>
    <row r="63" s="98" customFormat="1" customHeight="1" spans="1:17">
      <c r="A63" s="120">
        <v>58</v>
      </c>
      <c r="B63" s="126" t="s">
        <v>1905</v>
      </c>
      <c r="C63" s="123" t="s">
        <v>1055</v>
      </c>
      <c r="D63" s="123" t="s">
        <v>1906</v>
      </c>
      <c r="E63" s="125">
        <v>90.04</v>
      </c>
      <c r="F63" s="125">
        <v>0</v>
      </c>
      <c r="G63" s="125">
        <v>0</v>
      </c>
      <c r="H63" s="125">
        <f t="shared" ref="H63:H70" si="10">E63+G63</f>
        <v>90.04</v>
      </c>
      <c r="I63" s="83">
        <v>90.04</v>
      </c>
      <c r="J63" s="83">
        <v>0</v>
      </c>
      <c r="K63" s="83">
        <v>0</v>
      </c>
      <c r="L63" s="83">
        <v>0</v>
      </c>
      <c r="M63" s="83">
        <f>I63+L63</f>
        <v>90.04</v>
      </c>
      <c r="N63" s="122"/>
      <c r="O63" s="121" t="s">
        <v>1907</v>
      </c>
      <c r="P63" s="121" t="s">
        <v>1835</v>
      </c>
      <c r="Q63" s="145">
        <v>2120803</v>
      </c>
    </row>
    <row r="64" s="95" customFormat="1" customHeight="1" spans="1:17">
      <c r="A64" s="120">
        <v>59</v>
      </c>
      <c r="B64" s="126" t="s">
        <v>1905</v>
      </c>
      <c r="C64" s="123" t="s">
        <v>1055</v>
      </c>
      <c r="D64" s="123" t="s">
        <v>1908</v>
      </c>
      <c r="E64" s="125">
        <v>7793.52</v>
      </c>
      <c r="F64" s="125">
        <v>0</v>
      </c>
      <c r="G64" s="125">
        <v>0</v>
      </c>
      <c r="H64" s="125">
        <f t="shared" si="10"/>
        <v>7793.52</v>
      </c>
      <c r="I64" s="83">
        <v>7793.52</v>
      </c>
      <c r="J64" s="83">
        <v>0</v>
      </c>
      <c r="K64" s="83">
        <v>-7793.52</v>
      </c>
      <c r="L64" s="83">
        <v>-7793.52</v>
      </c>
      <c r="M64" s="83">
        <f t="shared" ref="M64:M70" si="11">I64+L64</f>
        <v>0</v>
      </c>
      <c r="N64" s="122" t="s">
        <v>1909</v>
      </c>
      <c r="O64" s="121" t="s">
        <v>1907</v>
      </c>
      <c r="P64" s="121" t="s">
        <v>1835</v>
      </c>
      <c r="Q64" s="145">
        <v>2120803</v>
      </c>
    </row>
    <row r="65" s="95" customFormat="1" customHeight="1" spans="1:17">
      <c r="A65" s="120">
        <v>60</v>
      </c>
      <c r="B65" s="126" t="s">
        <v>1905</v>
      </c>
      <c r="C65" s="123" t="s">
        <v>1341</v>
      </c>
      <c r="D65" s="123" t="s">
        <v>1910</v>
      </c>
      <c r="E65" s="125">
        <v>171.26</v>
      </c>
      <c r="F65" s="125">
        <v>121.26</v>
      </c>
      <c r="G65" s="125">
        <v>0</v>
      </c>
      <c r="H65" s="125">
        <f t="shared" si="10"/>
        <v>171.26</v>
      </c>
      <c r="I65" s="83">
        <v>171</v>
      </c>
      <c r="J65" s="83">
        <v>101.682624</v>
      </c>
      <c r="K65" s="83">
        <v>-101.42</v>
      </c>
      <c r="L65" s="83">
        <v>-101.42</v>
      </c>
      <c r="M65" s="83">
        <f t="shared" si="11"/>
        <v>69.58</v>
      </c>
      <c r="N65" s="53"/>
      <c r="O65" s="121" t="s">
        <v>1907</v>
      </c>
      <c r="P65" s="121" t="s">
        <v>1835</v>
      </c>
      <c r="Q65" s="145">
        <v>2120899</v>
      </c>
    </row>
    <row r="66" s="98" customFormat="1" customHeight="1" spans="1:17">
      <c r="A66" s="120">
        <v>61</v>
      </c>
      <c r="B66" s="126" t="s">
        <v>1905</v>
      </c>
      <c r="C66" s="123" t="s">
        <v>659</v>
      </c>
      <c r="D66" s="123" t="s">
        <v>1911</v>
      </c>
      <c r="E66" s="125">
        <v>74.8</v>
      </c>
      <c r="F66" s="125">
        <v>0</v>
      </c>
      <c r="G66" s="125">
        <v>0</v>
      </c>
      <c r="H66" s="125">
        <f t="shared" si="10"/>
        <v>74.8</v>
      </c>
      <c r="I66" s="83">
        <v>74.8</v>
      </c>
      <c r="J66" s="83">
        <v>0</v>
      </c>
      <c r="K66" s="83">
        <v>0</v>
      </c>
      <c r="L66" s="83">
        <v>0</v>
      </c>
      <c r="M66" s="83">
        <f t="shared" si="11"/>
        <v>74.8</v>
      </c>
      <c r="N66" s="122"/>
      <c r="O66" s="121" t="s">
        <v>1907</v>
      </c>
      <c r="P66" s="121" t="s">
        <v>1835</v>
      </c>
      <c r="Q66" s="145">
        <v>2120803</v>
      </c>
    </row>
    <row r="67" s="98" customFormat="1" customHeight="1" spans="1:17">
      <c r="A67" s="120">
        <v>62</v>
      </c>
      <c r="B67" s="126" t="s">
        <v>1905</v>
      </c>
      <c r="C67" s="123" t="s">
        <v>657</v>
      </c>
      <c r="D67" s="123" t="s">
        <v>1912</v>
      </c>
      <c r="E67" s="125">
        <v>19.28</v>
      </c>
      <c r="F67" s="125">
        <v>0</v>
      </c>
      <c r="G67" s="125">
        <v>0</v>
      </c>
      <c r="H67" s="125">
        <f t="shared" si="10"/>
        <v>19.28</v>
      </c>
      <c r="I67" s="83">
        <v>19.28</v>
      </c>
      <c r="J67" s="83">
        <v>0</v>
      </c>
      <c r="K67" s="83">
        <v>0</v>
      </c>
      <c r="L67" s="83">
        <v>0</v>
      </c>
      <c r="M67" s="83">
        <f t="shared" si="11"/>
        <v>19.28</v>
      </c>
      <c r="N67" s="122"/>
      <c r="O67" s="121" t="s">
        <v>1907</v>
      </c>
      <c r="P67" s="121" t="s">
        <v>1835</v>
      </c>
      <c r="Q67" s="145">
        <v>2120803</v>
      </c>
    </row>
    <row r="68" s="98" customFormat="1" customHeight="1" spans="1:17">
      <c r="A68" s="120">
        <v>63</v>
      </c>
      <c r="B68" s="126" t="s">
        <v>1905</v>
      </c>
      <c r="C68" s="123" t="s">
        <v>662</v>
      </c>
      <c r="D68" s="123" t="s">
        <v>1913</v>
      </c>
      <c r="E68" s="125">
        <v>79.25</v>
      </c>
      <c r="F68" s="125">
        <v>0</v>
      </c>
      <c r="G68" s="125">
        <v>0</v>
      </c>
      <c r="H68" s="125">
        <f t="shared" si="10"/>
        <v>79.25</v>
      </c>
      <c r="I68" s="83">
        <v>79.25</v>
      </c>
      <c r="J68" s="83">
        <v>0</v>
      </c>
      <c r="K68" s="83">
        <v>0</v>
      </c>
      <c r="L68" s="83">
        <v>0</v>
      </c>
      <c r="M68" s="83">
        <f t="shared" si="11"/>
        <v>79.25</v>
      </c>
      <c r="N68" s="122"/>
      <c r="O68" s="121" t="s">
        <v>1907</v>
      </c>
      <c r="P68" s="121" t="s">
        <v>1835</v>
      </c>
      <c r="Q68" s="145">
        <v>2120803</v>
      </c>
    </row>
    <row r="69" s="98" customFormat="1" customHeight="1" spans="1:17">
      <c r="A69" s="120">
        <v>64</v>
      </c>
      <c r="B69" s="126" t="s">
        <v>1905</v>
      </c>
      <c r="C69" s="123" t="s">
        <v>649</v>
      </c>
      <c r="D69" s="123" t="s">
        <v>1914</v>
      </c>
      <c r="E69" s="125">
        <v>34</v>
      </c>
      <c r="F69" s="125">
        <v>0</v>
      </c>
      <c r="G69" s="125">
        <v>0</v>
      </c>
      <c r="H69" s="125">
        <f t="shared" si="10"/>
        <v>34</v>
      </c>
      <c r="I69" s="83">
        <v>34</v>
      </c>
      <c r="J69" s="83">
        <v>0</v>
      </c>
      <c r="K69" s="83">
        <v>0</v>
      </c>
      <c r="L69" s="83">
        <v>0</v>
      </c>
      <c r="M69" s="83">
        <f t="shared" si="11"/>
        <v>34</v>
      </c>
      <c r="N69" s="122"/>
      <c r="O69" s="121" t="s">
        <v>1907</v>
      </c>
      <c r="P69" s="121" t="s">
        <v>1835</v>
      </c>
      <c r="Q69" s="145">
        <v>2120803</v>
      </c>
    </row>
    <row r="70" s="98" customFormat="1" customHeight="1" spans="1:17">
      <c r="A70" s="120">
        <v>65</v>
      </c>
      <c r="B70" s="126" t="s">
        <v>1905</v>
      </c>
      <c r="C70" s="123" t="s">
        <v>1055</v>
      </c>
      <c r="D70" s="123" t="s">
        <v>1915</v>
      </c>
      <c r="E70" s="125">
        <v>93.84</v>
      </c>
      <c r="F70" s="125">
        <v>0</v>
      </c>
      <c r="G70" s="125">
        <v>0.08423</v>
      </c>
      <c r="H70" s="125">
        <f t="shared" si="10"/>
        <v>93.92423</v>
      </c>
      <c r="I70" s="83">
        <v>93.924233</v>
      </c>
      <c r="J70" s="83">
        <v>0</v>
      </c>
      <c r="K70" s="83">
        <v>0</v>
      </c>
      <c r="L70" s="83">
        <v>0</v>
      </c>
      <c r="M70" s="83">
        <f t="shared" si="11"/>
        <v>93.924233</v>
      </c>
      <c r="N70" s="53"/>
      <c r="O70" s="121" t="s">
        <v>1907</v>
      </c>
      <c r="P70" s="121" t="s">
        <v>1835</v>
      </c>
      <c r="Q70" s="145">
        <v>2120899</v>
      </c>
    </row>
    <row r="71" s="98" customFormat="1" customHeight="1" spans="1:17">
      <c r="A71" s="117">
        <v>66</v>
      </c>
      <c r="B71" s="118"/>
      <c r="C71" s="118" t="s">
        <v>1916</v>
      </c>
      <c r="D71" s="118"/>
      <c r="E71" s="119">
        <f t="shared" ref="E71:M71" si="12">SUM(E72:E120)</f>
        <v>56065.784</v>
      </c>
      <c r="F71" s="119">
        <f t="shared" si="12"/>
        <v>7245.5</v>
      </c>
      <c r="G71" s="119">
        <f t="shared" si="12"/>
        <v>3255.73</v>
      </c>
      <c r="H71" s="119">
        <f t="shared" si="12"/>
        <v>59321.514</v>
      </c>
      <c r="I71" s="138">
        <f t="shared" si="12"/>
        <v>59321.514</v>
      </c>
      <c r="J71" s="138">
        <f t="shared" si="12"/>
        <v>9540.899019</v>
      </c>
      <c r="K71" s="138">
        <f t="shared" si="12"/>
        <v>-9567.713795</v>
      </c>
      <c r="L71" s="138">
        <f t="shared" si="12"/>
        <v>-9567.713795</v>
      </c>
      <c r="M71" s="138">
        <f t="shared" si="12"/>
        <v>49753.800205</v>
      </c>
      <c r="N71" s="140"/>
      <c r="O71" s="141"/>
      <c r="P71" s="141"/>
      <c r="Q71" s="145"/>
    </row>
    <row r="72" s="98" customFormat="1" customHeight="1" spans="1:17">
      <c r="A72" s="120">
        <v>67</v>
      </c>
      <c r="B72" s="126" t="s">
        <v>1862</v>
      </c>
      <c r="C72" s="123" t="s">
        <v>1476</v>
      </c>
      <c r="D72" s="123" t="s">
        <v>1917</v>
      </c>
      <c r="E72" s="125">
        <v>128.83</v>
      </c>
      <c r="F72" s="125">
        <v>0</v>
      </c>
      <c r="G72" s="125">
        <v>0</v>
      </c>
      <c r="H72" s="125">
        <f t="shared" ref="H72:H122" si="13">E72+G72</f>
        <v>128.83</v>
      </c>
      <c r="I72" s="83">
        <v>128.83</v>
      </c>
      <c r="J72" s="83">
        <v>128.83</v>
      </c>
      <c r="K72" s="83">
        <v>-128.83</v>
      </c>
      <c r="L72" s="83">
        <v>-128.83</v>
      </c>
      <c r="M72" s="83">
        <f>I72+L72</f>
        <v>0</v>
      </c>
      <c r="N72" s="71"/>
      <c r="O72" s="121" t="s">
        <v>1631</v>
      </c>
      <c r="P72" s="121" t="s">
        <v>1835</v>
      </c>
      <c r="Q72" s="145">
        <v>2120811</v>
      </c>
    </row>
    <row r="73" s="97" customFormat="1" customHeight="1" spans="1:17">
      <c r="A73" s="120">
        <v>68</v>
      </c>
      <c r="B73" s="121" t="s">
        <v>1862</v>
      </c>
      <c r="C73" s="123" t="s">
        <v>1879</v>
      </c>
      <c r="D73" s="123" t="s">
        <v>1918</v>
      </c>
      <c r="E73" s="125">
        <v>18</v>
      </c>
      <c r="F73" s="125">
        <v>0</v>
      </c>
      <c r="G73" s="125">
        <v>0</v>
      </c>
      <c r="H73" s="125">
        <f t="shared" si="13"/>
        <v>18</v>
      </c>
      <c r="I73" s="83">
        <v>18</v>
      </c>
      <c r="J73" s="83">
        <v>0</v>
      </c>
      <c r="K73" s="83"/>
      <c r="L73" s="83"/>
      <c r="M73" s="83">
        <f t="shared" ref="M73:M107" si="14">I73+L73</f>
        <v>18</v>
      </c>
      <c r="N73" s="71"/>
      <c r="O73" s="121" t="s">
        <v>1631</v>
      </c>
      <c r="P73" s="121" t="s">
        <v>1835</v>
      </c>
      <c r="Q73" s="145">
        <v>2120811</v>
      </c>
    </row>
    <row r="74" s="98" customFormat="1" customHeight="1" spans="1:17">
      <c r="A74" s="120">
        <v>69</v>
      </c>
      <c r="B74" s="126" t="s">
        <v>1862</v>
      </c>
      <c r="C74" s="123" t="s">
        <v>1879</v>
      </c>
      <c r="D74" s="123" t="s">
        <v>1919</v>
      </c>
      <c r="E74" s="125">
        <v>15.19</v>
      </c>
      <c r="F74" s="125">
        <v>63.98</v>
      </c>
      <c r="G74" s="125">
        <v>30</v>
      </c>
      <c r="H74" s="125">
        <f t="shared" si="13"/>
        <v>45.19</v>
      </c>
      <c r="I74" s="83">
        <v>45.19</v>
      </c>
      <c r="J74" s="83">
        <v>30</v>
      </c>
      <c r="K74" s="83">
        <v>-10.19</v>
      </c>
      <c r="L74" s="83">
        <v>-10.19</v>
      </c>
      <c r="M74" s="83">
        <f t="shared" si="14"/>
        <v>35</v>
      </c>
      <c r="N74" s="71"/>
      <c r="O74" s="121" t="s">
        <v>1631</v>
      </c>
      <c r="P74" s="121" t="s">
        <v>1835</v>
      </c>
      <c r="Q74" s="145">
        <v>2120811</v>
      </c>
    </row>
    <row r="75" s="97" customFormat="1" customHeight="1" spans="1:17">
      <c r="A75" s="120">
        <v>70</v>
      </c>
      <c r="B75" s="126" t="s">
        <v>1920</v>
      </c>
      <c r="C75" s="123" t="s">
        <v>1476</v>
      </c>
      <c r="D75" s="123" t="s">
        <v>1921</v>
      </c>
      <c r="E75" s="150">
        <v>12058.25</v>
      </c>
      <c r="F75" s="150">
        <f>11719.7+4913.81-12058.25</f>
        <v>4575.26</v>
      </c>
      <c r="G75" s="150">
        <f>11719.7+4913.81-12058.25</f>
        <v>4575.26</v>
      </c>
      <c r="H75" s="125">
        <f t="shared" si="13"/>
        <v>16633.51</v>
      </c>
      <c r="I75" s="83">
        <v>16633.51</v>
      </c>
      <c r="J75" s="83">
        <v>6118.025</v>
      </c>
      <c r="K75" s="83">
        <v>0</v>
      </c>
      <c r="L75" s="83">
        <v>0</v>
      </c>
      <c r="M75" s="83">
        <f t="shared" si="14"/>
        <v>16633.51</v>
      </c>
      <c r="N75" s="71"/>
      <c r="O75" s="121" t="s">
        <v>1631</v>
      </c>
      <c r="P75" s="121" t="s">
        <v>1835</v>
      </c>
      <c r="Q75" s="146">
        <v>2320498</v>
      </c>
    </row>
    <row r="76" s="97" customFormat="1" customHeight="1" spans="1:17">
      <c r="A76" s="120">
        <v>71</v>
      </c>
      <c r="B76" s="126" t="s">
        <v>1920</v>
      </c>
      <c r="C76" s="123" t="s">
        <v>1476</v>
      </c>
      <c r="D76" s="123" t="s">
        <v>1922</v>
      </c>
      <c r="E76" s="150">
        <v>241.17</v>
      </c>
      <c r="F76" s="150">
        <v>145</v>
      </c>
      <c r="G76" s="150">
        <v>145</v>
      </c>
      <c r="H76" s="125">
        <f t="shared" si="13"/>
        <v>386.17</v>
      </c>
      <c r="I76" s="83">
        <v>386.17</v>
      </c>
      <c r="J76" s="83">
        <f>386.168-238.780477</f>
        <v>147.387523</v>
      </c>
      <c r="K76" s="83">
        <v>-3.919497</v>
      </c>
      <c r="L76" s="83">
        <v>-3.919497</v>
      </c>
      <c r="M76" s="83">
        <f t="shared" si="14"/>
        <v>382.250503</v>
      </c>
      <c r="N76" s="71"/>
      <c r="O76" s="121" t="s">
        <v>1631</v>
      </c>
      <c r="P76" s="121" t="s">
        <v>1835</v>
      </c>
      <c r="Q76" s="146">
        <v>2330498</v>
      </c>
    </row>
    <row r="77" s="97" customFormat="1" customHeight="1" spans="1:17">
      <c r="A77" s="120">
        <v>72</v>
      </c>
      <c r="B77" s="126" t="s">
        <v>1920</v>
      </c>
      <c r="C77" s="123" t="s">
        <v>1476</v>
      </c>
      <c r="D77" s="123" t="s">
        <v>1923</v>
      </c>
      <c r="E77" s="150">
        <v>19900</v>
      </c>
      <c r="F77" s="150"/>
      <c r="G77" s="150"/>
      <c r="H77" s="125">
        <f t="shared" si="13"/>
        <v>19900</v>
      </c>
      <c r="I77" s="83">
        <f t="shared" ref="I77:I82" si="15">F77+H77</f>
        <v>19900</v>
      </c>
      <c r="J77" s="83">
        <v>0</v>
      </c>
      <c r="K77" s="83">
        <v>0</v>
      </c>
      <c r="L77" s="83">
        <v>0</v>
      </c>
      <c r="M77" s="83">
        <f t="shared" si="14"/>
        <v>19900</v>
      </c>
      <c r="N77" s="71"/>
      <c r="O77" s="121" t="s">
        <v>1631</v>
      </c>
      <c r="P77" s="121" t="s">
        <v>1835</v>
      </c>
      <c r="Q77" s="146">
        <v>2310411</v>
      </c>
    </row>
    <row r="78" s="97" customFormat="1" customHeight="1" spans="1:17">
      <c r="A78" s="120">
        <v>73</v>
      </c>
      <c r="B78" s="126" t="s">
        <v>1920</v>
      </c>
      <c r="C78" s="123" t="s">
        <v>1476</v>
      </c>
      <c r="D78" s="123" t="s">
        <v>1924</v>
      </c>
      <c r="E78" s="150">
        <v>3330.41</v>
      </c>
      <c r="F78" s="150"/>
      <c r="G78" s="150"/>
      <c r="H78" s="125">
        <f t="shared" si="13"/>
        <v>3330.41</v>
      </c>
      <c r="I78" s="83">
        <f t="shared" si="15"/>
        <v>3330.41</v>
      </c>
      <c r="J78" s="83">
        <f>I78-3015.691</f>
        <v>314.719</v>
      </c>
      <c r="K78" s="83">
        <v>-0.004</v>
      </c>
      <c r="L78" s="83">
        <v>-0.004</v>
      </c>
      <c r="M78" s="83">
        <f t="shared" si="14"/>
        <v>3330.406</v>
      </c>
      <c r="N78" s="71"/>
      <c r="O78" s="121" t="s">
        <v>1631</v>
      </c>
      <c r="P78" s="121" t="s">
        <v>1835</v>
      </c>
      <c r="Q78" s="146">
        <v>2320411</v>
      </c>
    </row>
    <row r="79" s="97" customFormat="1" customHeight="1" spans="1:17">
      <c r="A79" s="120">
        <v>74</v>
      </c>
      <c r="B79" s="126" t="s">
        <v>1920</v>
      </c>
      <c r="C79" s="123" t="s">
        <v>1476</v>
      </c>
      <c r="D79" s="123" t="s">
        <v>1925</v>
      </c>
      <c r="E79" s="150">
        <v>33.14</v>
      </c>
      <c r="F79" s="150"/>
      <c r="G79" s="150"/>
      <c r="H79" s="125">
        <f t="shared" si="13"/>
        <v>33.14</v>
      </c>
      <c r="I79" s="83">
        <f t="shared" si="15"/>
        <v>33.14</v>
      </c>
      <c r="J79" s="83">
        <v>4.918478</v>
      </c>
      <c r="K79" s="83">
        <v>-4.918478</v>
      </c>
      <c r="L79" s="83">
        <v>-4.918478</v>
      </c>
      <c r="M79" s="83">
        <f t="shared" si="14"/>
        <v>28.221522</v>
      </c>
      <c r="N79" s="71"/>
      <c r="O79" s="121" t="s">
        <v>1631</v>
      </c>
      <c r="P79" s="121" t="s">
        <v>1835</v>
      </c>
      <c r="Q79" s="146">
        <v>2330411</v>
      </c>
    </row>
    <row r="80" s="97" customFormat="1" customHeight="1" spans="1:17">
      <c r="A80" s="120">
        <v>75</v>
      </c>
      <c r="B80" s="126" t="s">
        <v>1920</v>
      </c>
      <c r="C80" s="123" t="s">
        <v>1476</v>
      </c>
      <c r="D80" s="123" t="s">
        <v>1926</v>
      </c>
      <c r="E80" s="150">
        <v>5200</v>
      </c>
      <c r="F80" s="150"/>
      <c r="G80" s="150"/>
      <c r="H80" s="125">
        <f t="shared" si="13"/>
        <v>5200</v>
      </c>
      <c r="I80" s="83">
        <f t="shared" si="15"/>
        <v>5200</v>
      </c>
      <c r="J80" s="83">
        <v>0</v>
      </c>
      <c r="K80" s="83">
        <v>0</v>
      </c>
      <c r="L80" s="83">
        <v>0</v>
      </c>
      <c r="M80" s="83">
        <f t="shared" si="14"/>
        <v>5200</v>
      </c>
      <c r="N80" s="71"/>
      <c r="O80" s="121" t="s">
        <v>1631</v>
      </c>
      <c r="P80" s="121" t="s">
        <v>1835</v>
      </c>
      <c r="Q80" s="146">
        <v>2310431</v>
      </c>
    </row>
    <row r="81" s="97" customFormat="1" customHeight="1" spans="1:17">
      <c r="A81" s="120">
        <v>76</v>
      </c>
      <c r="B81" s="126" t="s">
        <v>1920</v>
      </c>
      <c r="C81" s="123" t="s">
        <v>1476</v>
      </c>
      <c r="D81" s="123" t="s">
        <v>1927</v>
      </c>
      <c r="E81" s="150">
        <v>1037.6</v>
      </c>
      <c r="F81" s="150"/>
      <c r="G81" s="150"/>
      <c r="H81" s="125">
        <f t="shared" si="13"/>
        <v>1037.6</v>
      </c>
      <c r="I81" s="83">
        <f t="shared" si="15"/>
        <v>1037.6</v>
      </c>
      <c r="J81" s="83">
        <v>0</v>
      </c>
      <c r="K81" s="83">
        <v>0</v>
      </c>
      <c r="L81" s="83">
        <v>0</v>
      </c>
      <c r="M81" s="83">
        <f t="shared" si="14"/>
        <v>1037.6</v>
      </c>
      <c r="N81" s="71"/>
      <c r="O81" s="121" t="s">
        <v>1631</v>
      </c>
      <c r="P81" s="121" t="s">
        <v>1835</v>
      </c>
      <c r="Q81" s="146">
        <v>2320431</v>
      </c>
    </row>
    <row r="82" s="97" customFormat="1" customHeight="1" spans="1:17">
      <c r="A82" s="120">
        <v>77</v>
      </c>
      <c r="B82" s="126" t="s">
        <v>1920</v>
      </c>
      <c r="C82" s="123" t="s">
        <v>1476</v>
      </c>
      <c r="D82" s="123" t="s">
        <v>1928</v>
      </c>
      <c r="E82" s="150">
        <v>6</v>
      </c>
      <c r="F82" s="150"/>
      <c r="G82" s="150"/>
      <c r="H82" s="125">
        <f t="shared" si="13"/>
        <v>6</v>
      </c>
      <c r="I82" s="83">
        <f t="shared" si="15"/>
        <v>6</v>
      </c>
      <c r="J82" s="83">
        <v>1.52812</v>
      </c>
      <c r="K82" s="83">
        <v>-1.52812</v>
      </c>
      <c r="L82" s="83">
        <v>-1.52812</v>
      </c>
      <c r="M82" s="83">
        <f t="shared" si="14"/>
        <v>4.47188</v>
      </c>
      <c r="N82" s="71"/>
      <c r="O82" s="121" t="s">
        <v>1631</v>
      </c>
      <c r="P82" s="121" t="s">
        <v>1835</v>
      </c>
      <c r="Q82" s="146">
        <v>2330431</v>
      </c>
    </row>
    <row r="83" s="97" customFormat="1" customHeight="1" spans="1:17">
      <c r="A83" s="120">
        <v>78</v>
      </c>
      <c r="B83" s="121" t="s">
        <v>1831</v>
      </c>
      <c r="C83" s="123" t="s">
        <v>1832</v>
      </c>
      <c r="D83" s="123" t="s">
        <v>1929</v>
      </c>
      <c r="E83" s="125">
        <v>49.924</v>
      </c>
      <c r="F83" s="125">
        <v>103</v>
      </c>
      <c r="G83" s="125">
        <v>0</v>
      </c>
      <c r="H83" s="125">
        <f t="shared" si="13"/>
        <v>49.924</v>
      </c>
      <c r="I83" s="142">
        <v>49.924</v>
      </c>
      <c r="J83" s="83">
        <v>0</v>
      </c>
      <c r="K83" s="83">
        <v>0</v>
      </c>
      <c r="L83" s="83">
        <v>0</v>
      </c>
      <c r="M83" s="83">
        <f t="shared" si="14"/>
        <v>49.924</v>
      </c>
      <c r="N83" s="71"/>
      <c r="O83" s="121" t="s">
        <v>1631</v>
      </c>
      <c r="P83" s="121" t="s">
        <v>1835</v>
      </c>
      <c r="Q83" s="145">
        <v>2120806</v>
      </c>
    </row>
    <row r="84" s="97" customFormat="1" customHeight="1" spans="1:17">
      <c r="A84" s="120">
        <v>79</v>
      </c>
      <c r="B84" s="121" t="s">
        <v>1831</v>
      </c>
      <c r="C84" s="123" t="s">
        <v>1832</v>
      </c>
      <c r="D84" s="123" t="s">
        <v>1930</v>
      </c>
      <c r="E84" s="125">
        <v>63.9</v>
      </c>
      <c r="F84" s="125">
        <v>10</v>
      </c>
      <c r="G84" s="125">
        <v>0</v>
      </c>
      <c r="H84" s="125">
        <f t="shared" si="13"/>
        <v>63.9</v>
      </c>
      <c r="I84" s="142">
        <v>63.9</v>
      </c>
      <c r="J84" s="142">
        <v>12.5</v>
      </c>
      <c r="K84" s="83">
        <v>0</v>
      </c>
      <c r="L84" s="83">
        <v>0</v>
      </c>
      <c r="M84" s="83">
        <f t="shared" si="14"/>
        <v>63.9</v>
      </c>
      <c r="N84" s="71"/>
      <c r="O84" s="121" t="s">
        <v>1631</v>
      </c>
      <c r="P84" s="121" t="s">
        <v>1835</v>
      </c>
      <c r="Q84" s="145">
        <v>2120806</v>
      </c>
    </row>
    <row r="85" s="97" customFormat="1" customHeight="1" spans="1:17">
      <c r="A85" s="120">
        <v>80</v>
      </c>
      <c r="B85" s="121" t="s">
        <v>1831</v>
      </c>
      <c r="C85" s="123" t="s">
        <v>1039</v>
      </c>
      <c r="D85" s="123" t="s">
        <v>1931</v>
      </c>
      <c r="E85" s="125">
        <v>274</v>
      </c>
      <c r="F85" s="125">
        <v>0</v>
      </c>
      <c r="G85" s="125">
        <v>0</v>
      </c>
      <c r="H85" s="125">
        <f t="shared" si="13"/>
        <v>274</v>
      </c>
      <c r="I85" s="142">
        <v>274</v>
      </c>
      <c r="J85" s="142">
        <v>20</v>
      </c>
      <c r="K85" s="83">
        <v>-20</v>
      </c>
      <c r="L85" s="83">
        <v>-20</v>
      </c>
      <c r="M85" s="83">
        <f t="shared" si="14"/>
        <v>254</v>
      </c>
      <c r="N85" s="71"/>
      <c r="O85" s="121" t="s">
        <v>1631</v>
      </c>
      <c r="P85" s="121" t="s">
        <v>1835</v>
      </c>
      <c r="Q85" s="145">
        <v>2120806</v>
      </c>
    </row>
    <row r="86" s="97" customFormat="1" customHeight="1" spans="1:17">
      <c r="A86" s="120">
        <v>81</v>
      </c>
      <c r="B86" s="121" t="s">
        <v>1831</v>
      </c>
      <c r="C86" s="123" t="s">
        <v>1039</v>
      </c>
      <c r="D86" s="123" t="s">
        <v>1932</v>
      </c>
      <c r="E86" s="125">
        <v>36</v>
      </c>
      <c r="F86" s="125">
        <v>0</v>
      </c>
      <c r="G86" s="125">
        <v>0</v>
      </c>
      <c r="H86" s="125">
        <f t="shared" si="13"/>
        <v>36</v>
      </c>
      <c r="I86" s="142">
        <v>36</v>
      </c>
      <c r="J86" s="142">
        <v>27.3753</v>
      </c>
      <c r="K86" s="83">
        <v>-27.3753</v>
      </c>
      <c r="L86" s="83">
        <v>-27.3753</v>
      </c>
      <c r="M86" s="83">
        <f t="shared" si="14"/>
        <v>8.6247</v>
      </c>
      <c r="N86" s="71"/>
      <c r="O86" s="121" t="s">
        <v>1631</v>
      </c>
      <c r="P86" s="121" t="s">
        <v>1835</v>
      </c>
      <c r="Q86" s="145">
        <v>2120806</v>
      </c>
    </row>
    <row r="87" s="97" customFormat="1" customHeight="1" spans="1:17">
      <c r="A87" s="120">
        <v>82</v>
      </c>
      <c r="B87" s="121" t="s">
        <v>1831</v>
      </c>
      <c r="C87" s="123" t="s">
        <v>1039</v>
      </c>
      <c r="D87" s="123" t="s">
        <v>1933</v>
      </c>
      <c r="E87" s="125">
        <v>40</v>
      </c>
      <c r="F87" s="125">
        <v>0</v>
      </c>
      <c r="G87" s="125">
        <v>0</v>
      </c>
      <c r="H87" s="125">
        <f t="shared" si="13"/>
        <v>40</v>
      </c>
      <c r="I87" s="142">
        <v>40</v>
      </c>
      <c r="J87" s="142">
        <v>40</v>
      </c>
      <c r="K87" s="83">
        <v>-40</v>
      </c>
      <c r="L87" s="83">
        <v>-40</v>
      </c>
      <c r="M87" s="83">
        <f t="shared" si="14"/>
        <v>0</v>
      </c>
      <c r="N87" s="71"/>
      <c r="O87" s="121" t="s">
        <v>1631</v>
      </c>
      <c r="P87" s="121" t="s">
        <v>1835</v>
      </c>
      <c r="Q87" s="145">
        <v>2120806</v>
      </c>
    </row>
    <row r="88" s="97" customFormat="1" customHeight="1" spans="1:17">
      <c r="A88" s="120">
        <v>83</v>
      </c>
      <c r="B88" s="121" t="s">
        <v>1831</v>
      </c>
      <c r="C88" s="123" t="s">
        <v>1039</v>
      </c>
      <c r="D88" s="123" t="s">
        <v>1934</v>
      </c>
      <c r="E88" s="125">
        <v>37</v>
      </c>
      <c r="F88" s="125">
        <v>0</v>
      </c>
      <c r="G88" s="125">
        <v>0</v>
      </c>
      <c r="H88" s="125">
        <f t="shared" si="13"/>
        <v>37</v>
      </c>
      <c r="I88" s="142">
        <v>37</v>
      </c>
      <c r="J88" s="142">
        <v>32.86</v>
      </c>
      <c r="K88" s="83">
        <v>-32.86</v>
      </c>
      <c r="L88" s="83">
        <v>-32.86</v>
      </c>
      <c r="M88" s="83">
        <f t="shared" si="14"/>
        <v>4.14</v>
      </c>
      <c r="N88" s="71"/>
      <c r="O88" s="121" t="s">
        <v>1631</v>
      </c>
      <c r="P88" s="121" t="s">
        <v>1835</v>
      </c>
      <c r="Q88" s="145">
        <v>21211</v>
      </c>
    </row>
    <row r="89" s="97" customFormat="1" customHeight="1" spans="1:17">
      <c r="A89" s="120">
        <v>84</v>
      </c>
      <c r="B89" s="121" t="s">
        <v>1831</v>
      </c>
      <c r="C89" s="123" t="s">
        <v>1039</v>
      </c>
      <c r="D89" s="123" t="s">
        <v>1935</v>
      </c>
      <c r="E89" s="125">
        <v>170</v>
      </c>
      <c r="F89" s="125">
        <v>0</v>
      </c>
      <c r="G89" s="125">
        <v>-50</v>
      </c>
      <c r="H89" s="125">
        <f t="shared" si="13"/>
        <v>120</v>
      </c>
      <c r="I89" s="142">
        <v>120</v>
      </c>
      <c r="J89" s="142">
        <v>48.616</v>
      </c>
      <c r="K89" s="83">
        <v>-48.616</v>
      </c>
      <c r="L89" s="83">
        <v>-48.616</v>
      </c>
      <c r="M89" s="83">
        <f t="shared" si="14"/>
        <v>71.384</v>
      </c>
      <c r="N89" s="123"/>
      <c r="O89" s="121" t="s">
        <v>1631</v>
      </c>
      <c r="P89" s="121" t="s">
        <v>1835</v>
      </c>
      <c r="Q89" s="145">
        <v>2120806</v>
      </c>
    </row>
    <row r="90" s="97" customFormat="1" customHeight="1" spans="1:17">
      <c r="A90" s="120">
        <v>85</v>
      </c>
      <c r="B90" s="121" t="s">
        <v>1831</v>
      </c>
      <c r="C90" s="123" t="s">
        <v>1039</v>
      </c>
      <c r="D90" s="123" t="s">
        <v>530</v>
      </c>
      <c r="E90" s="125">
        <v>90</v>
      </c>
      <c r="F90" s="125">
        <v>0</v>
      </c>
      <c r="G90" s="125">
        <v>0</v>
      </c>
      <c r="H90" s="125">
        <f t="shared" si="13"/>
        <v>90</v>
      </c>
      <c r="I90" s="142">
        <v>90</v>
      </c>
      <c r="J90" s="142">
        <v>37.893</v>
      </c>
      <c r="K90" s="83">
        <v>-37.893</v>
      </c>
      <c r="L90" s="83">
        <v>-37.893</v>
      </c>
      <c r="M90" s="83">
        <f t="shared" si="14"/>
        <v>52.107</v>
      </c>
      <c r="N90" s="123"/>
      <c r="O90" s="121" t="s">
        <v>1631</v>
      </c>
      <c r="P90" s="121" t="s">
        <v>1835</v>
      </c>
      <c r="Q90" s="145">
        <v>2120806</v>
      </c>
    </row>
    <row r="91" s="97" customFormat="1" customHeight="1" spans="1:17">
      <c r="A91" s="120">
        <v>86</v>
      </c>
      <c r="B91" s="121" t="s">
        <v>1831</v>
      </c>
      <c r="C91" s="123" t="s">
        <v>1039</v>
      </c>
      <c r="D91" s="123" t="s">
        <v>1936</v>
      </c>
      <c r="E91" s="125">
        <v>40</v>
      </c>
      <c r="F91" s="125">
        <v>0</v>
      </c>
      <c r="G91" s="125">
        <v>0</v>
      </c>
      <c r="H91" s="125">
        <f t="shared" si="13"/>
        <v>40</v>
      </c>
      <c r="I91" s="142">
        <v>40</v>
      </c>
      <c r="J91" s="142">
        <v>0.341000000000001</v>
      </c>
      <c r="K91" s="83">
        <v>-0.341000000000001</v>
      </c>
      <c r="L91" s="83">
        <v>-0.341000000000001</v>
      </c>
      <c r="M91" s="83">
        <f t="shared" si="14"/>
        <v>39.659</v>
      </c>
      <c r="N91" s="123"/>
      <c r="O91" s="121" t="s">
        <v>1631</v>
      </c>
      <c r="P91" s="121" t="s">
        <v>1835</v>
      </c>
      <c r="Q91" s="145">
        <v>2120806</v>
      </c>
    </row>
    <row r="92" s="97" customFormat="1" customHeight="1" spans="1:17">
      <c r="A92" s="120">
        <v>87</v>
      </c>
      <c r="B92" s="121" t="s">
        <v>1831</v>
      </c>
      <c r="C92" s="123" t="s">
        <v>1039</v>
      </c>
      <c r="D92" s="123" t="s">
        <v>1937</v>
      </c>
      <c r="E92" s="125">
        <v>50</v>
      </c>
      <c r="F92" s="125">
        <v>0</v>
      </c>
      <c r="G92" s="125">
        <v>0</v>
      </c>
      <c r="H92" s="125">
        <f t="shared" si="13"/>
        <v>50</v>
      </c>
      <c r="I92" s="142">
        <v>50</v>
      </c>
      <c r="J92" s="142">
        <v>50</v>
      </c>
      <c r="K92" s="83">
        <v>-50</v>
      </c>
      <c r="L92" s="83">
        <v>-50</v>
      </c>
      <c r="M92" s="83">
        <f t="shared" si="14"/>
        <v>0</v>
      </c>
      <c r="N92" s="71"/>
      <c r="O92" s="121" t="s">
        <v>1631</v>
      </c>
      <c r="P92" s="121" t="s">
        <v>1835</v>
      </c>
      <c r="Q92" s="145">
        <v>2120806</v>
      </c>
    </row>
    <row r="93" s="97" customFormat="1" customHeight="1" spans="1:17">
      <c r="A93" s="120">
        <v>88</v>
      </c>
      <c r="B93" s="121" t="s">
        <v>1831</v>
      </c>
      <c r="C93" s="123" t="s">
        <v>1039</v>
      </c>
      <c r="D93" s="123" t="s">
        <v>1938</v>
      </c>
      <c r="E93" s="125">
        <v>110</v>
      </c>
      <c r="F93" s="125">
        <v>32</v>
      </c>
      <c r="G93" s="125">
        <v>0</v>
      </c>
      <c r="H93" s="125">
        <f t="shared" si="13"/>
        <v>110</v>
      </c>
      <c r="I93" s="142">
        <v>110</v>
      </c>
      <c r="J93" s="142">
        <v>38.23026</v>
      </c>
      <c r="K93" s="83">
        <v>-18.23</v>
      </c>
      <c r="L93" s="83">
        <v>-18.23</v>
      </c>
      <c r="M93" s="83">
        <f t="shared" si="14"/>
        <v>91.77</v>
      </c>
      <c r="N93" s="123"/>
      <c r="O93" s="121" t="s">
        <v>1631</v>
      </c>
      <c r="P93" s="121" t="s">
        <v>1835</v>
      </c>
      <c r="Q93" s="145">
        <v>2120806</v>
      </c>
    </row>
    <row r="94" s="98" customFormat="1" customHeight="1" spans="1:17">
      <c r="A94" s="120">
        <v>89</v>
      </c>
      <c r="B94" s="126" t="s">
        <v>1831</v>
      </c>
      <c r="C94" s="123" t="s">
        <v>1039</v>
      </c>
      <c r="D94" s="123" t="s">
        <v>1939</v>
      </c>
      <c r="E94" s="125">
        <v>50</v>
      </c>
      <c r="F94" s="125">
        <v>0</v>
      </c>
      <c r="G94" s="125">
        <v>0</v>
      </c>
      <c r="H94" s="125">
        <f t="shared" si="13"/>
        <v>50</v>
      </c>
      <c r="I94" s="142">
        <v>50</v>
      </c>
      <c r="J94" s="142">
        <v>36.7625</v>
      </c>
      <c r="K94" s="83">
        <v>0</v>
      </c>
      <c r="L94" s="83">
        <v>0</v>
      </c>
      <c r="M94" s="83">
        <f t="shared" si="14"/>
        <v>50</v>
      </c>
      <c r="N94" s="71"/>
      <c r="O94" s="121" t="s">
        <v>1631</v>
      </c>
      <c r="P94" s="121" t="s">
        <v>1835</v>
      </c>
      <c r="Q94" s="145">
        <v>2120806</v>
      </c>
    </row>
    <row r="95" s="97" customFormat="1" customHeight="1" spans="1:17">
      <c r="A95" s="120">
        <v>90</v>
      </c>
      <c r="B95" s="121" t="s">
        <v>1831</v>
      </c>
      <c r="C95" s="123" t="s">
        <v>1039</v>
      </c>
      <c r="D95" s="123" t="s">
        <v>1940</v>
      </c>
      <c r="E95" s="125">
        <v>19</v>
      </c>
      <c r="F95" s="125">
        <v>0</v>
      </c>
      <c r="G95" s="125">
        <v>0</v>
      </c>
      <c r="H95" s="125">
        <f t="shared" si="13"/>
        <v>19</v>
      </c>
      <c r="I95" s="142">
        <v>19</v>
      </c>
      <c r="J95" s="142">
        <v>0.2</v>
      </c>
      <c r="K95" s="83">
        <v>-0.2</v>
      </c>
      <c r="L95" s="83">
        <v>-0.2</v>
      </c>
      <c r="M95" s="83">
        <f t="shared" si="14"/>
        <v>18.8</v>
      </c>
      <c r="N95" s="71"/>
      <c r="O95" s="121" t="s">
        <v>1631</v>
      </c>
      <c r="P95" s="121" t="s">
        <v>1835</v>
      </c>
      <c r="Q95" s="145">
        <v>2120806</v>
      </c>
    </row>
    <row r="96" s="97" customFormat="1" customHeight="1" spans="1:17">
      <c r="A96" s="120">
        <v>91</v>
      </c>
      <c r="B96" s="121" t="s">
        <v>1831</v>
      </c>
      <c r="C96" s="123" t="s">
        <v>1039</v>
      </c>
      <c r="D96" s="123" t="s">
        <v>1941</v>
      </c>
      <c r="E96" s="125">
        <v>70</v>
      </c>
      <c r="F96" s="125">
        <v>30</v>
      </c>
      <c r="G96" s="125">
        <v>-20</v>
      </c>
      <c r="H96" s="125">
        <f t="shared" si="13"/>
        <v>50</v>
      </c>
      <c r="I96" s="142">
        <v>50</v>
      </c>
      <c r="J96" s="142">
        <v>44.2002</v>
      </c>
      <c r="K96" s="83">
        <v>-44.2002</v>
      </c>
      <c r="L96" s="142">
        <v>-44.2002</v>
      </c>
      <c r="M96" s="83">
        <f t="shared" si="14"/>
        <v>5.7998</v>
      </c>
      <c r="N96" s="71"/>
      <c r="O96" s="121" t="s">
        <v>1631</v>
      </c>
      <c r="P96" s="121" t="s">
        <v>1835</v>
      </c>
      <c r="Q96" s="145">
        <v>2120806</v>
      </c>
    </row>
    <row r="97" s="97" customFormat="1" customHeight="1" spans="1:17">
      <c r="A97" s="120">
        <v>92</v>
      </c>
      <c r="B97" s="121" t="s">
        <v>1831</v>
      </c>
      <c r="C97" s="123" t="s">
        <v>1039</v>
      </c>
      <c r="D97" s="123" t="s">
        <v>1942</v>
      </c>
      <c r="E97" s="125">
        <v>15</v>
      </c>
      <c r="F97" s="125">
        <v>0</v>
      </c>
      <c r="G97" s="125">
        <v>0</v>
      </c>
      <c r="H97" s="125">
        <f t="shared" si="13"/>
        <v>15</v>
      </c>
      <c r="I97" s="142">
        <v>15</v>
      </c>
      <c r="J97" s="142">
        <v>15</v>
      </c>
      <c r="K97" s="83">
        <v>-15</v>
      </c>
      <c r="L97" s="83">
        <v>-15</v>
      </c>
      <c r="M97" s="83">
        <f t="shared" si="14"/>
        <v>0</v>
      </c>
      <c r="N97" s="71"/>
      <c r="O97" s="121" t="s">
        <v>1631</v>
      </c>
      <c r="P97" s="121" t="s">
        <v>1835</v>
      </c>
      <c r="Q97" s="145">
        <v>2120806</v>
      </c>
    </row>
    <row r="98" s="97" customFormat="1" customHeight="1" spans="1:17">
      <c r="A98" s="120">
        <v>93</v>
      </c>
      <c r="B98" s="121" t="s">
        <v>1831</v>
      </c>
      <c r="C98" s="123" t="s">
        <v>1039</v>
      </c>
      <c r="D98" s="123" t="s">
        <v>1943</v>
      </c>
      <c r="E98" s="125">
        <v>4.5</v>
      </c>
      <c r="F98" s="125">
        <v>0</v>
      </c>
      <c r="G98" s="125">
        <v>0</v>
      </c>
      <c r="H98" s="125">
        <f t="shared" si="13"/>
        <v>4.5</v>
      </c>
      <c r="I98" s="142">
        <v>4.5</v>
      </c>
      <c r="J98" s="142">
        <v>0.3</v>
      </c>
      <c r="K98" s="83">
        <v>-0.3</v>
      </c>
      <c r="L98" s="83">
        <v>-0.3</v>
      </c>
      <c r="M98" s="83">
        <f t="shared" si="14"/>
        <v>4.2</v>
      </c>
      <c r="N98" s="71"/>
      <c r="O98" s="121" t="s">
        <v>1631</v>
      </c>
      <c r="P98" s="121" t="s">
        <v>1835</v>
      </c>
      <c r="Q98" s="145">
        <v>2120806</v>
      </c>
    </row>
    <row r="99" s="97" customFormat="1" customHeight="1" spans="1:17">
      <c r="A99" s="120">
        <v>94</v>
      </c>
      <c r="B99" s="121" t="s">
        <v>1831</v>
      </c>
      <c r="C99" s="123" t="s">
        <v>1039</v>
      </c>
      <c r="D99" s="123" t="s">
        <v>1944</v>
      </c>
      <c r="E99" s="125">
        <v>25</v>
      </c>
      <c r="F99" s="125">
        <v>0</v>
      </c>
      <c r="G99" s="125">
        <v>0</v>
      </c>
      <c r="H99" s="125">
        <f t="shared" si="13"/>
        <v>25</v>
      </c>
      <c r="I99" s="142">
        <v>25</v>
      </c>
      <c r="J99" s="142">
        <v>0</v>
      </c>
      <c r="K99" s="83">
        <v>0</v>
      </c>
      <c r="L99" s="83">
        <v>0</v>
      </c>
      <c r="M99" s="83">
        <f t="shared" si="14"/>
        <v>25</v>
      </c>
      <c r="N99" s="71"/>
      <c r="O99" s="121" t="s">
        <v>1631</v>
      </c>
      <c r="P99" s="121" t="s">
        <v>1835</v>
      </c>
      <c r="Q99" s="145">
        <v>2120806</v>
      </c>
    </row>
    <row r="100" s="97" customFormat="1" customHeight="1" spans="1:17">
      <c r="A100" s="120">
        <v>95</v>
      </c>
      <c r="B100" s="121" t="s">
        <v>1831</v>
      </c>
      <c r="C100" s="123" t="s">
        <v>1039</v>
      </c>
      <c r="D100" s="123" t="s">
        <v>1945</v>
      </c>
      <c r="E100" s="125">
        <v>50.92</v>
      </c>
      <c r="F100" s="125">
        <v>5.92</v>
      </c>
      <c r="G100" s="125">
        <v>0</v>
      </c>
      <c r="H100" s="125">
        <f t="shared" si="13"/>
        <v>50.92</v>
      </c>
      <c r="I100" s="142">
        <v>50.92</v>
      </c>
      <c r="J100" s="142">
        <v>-0.0799999999999983</v>
      </c>
      <c r="K100" s="83">
        <v>0.0799999999999983</v>
      </c>
      <c r="L100" s="83">
        <v>0.0799999999999983</v>
      </c>
      <c r="M100" s="83">
        <f t="shared" si="14"/>
        <v>51</v>
      </c>
      <c r="N100" s="71"/>
      <c r="O100" s="121" t="s">
        <v>1631</v>
      </c>
      <c r="P100" s="121" t="s">
        <v>1835</v>
      </c>
      <c r="Q100" s="145">
        <v>2120806</v>
      </c>
    </row>
    <row r="101" s="97" customFormat="1" customHeight="1" spans="1:17">
      <c r="A101" s="120">
        <v>96</v>
      </c>
      <c r="B101" s="121" t="s">
        <v>1831</v>
      </c>
      <c r="C101" s="123" t="s">
        <v>1039</v>
      </c>
      <c r="D101" s="123" t="s">
        <v>1946</v>
      </c>
      <c r="E101" s="125">
        <v>540</v>
      </c>
      <c r="F101" s="125">
        <v>238.77</v>
      </c>
      <c r="G101" s="125">
        <v>-100</v>
      </c>
      <c r="H101" s="125">
        <f t="shared" si="13"/>
        <v>440</v>
      </c>
      <c r="I101" s="142">
        <v>440</v>
      </c>
      <c r="J101" s="142">
        <v>251.388</v>
      </c>
      <c r="K101" s="83">
        <v>-251.388</v>
      </c>
      <c r="L101" s="83">
        <v>-251.388</v>
      </c>
      <c r="M101" s="83">
        <f t="shared" si="14"/>
        <v>188.612</v>
      </c>
      <c r="N101" s="71"/>
      <c r="O101" s="121" t="s">
        <v>1631</v>
      </c>
      <c r="P101" s="121" t="s">
        <v>1835</v>
      </c>
      <c r="Q101" s="145">
        <v>2120806</v>
      </c>
    </row>
    <row r="102" s="97" customFormat="1" customHeight="1" spans="1:17">
      <c r="A102" s="120">
        <v>97</v>
      </c>
      <c r="B102" s="121" t="s">
        <v>1831</v>
      </c>
      <c r="C102" s="123" t="s">
        <v>1039</v>
      </c>
      <c r="D102" s="123" t="s">
        <v>1947</v>
      </c>
      <c r="E102" s="125">
        <v>32</v>
      </c>
      <c r="F102" s="125">
        <v>0</v>
      </c>
      <c r="G102" s="125">
        <v>0</v>
      </c>
      <c r="H102" s="125">
        <f t="shared" si="13"/>
        <v>32</v>
      </c>
      <c r="I102" s="142">
        <v>32</v>
      </c>
      <c r="J102" s="142">
        <v>32</v>
      </c>
      <c r="K102" s="83">
        <v>-32</v>
      </c>
      <c r="L102" s="83">
        <v>-32</v>
      </c>
      <c r="M102" s="83">
        <f t="shared" si="14"/>
        <v>0</v>
      </c>
      <c r="N102" s="71"/>
      <c r="O102" s="121" t="s">
        <v>1631</v>
      </c>
      <c r="P102" s="121" t="s">
        <v>1835</v>
      </c>
      <c r="Q102" s="145">
        <v>21211</v>
      </c>
    </row>
    <row r="103" s="97" customFormat="1" customHeight="1" spans="1:17">
      <c r="A103" s="120">
        <v>98</v>
      </c>
      <c r="B103" s="121" t="s">
        <v>1831</v>
      </c>
      <c r="C103" s="123" t="s">
        <v>1039</v>
      </c>
      <c r="D103" s="123" t="s">
        <v>1948</v>
      </c>
      <c r="E103" s="125">
        <v>27</v>
      </c>
      <c r="F103" s="125">
        <v>0</v>
      </c>
      <c r="G103" s="125">
        <v>-14</v>
      </c>
      <c r="H103" s="125">
        <f t="shared" si="13"/>
        <v>13</v>
      </c>
      <c r="I103" s="142">
        <v>13</v>
      </c>
      <c r="J103" s="142">
        <v>-1.068</v>
      </c>
      <c r="K103" s="83">
        <v>1.068</v>
      </c>
      <c r="L103" s="142">
        <v>1.068</v>
      </c>
      <c r="M103" s="83">
        <f t="shared" si="14"/>
        <v>14.068</v>
      </c>
      <c r="N103" s="71"/>
      <c r="O103" s="121" t="s">
        <v>1631</v>
      </c>
      <c r="P103" s="121" t="s">
        <v>1835</v>
      </c>
      <c r="Q103" s="145">
        <v>21211</v>
      </c>
    </row>
    <row r="104" s="97" customFormat="1" customHeight="1" spans="1:17">
      <c r="A104" s="120">
        <v>99</v>
      </c>
      <c r="B104" s="121" t="s">
        <v>1831</v>
      </c>
      <c r="C104" s="123" t="s">
        <v>1039</v>
      </c>
      <c r="D104" s="123" t="s">
        <v>1949</v>
      </c>
      <c r="E104" s="125">
        <v>11</v>
      </c>
      <c r="F104" s="125">
        <v>0</v>
      </c>
      <c r="G104" s="125">
        <v>0</v>
      </c>
      <c r="H104" s="125">
        <f t="shared" si="13"/>
        <v>11</v>
      </c>
      <c r="I104" s="142">
        <v>11</v>
      </c>
      <c r="J104" s="142">
        <v>11</v>
      </c>
      <c r="K104" s="83">
        <v>-11</v>
      </c>
      <c r="L104" s="83">
        <v>-11</v>
      </c>
      <c r="M104" s="83">
        <f t="shared" si="14"/>
        <v>0</v>
      </c>
      <c r="N104" s="71"/>
      <c r="O104" s="121" t="s">
        <v>1631</v>
      </c>
      <c r="P104" s="121" t="s">
        <v>1835</v>
      </c>
      <c r="Q104" s="145">
        <v>21211</v>
      </c>
    </row>
    <row r="105" s="97" customFormat="1" customHeight="1" spans="1:17">
      <c r="A105" s="120">
        <v>100</v>
      </c>
      <c r="B105" s="121" t="s">
        <v>1831</v>
      </c>
      <c r="C105" s="123" t="s">
        <v>1039</v>
      </c>
      <c r="D105" s="123" t="s">
        <v>1950</v>
      </c>
      <c r="E105" s="125">
        <v>90</v>
      </c>
      <c r="F105" s="125">
        <v>0</v>
      </c>
      <c r="G105" s="125">
        <v>-40</v>
      </c>
      <c r="H105" s="125">
        <f t="shared" si="13"/>
        <v>50</v>
      </c>
      <c r="I105" s="142">
        <v>50</v>
      </c>
      <c r="J105" s="142">
        <v>50</v>
      </c>
      <c r="K105" s="83">
        <v>-50</v>
      </c>
      <c r="L105" s="83">
        <v>-50</v>
      </c>
      <c r="M105" s="83">
        <f t="shared" si="14"/>
        <v>0</v>
      </c>
      <c r="N105" s="123"/>
      <c r="O105" s="121" t="s">
        <v>1631</v>
      </c>
      <c r="P105" s="121" t="s">
        <v>1835</v>
      </c>
      <c r="Q105" s="145">
        <v>21211</v>
      </c>
    </row>
    <row r="106" s="97" customFormat="1" customHeight="1" spans="1:17">
      <c r="A106" s="120">
        <v>101</v>
      </c>
      <c r="B106" s="121" t="s">
        <v>1831</v>
      </c>
      <c r="C106" s="123" t="s">
        <v>1039</v>
      </c>
      <c r="D106" s="123" t="s">
        <v>1951</v>
      </c>
      <c r="E106" s="125">
        <v>90</v>
      </c>
      <c r="F106" s="125">
        <v>240.06</v>
      </c>
      <c r="G106" s="125">
        <v>0</v>
      </c>
      <c r="H106" s="125">
        <f t="shared" si="13"/>
        <v>90</v>
      </c>
      <c r="I106" s="142">
        <v>90</v>
      </c>
      <c r="J106" s="142">
        <v>71</v>
      </c>
      <c r="K106" s="83">
        <v>-71</v>
      </c>
      <c r="L106" s="83">
        <v>-71</v>
      </c>
      <c r="M106" s="83">
        <f t="shared" si="14"/>
        <v>19</v>
      </c>
      <c r="N106" s="71"/>
      <c r="O106" s="121" t="s">
        <v>1631</v>
      </c>
      <c r="P106" s="121" t="s">
        <v>1835</v>
      </c>
      <c r="Q106" s="145">
        <v>2120806</v>
      </c>
    </row>
    <row r="107" s="98" customFormat="1" customHeight="1" spans="1:17">
      <c r="A107" s="120">
        <v>102</v>
      </c>
      <c r="B107" s="126" t="s">
        <v>1920</v>
      </c>
      <c r="C107" s="123" t="s">
        <v>604</v>
      </c>
      <c r="D107" s="123" t="s">
        <v>1952</v>
      </c>
      <c r="E107" s="125">
        <v>2245.91</v>
      </c>
      <c r="F107" s="125">
        <v>0</v>
      </c>
      <c r="G107" s="125">
        <v>0</v>
      </c>
      <c r="H107" s="125">
        <f t="shared" si="13"/>
        <v>2245.91</v>
      </c>
      <c r="I107" s="83">
        <f>F107+H107</f>
        <v>2245.91</v>
      </c>
      <c r="J107" s="83">
        <v>413.924438</v>
      </c>
      <c r="K107" s="83">
        <v>-138.02</v>
      </c>
      <c r="L107" s="83">
        <v>-138.02</v>
      </c>
      <c r="M107" s="83">
        <f t="shared" si="14"/>
        <v>2107.89</v>
      </c>
      <c r="N107" s="122"/>
      <c r="O107" s="121" t="s">
        <v>1631</v>
      </c>
      <c r="P107" s="121" t="s">
        <v>1835</v>
      </c>
      <c r="Q107" s="145" t="s">
        <v>1684</v>
      </c>
    </row>
    <row r="108" s="98" customFormat="1" customHeight="1" spans="1:17">
      <c r="A108" s="120">
        <v>103</v>
      </c>
      <c r="B108" s="126" t="s">
        <v>1869</v>
      </c>
      <c r="C108" s="123" t="s">
        <v>1076</v>
      </c>
      <c r="D108" s="123" t="s">
        <v>1953</v>
      </c>
      <c r="E108" s="125">
        <v>50</v>
      </c>
      <c r="F108" s="125">
        <v>150</v>
      </c>
      <c r="G108" s="125">
        <v>-30</v>
      </c>
      <c r="H108" s="125">
        <f t="shared" si="13"/>
        <v>20</v>
      </c>
      <c r="I108" s="83">
        <v>20</v>
      </c>
      <c r="J108" s="83">
        <v>5</v>
      </c>
      <c r="K108" s="83">
        <v>-5</v>
      </c>
      <c r="L108" s="83">
        <v>-5</v>
      </c>
      <c r="M108" s="83">
        <f t="shared" ref="M108:M120" si="16">I108+L108</f>
        <v>15</v>
      </c>
      <c r="N108" s="71"/>
      <c r="O108" s="121" t="s">
        <v>1631</v>
      </c>
      <c r="P108" s="121" t="s">
        <v>1835</v>
      </c>
      <c r="Q108" s="145">
        <v>2120899</v>
      </c>
    </row>
    <row r="109" s="98" customFormat="1" customHeight="1" spans="1:17">
      <c r="A109" s="120">
        <v>104</v>
      </c>
      <c r="B109" s="126" t="s">
        <v>1869</v>
      </c>
      <c r="C109" s="123" t="s">
        <v>1076</v>
      </c>
      <c r="D109" s="123" t="s">
        <v>1954</v>
      </c>
      <c r="E109" s="125">
        <v>200</v>
      </c>
      <c r="F109" s="125">
        <v>0</v>
      </c>
      <c r="G109" s="125">
        <v>-120</v>
      </c>
      <c r="H109" s="125">
        <f t="shared" si="13"/>
        <v>80</v>
      </c>
      <c r="I109" s="83">
        <v>80</v>
      </c>
      <c r="J109" s="83">
        <v>80</v>
      </c>
      <c r="K109" s="83">
        <v>-80</v>
      </c>
      <c r="L109" s="83">
        <v>-80</v>
      </c>
      <c r="M109" s="83">
        <f t="shared" si="16"/>
        <v>0</v>
      </c>
      <c r="N109" s="71"/>
      <c r="O109" s="121" t="s">
        <v>1631</v>
      </c>
      <c r="P109" s="121" t="s">
        <v>1835</v>
      </c>
      <c r="Q109" s="145">
        <v>2120899</v>
      </c>
    </row>
    <row r="110" s="98" customFormat="1" customHeight="1" spans="1:17">
      <c r="A110" s="120">
        <v>105</v>
      </c>
      <c r="B110" s="126" t="s">
        <v>1869</v>
      </c>
      <c r="C110" s="123" t="s">
        <v>1076</v>
      </c>
      <c r="D110" s="123" t="s">
        <v>1955</v>
      </c>
      <c r="E110" s="125">
        <v>2000</v>
      </c>
      <c r="F110" s="125">
        <v>1534</v>
      </c>
      <c r="G110" s="125">
        <v>-1000</v>
      </c>
      <c r="H110" s="125">
        <f t="shared" si="13"/>
        <v>1000</v>
      </c>
      <c r="I110" s="83">
        <v>1000</v>
      </c>
      <c r="J110" s="83">
        <v>1000</v>
      </c>
      <c r="K110" s="83">
        <v>-990</v>
      </c>
      <c r="L110" s="83">
        <v>-990</v>
      </c>
      <c r="M110" s="83">
        <f t="shared" si="16"/>
        <v>10</v>
      </c>
      <c r="N110" s="71"/>
      <c r="O110" s="121" t="s">
        <v>1631</v>
      </c>
      <c r="P110" s="121" t="s">
        <v>1835</v>
      </c>
      <c r="Q110" s="145">
        <v>2120899</v>
      </c>
    </row>
    <row r="111" s="98" customFormat="1" customHeight="1" spans="1:17">
      <c r="A111" s="120">
        <v>106</v>
      </c>
      <c r="B111" s="126" t="s">
        <v>1869</v>
      </c>
      <c r="C111" s="123" t="s">
        <v>1476</v>
      </c>
      <c r="D111" s="123" t="s">
        <v>1956</v>
      </c>
      <c r="E111" s="125">
        <v>500</v>
      </c>
      <c r="F111" s="125">
        <v>0</v>
      </c>
      <c r="G111" s="125">
        <v>-200</v>
      </c>
      <c r="H111" s="125">
        <f t="shared" si="13"/>
        <v>300</v>
      </c>
      <c r="I111" s="83">
        <v>300</v>
      </c>
      <c r="J111" s="83">
        <v>300</v>
      </c>
      <c r="K111" s="83">
        <v>-300</v>
      </c>
      <c r="L111" s="83">
        <v>-300</v>
      </c>
      <c r="M111" s="83">
        <f t="shared" si="16"/>
        <v>0</v>
      </c>
      <c r="N111" s="71"/>
      <c r="O111" s="121" t="s">
        <v>1631</v>
      </c>
      <c r="P111" s="121" t="s">
        <v>1835</v>
      </c>
      <c r="Q111" s="145">
        <v>2120899</v>
      </c>
    </row>
    <row r="112" s="98" customFormat="1" customHeight="1" spans="1:17">
      <c r="A112" s="120">
        <v>107</v>
      </c>
      <c r="B112" s="126" t="s">
        <v>1869</v>
      </c>
      <c r="C112" s="123" t="s">
        <v>1039</v>
      </c>
      <c r="D112" s="123" t="s">
        <v>1957</v>
      </c>
      <c r="E112" s="125">
        <v>38.04</v>
      </c>
      <c r="F112" s="125">
        <v>76.08</v>
      </c>
      <c r="G112" s="125">
        <v>38.04</v>
      </c>
      <c r="H112" s="125">
        <f t="shared" si="13"/>
        <v>76.08</v>
      </c>
      <c r="I112" s="83">
        <v>76.08</v>
      </c>
      <c r="J112" s="83">
        <v>38.0482</v>
      </c>
      <c r="K112" s="83">
        <v>-38.0482</v>
      </c>
      <c r="L112" s="83">
        <v>-38.0482</v>
      </c>
      <c r="M112" s="83">
        <f t="shared" si="16"/>
        <v>38.0318</v>
      </c>
      <c r="N112" s="71"/>
      <c r="O112" s="121" t="s">
        <v>1631</v>
      </c>
      <c r="P112" s="121" t="s">
        <v>1835</v>
      </c>
      <c r="Q112" s="145">
        <v>21211</v>
      </c>
    </row>
    <row r="113" s="98" customFormat="1" customHeight="1" spans="1:17">
      <c r="A113" s="120">
        <v>108</v>
      </c>
      <c r="B113" s="126" t="s">
        <v>1869</v>
      </c>
      <c r="C113" s="53" t="s">
        <v>1076</v>
      </c>
      <c r="D113" s="151" t="s">
        <v>1958</v>
      </c>
      <c r="E113" s="125">
        <v>2058</v>
      </c>
      <c r="F113" s="125">
        <v>0</v>
      </c>
      <c r="G113" s="125">
        <v>0</v>
      </c>
      <c r="H113" s="125">
        <f t="shared" si="13"/>
        <v>2058</v>
      </c>
      <c r="I113" s="83">
        <v>2058</v>
      </c>
      <c r="J113" s="83">
        <v>0</v>
      </c>
      <c r="K113" s="83">
        <v>-2058</v>
      </c>
      <c r="L113" s="83">
        <v>-2058</v>
      </c>
      <c r="M113" s="83">
        <f t="shared" si="16"/>
        <v>0</v>
      </c>
      <c r="N113" s="71" t="s">
        <v>1959</v>
      </c>
      <c r="O113" s="121" t="s">
        <v>1631</v>
      </c>
      <c r="P113" s="121" t="s">
        <v>1835</v>
      </c>
      <c r="Q113" s="145">
        <v>2120899</v>
      </c>
    </row>
    <row r="114" s="97" customFormat="1" customHeight="1" spans="1:17">
      <c r="A114" s="120">
        <v>109</v>
      </c>
      <c r="B114" s="126" t="s">
        <v>1869</v>
      </c>
      <c r="C114" s="71" t="s">
        <v>1109</v>
      </c>
      <c r="D114" s="151" t="s">
        <v>1960</v>
      </c>
      <c r="E114" s="125">
        <v>4170</v>
      </c>
      <c r="F114" s="125">
        <v>0</v>
      </c>
      <c r="G114" s="125">
        <v>0</v>
      </c>
      <c r="H114" s="125">
        <f t="shared" si="13"/>
        <v>4170</v>
      </c>
      <c r="I114" s="83">
        <v>4170</v>
      </c>
      <c r="J114" s="83">
        <v>0</v>
      </c>
      <c r="K114" s="83">
        <v>-4170</v>
      </c>
      <c r="L114" s="83">
        <v>-4170</v>
      </c>
      <c r="M114" s="83">
        <f t="shared" si="16"/>
        <v>0</v>
      </c>
      <c r="N114" s="71" t="s">
        <v>1961</v>
      </c>
      <c r="O114" s="121" t="s">
        <v>1631</v>
      </c>
      <c r="P114" s="121" t="s">
        <v>1835</v>
      </c>
      <c r="Q114" s="145">
        <v>2120899</v>
      </c>
    </row>
    <row r="115" s="97" customFormat="1" customHeight="1" spans="1:17">
      <c r="A115" s="120">
        <v>110</v>
      </c>
      <c r="B115" s="121" t="s">
        <v>1962</v>
      </c>
      <c r="C115" s="122" t="s">
        <v>916</v>
      </c>
      <c r="D115" s="123" t="s">
        <v>1963</v>
      </c>
      <c r="E115" s="125">
        <v>60</v>
      </c>
      <c r="F115" s="125">
        <v>0</v>
      </c>
      <c r="G115" s="125">
        <v>0</v>
      </c>
      <c r="H115" s="125">
        <f t="shared" si="13"/>
        <v>60</v>
      </c>
      <c r="I115" s="83">
        <v>60</v>
      </c>
      <c r="J115" s="83">
        <v>60</v>
      </c>
      <c r="K115" s="83">
        <v>-60</v>
      </c>
      <c r="L115" s="83">
        <v>-60</v>
      </c>
      <c r="M115" s="83">
        <f t="shared" si="16"/>
        <v>0</v>
      </c>
      <c r="N115" s="71"/>
      <c r="O115" s="121" t="s">
        <v>1631</v>
      </c>
      <c r="P115" s="121" t="s">
        <v>1835</v>
      </c>
      <c r="Q115" s="145">
        <v>2120899</v>
      </c>
    </row>
    <row r="116" s="97" customFormat="1" customHeight="1" spans="1:17">
      <c r="A116" s="120">
        <v>111</v>
      </c>
      <c r="B116" s="121" t="s">
        <v>1962</v>
      </c>
      <c r="C116" s="122" t="s">
        <v>916</v>
      </c>
      <c r="D116" s="123" t="s">
        <v>1964</v>
      </c>
      <c r="E116" s="125">
        <v>40</v>
      </c>
      <c r="F116" s="125">
        <v>0</v>
      </c>
      <c r="G116" s="125">
        <v>0</v>
      </c>
      <c r="H116" s="125">
        <f t="shared" si="13"/>
        <v>40</v>
      </c>
      <c r="I116" s="83">
        <v>40</v>
      </c>
      <c r="J116" s="83">
        <v>40</v>
      </c>
      <c r="K116" s="83">
        <v>-40</v>
      </c>
      <c r="L116" s="83">
        <v>-40</v>
      </c>
      <c r="M116" s="83">
        <f t="shared" si="16"/>
        <v>0</v>
      </c>
      <c r="N116" s="71"/>
      <c r="O116" s="121" t="s">
        <v>1631</v>
      </c>
      <c r="P116" s="121" t="s">
        <v>1835</v>
      </c>
      <c r="Q116" s="145">
        <v>2120899</v>
      </c>
    </row>
    <row r="117" s="98" customFormat="1" customHeight="1" spans="1:17">
      <c r="A117" s="120">
        <v>112</v>
      </c>
      <c r="B117" s="126" t="s">
        <v>1831</v>
      </c>
      <c r="C117" s="123" t="s">
        <v>659</v>
      </c>
      <c r="D117" s="123" t="s">
        <v>1965</v>
      </c>
      <c r="E117" s="125">
        <v>750</v>
      </c>
      <c r="F117" s="125">
        <v>0</v>
      </c>
      <c r="G117" s="125">
        <v>0</v>
      </c>
      <c r="H117" s="125">
        <f t="shared" si="13"/>
        <v>750</v>
      </c>
      <c r="I117" s="142">
        <v>750</v>
      </c>
      <c r="J117" s="142">
        <v>0</v>
      </c>
      <c r="K117" s="83">
        <v>-750</v>
      </c>
      <c r="L117" s="83">
        <v>-750</v>
      </c>
      <c r="M117" s="83">
        <f t="shared" si="16"/>
        <v>0</v>
      </c>
      <c r="N117" s="71" t="s">
        <v>1966</v>
      </c>
      <c r="O117" s="121" t="s">
        <v>1631</v>
      </c>
      <c r="P117" s="121" t="s">
        <v>1835</v>
      </c>
      <c r="Q117" s="145">
        <v>2120802</v>
      </c>
    </row>
    <row r="118" s="98" customFormat="1" customHeight="1" spans="1:17">
      <c r="A118" s="120">
        <v>113</v>
      </c>
      <c r="B118" s="126" t="s">
        <v>1862</v>
      </c>
      <c r="C118" s="123" t="s">
        <v>1145</v>
      </c>
      <c r="D118" s="123" t="s">
        <v>1967</v>
      </c>
      <c r="E118" s="125">
        <v>0</v>
      </c>
      <c r="F118" s="125">
        <v>1.43</v>
      </c>
      <c r="G118" s="125">
        <v>1.43</v>
      </c>
      <c r="H118" s="125">
        <f t="shared" si="13"/>
        <v>1.43</v>
      </c>
      <c r="I118" s="83">
        <v>1.43</v>
      </c>
      <c r="J118" s="83">
        <v>0</v>
      </c>
      <c r="K118" s="83">
        <v>0</v>
      </c>
      <c r="L118" s="83">
        <v>0</v>
      </c>
      <c r="M118" s="83">
        <f t="shared" si="16"/>
        <v>1.43</v>
      </c>
      <c r="N118" s="71"/>
      <c r="O118" s="121" t="s">
        <v>1631</v>
      </c>
      <c r="P118" s="121" t="s">
        <v>1835</v>
      </c>
      <c r="Q118" s="145">
        <v>2120803</v>
      </c>
    </row>
    <row r="119" s="98" customFormat="1" customHeight="1" spans="1:17">
      <c r="A119" s="120">
        <v>114</v>
      </c>
      <c r="B119" s="152" t="s">
        <v>1831</v>
      </c>
      <c r="C119" s="71" t="s">
        <v>1832</v>
      </c>
      <c r="D119" s="123" t="s">
        <v>1968</v>
      </c>
      <c r="E119" s="125">
        <v>0</v>
      </c>
      <c r="F119" s="125">
        <v>38</v>
      </c>
      <c r="G119" s="125">
        <v>38</v>
      </c>
      <c r="H119" s="125">
        <f t="shared" si="13"/>
        <v>38</v>
      </c>
      <c r="I119" s="142">
        <v>38</v>
      </c>
      <c r="J119" s="142">
        <v>38</v>
      </c>
      <c r="K119" s="83">
        <v>-38</v>
      </c>
      <c r="L119" s="83">
        <v>-38</v>
      </c>
      <c r="M119" s="83">
        <f t="shared" si="16"/>
        <v>0</v>
      </c>
      <c r="N119" s="123"/>
      <c r="O119" s="121" t="s">
        <v>1631</v>
      </c>
      <c r="P119" s="121" t="s">
        <v>1835</v>
      </c>
      <c r="Q119" s="145">
        <v>2120801</v>
      </c>
    </row>
    <row r="120" s="98" customFormat="1" customHeight="1" spans="1:17">
      <c r="A120" s="120">
        <v>115</v>
      </c>
      <c r="B120" s="152" t="s">
        <v>1831</v>
      </c>
      <c r="C120" s="71" t="s">
        <v>1039</v>
      </c>
      <c r="D120" s="123" t="s">
        <v>1969</v>
      </c>
      <c r="E120" s="125">
        <v>0</v>
      </c>
      <c r="F120" s="125">
        <v>2</v>
      </c>
      <c r="G120" s="125">
        <v>2</v>
      </c>
      <c r="H120" s="125">
        <v>2</v>
      </c>
      <c r="I120" s="142">
        <v>2</v>
      </c>
      <c r="J120" s="142">
        <v>2</v>
      </c>
      <c r="K120" s="83">
        <v>-2</v>
      </c>
      <c r="L120" s="83">
        <v>-2</v>
      </c>
      <c r="M120" s="83">
        <f t="shared" si="16"/>
        <v>0</v>
      </c>
      <c r="N120" s="123"/>
      <c r="O120" s="121" t="s">
        <v>1631</v>
      </c>
      <c r="P120" s="121" t="s">
        <v>1835</v>
      </c>
      <c r="Q120" s="145">
        <v>2120806</v>
      </c>
    </row>
    <row r="121" s="95" customFormat="1" customHeight="1" spans="1:17">
      <c r="A121" s="117">
        <v>116</v>
      </c>
      <c r="B121" s="118"/>
      <c r="C121" s="118" t="s">
        <v>1970</v>
      </c>
      <c r="D121" s="118"/>
      <c r="E121" s="119">
        <f t="shared" ref="E121:M121" si="17">SUM(E122:E124)</f>
        <v>4400</v>
      </c>
      <c r="F121" s="119">
        <f t="shared" si="17"/>
        <v>-1500</v>
      </c>
      <c r="G121" s="119">
        <f t="shared" si="17"/>
        <v>-2800</v>
      </c>
      <c r="H121" s="119">
        <f t="shared" si="17"/>
        <v>1600</v>
      </c>
      <c r="I121" s="138">
        <f t="shared" si="17"/>
        <v>1600</v>
      </c>
      <c r="J121" s="138">
        <f t="shared" si="17"/>
        <v>1044.966612</v>
      </c>
      <c r="K121" s="138">
        <f t="shared" si="17"/>
        <v>-1024.97</v>
      </c>
      <c r="L121" s="138">
        <f t="shared" si="17"/>
        <v>-1024.97</v>
      </c>
      <c r="M121" s="138">
        <f t="shared" si="17"/>
        <v>575.03</v>
      </c>
      <c r="N121" s="140"/>
      <c r="O121" s="141"/>
      <c r="P121" s="141"/>
      <c r="Q121" s="145"/>
    </row>
    <row r="122" s="98" customFormat="1" customHeight="1" spans="1:17">
      <c r="A122" s="120">
        <v>117</v>
      </c>
      <c r="B122" s="126" t="s">
        <v>1905</v>
      </c>
      <c r="C122" s="123" t="s">
        <v>1476</v>
      </c>
      <c r="D122" s="123" t="s">
        <v>1971</v>
      </c>
      <c r="E122" s="125">
        <v>150</v>
      </c>
      <c r="F122" s="125">
        <v>0</v>
      </c>
      <c r="G122" s="125">
        <v>-50</v>
      </c>
      <c r="H122" s="125">
        <f t="shared" ref="H122:H124" si="18">E122+G122</f>
        <v>100</v>
      </c>
      <c r="I122" s="83">
        <v>100</v>
      </c>
      <c r="J122" s="83">
        <v>100</v>
      </c>
      <c r="K122" s="83">
        <v>-80</v>
      </c>
      <c r="L122" s="83">
        <v>-80</v>
      </c>
      <c r="M122" s="83">
        <f t="shared" ref="M122:M124" si="19">I122+L122</f>
        <v>20</v>
      </c>
      <c r="N122" s="53" t="s">
        <v>1972</v>
      </c>
      <c r="O122" s="121" t="s">
        <v>1907</v>
      </c>
      <c r="P122" s="121" t="s">
        <v>1835</v>
      </c>
      <c r="Q122" s="145">
        <v>2120899</v>
      </c>
    </row>
    <row r="123" s="98" customFormat="1" customHeight="1" spans="1:17">
      <c r="A123" s="120">
        <v>118</v>
      </c>
      <c r="B123" s="126" t="s">
        <v>1862</v>
      </c>
      <c r="C123" s="123" t="s">
        <v>1476</v>
      </c>
      <c r="D123" s="123" t="s">
        <v>1973</v>
      </c>
      <c r="E123" s="125">
        <v>3000</v>
      </c>
      <c r="F123" s="125">
        <v>-1500</v>
      </c>
      <c r="G123" s="125">
        <v>-2000</v>
      </c>
      <c r="H123" s="125">
        <f t="shared" si="18"/>
        <v>1000</v>
      </c>
      <c r="I123" s="83">
        <v>1000</v>
      </c>
      <c r="J123" s="83">
        <v>454.066612</v>
      </c>
      <c r="K123" s="83">
        <v>-454.07</v>
      </c>
      <c r="L123" s="83">
        <v>-454.07</v>
      </c>
      <c r="M123" s="83">
        <f t="shared" si="19"/>
        <v>545.93</v>
      </c>
      <c r="N123" s="153" t="s">
        <v>1974</v>
      </c>
      <c r="O123" s="121" t="s">
        <v>1864</v>
      </c>
      <c r="P123" s="121" t="s">
        <v>1835</v>
      </c>
      <c r="Q123" s="145">
        <v>2120803</v>
      </c>
    </row>
    <row r="124" s="98" customFormat="1" customHeight="1" spans="1:17">
      <c r="A124" s="120">
        <v>119</v>
      </c>
      <c r="B124" s="126" t="s">
        <v>1831</v>
      </c>
      <c r="C124" s="123" t="s">
        <v>1476</v>
      </c>
      <c r="D124" s="123" t="s">
        <v>1975</v>
      </c>
      <c r="E124" s="125">
        <v>1250</v>
      </c>
      <c r="F124" s="125">
        <v>0</v>
      </c>
      <c r="G124" s="125">
        <v>-750</v>
      </c>
      <c r="H124" s="125">
        <f t="shared" si="18"/>
        <v>500</v>
      </c>
      <c r="I124" s="142">
        <v>500</v>
      </c>
      <c r="J124" s="142">
        <v>490.9</v>
      </c>
      <c r="K124" s="83">
        <v>-490.9</v>
      </c>
      <c r="L124" s="83">
        <v>-490.9</v>
      </c>
      <c r="M124" s="83">
        <f t="shared" si="19"/>
        <v>9.10000000000002</v>
      </c>
      <c r="N124" s="154"/>
      <c r="O124" s="121" t="s">
        <v>1839</v>
      </c>
      <c r="P124" s="121" t="s">
        <v>1835</v>
      </c>
      <c r="Q124" s="145">
        <v>2120801</v>
      </c>
    </row>
    <row r="125" s="95" customFormat="1" customHeight="1" spans="1:17">
      <c r="A125" s="117">
        <v>120</v>
      </c>
      <c r="B125" s="118"/>
      <c r="C125" s="118" t="s">
        <v>1976</v>
      </c>
      <c r="D125" s="118"/>
      <c r="E125" s="119">
        <f t="shared" ref="E125:M125" si="20">SUM(E126:E144)</f>
        <v>9172.298282</v>
      </c>
      <c r="F125" s="119">
        <f t="shared" si="20"/>
        <v>0</v>
      </c>
      <c r="G125" s="119">
        <f t="shared" si="20"/>
        <v>-982.34</v>
      </c>
      <c r="H125" s="119">
        <f t="shared" si="20"/>
        <v>8189.958282</v>
      </c>
      <c r="I125" s="138">
        <f t="shared" si="20"/>
        <v>8189.958282</v>
      </c>
      <c r="J125" s="138">
        <f t="shared" si="20"/>
        <v>2086.124903</v>
      </c>
      <c r="K125" s="138">
        <f t="shared" si="20"/>
        <v>-5415.0731</v>
      </c>
      <c r="L125" s="138">
        <f t="shared" si="20"/>
        <v>-5415.0731</v>
      </c>
      <c r="M125" s="138">
        <f t="shared" si="20"/>
        <v>2774.885182</v>
      </c>
      <c r="N125" s="140"/>
      <c r="O125" s="141"/>
      <c r="P125" s="141"/>
      <c r="Q125" s="145"/>
    </row>
    <row r="126" s="98" customFormat="1" customHeight="1" spans="1:17">
      <c r="A126" s="120">
        <v>121</v>
      </c>
      <c r="B126" s="126" t="s">
        <v>598</v>
      </c>
      <c r="C126" s="123" t="s">
        <v>1977</v>
      </c>
      <c r="D126" s="123" t="s">
        <v>1978</v>
      </c>
      <c r="E126" s="125">
        <v>13.298282</v>
      </c>
      <c r="F126" s="125">
        <v>0</v>
      </c>
      <c r="G126" s="125">
        <v>0</v>
      </c>
      <c r="H126" s="125">
        <f t="shared" ref="H126:H144" si="21">E126+G126</f>
        <v>13.298282</v>
      </c>
      <c r="I126" s="83">
        <v>13.298282</v>
      </c>
      <c r="J126" s="83">
        <v>0</v>
      </c>
      <c r="K126" s="83">
        <v>0</v>
      </c>
      <c r="L126" s="83">
        <v>0</v>
      </c>
      <c r="M126" s="83">
        <f>I126+L126</f>
        <v>13.298282</v>
      </c>
      <c r="N126" s="155"/>
      <c r="O126" s="121" t="s">
        <v>1631</v>
      </c>
      <c r="P126" s="121" t="s">
        <v>1979</v>
      </c>
      <c r="Q126" s="145">
        <v>2121302</v>
      </c>
    </row>
    <row r="127" s="98" customFormat="1" customHeight="1" spans="1:17">
      <c r="A127" s="120">
        <v>122</v>
      </c>
      <c r="B127" s="126" t="s">
        <v>598</v>
      </c>
      <c r="C127" s="123" t="s">
        <v>1294</v>
      </c>
      <c r="D127" s="123" t="s">
        <v>1980</v>
      </c>
      <c r="E127" s="125">
        <v>341</v>
      </c>
      <c r="F127" s="125">
        <v>0</v>
      </c>
      <c r="G127" s="125">
        <v>-24.34</v>
      </c>
      <c r="H127" s="125">
        <f t="shared" si="21"/>
        <v>316.66</v>
      </c>
      <c r="I127" s="83">
        <v>316.66</v>
      </c>
      <c r="J127" s="83">
        <v>53.9933</v>
      </c>
      <c r="K127" s="83">
        <v>-27.9</v>
      </c>
      <c r="L127" s="83">
        <v>-27.9</v>
      </c>
      <c r="M127" s="83">
        <f t="shared" ref="M127:M144" si="22">I127+L127</f>
        <v>288.76</v>
      </c>
      <c r="N127" s="155"/>
      <c r="O127" s="121" t="s">
        <v>1631</v>
      </c>
      <c r="P127" s="121" t="s">
        <v>1979</v>
      </c>
      <c r="Q127" s="145">
        <v>2121302</v>
      </c>
    </row>
    <row r="128" s="98" customFormat="1" customHeight="1" spans="1:17">
      <c r="A128" s="120">
        <v>123</v>
      </c>
      <c r="B128" s="126" t="s">
        <v>598</v>
      </c>
      <c r="C128" s="123" t="s">
        <v>1294</v>
      </c>
      <c r="D128" s="123" t="s">
        <v>1981</v>
      </c>
      <c r="E128" s="125">
        <v>114</v>
      </c>
      <c r="F128" s="125">
        <v>0</v>
      </c>
      <c r="G128" s="125">
        <v>0</v>
      </c>
      <c r="H128" s="125">
        <f t="shared" si="21"/>
        <v>114</v>
      </c>
      <c r="I128" s="83">
        <v>114</v>
      </c>
      <c r="J128" s="83">
        <v>23.1414</v>
      </c>
      <c r="K128" s="83">
        <f>-14-100</f>
        <v>-114</v>
      </c>
      <c r="L128" s="83">
        <f>-14-100</f>
        <v>-114</v>
      </c>
      <c r="M128" s="83">
        <f t="shared" si="22"/>
        <v>0</v>
      </c>
      <c r="N128" s="71" t="s">
        <v>1982</v>
      </c>
      <c r="O128" s="121" t="s">
        <v>1631</v>
      </c>
      <c r="P128" s="121" t="s">
        <v>1979</v>
      </c>
      <c r="Q128" s="145">
        <v>2121302</v>
      </c>
    </row>
    <row r="129" s="98" customFormat="1" customHeight="1" spans="1:17">
      <c r="A129" s="120">
        <v>124</v>
      </c>
      <c r="B129" s="126" t="s">
        <v>598</v>
      </c>
      <c r="C129" s="123" t="s">
        <v>1294</v>
      </c>
      <c r="D129" s="123" t="s">
        <v>1978</v>
      </c>
      <c r="E129" s="125">
        <v>300</v>
      </c>
      <c r="F129" s="125">
        <v>0</v>
      </c>
      <c r="G129" s="125">
        <v>-140</v>
      </c>
      <c r="H129" s="125">
        <f t="shared" si="21"/>
        <v>160</v>
      </c>
      <c r="I129" s="83">
        <v>160</v>
      </c>
      <c r="J129" s="83">
        <v>47.584613</v>
      </c>
      <c r="K129" s="83">
        <v>-34.53</v>
      </c>
      <c r="L129" s="83">
        <v>-34.53</v>
      </c>
      <c r="M129" s="83">
        <f t="shared" si="22"/>
        <v>125.47</v>
      </c>
      <c r="N129" s="155"/>
      <c r="O129" s="121" t="s">
        <v>1631</v>
      </c>
      <c r="P129" s="121" t="s">
        <v>1979</v>
      </c>
      <c r="Q129" s="145">
        <v>2121302</v>
      </c>
    </row>
    <row r="130" s="98" customFormat="1" customHeight="1" spans="1:17">
      <c r="A130" s="120">
        <v>125</v>
      </c>
      <c r="B130" s="126" t="s">
        <v>598</v>
      </c>
      <c r="C130" s="123" t="s">
        <v>1294</v>
      </c>
      <c r="D130" s="123" t="s">
        <v>1983</v>
      </c>
      <c r="E130" s="125">
        <v>413</v>
      </c>
      <c r="F130" s="125">
        <v>0</v>
      </c>
      <c r="G130" s="125">
        <v>-13</v>
      </c>
      <c r="H130" s="125">
        <f t="shared" si="21"/>
        <v>400</v>
      </c>
      <c r="I130" s="83">
        <v>400</v>
      </c>
      <c r="J130" s="83">
        <v>72.3984</v>
      </c>
      <c r="K130" s="83">
        <v>-45.66</v>
      </c>
      <c r="L130" s="83">
        <v>-45.66</v>
      </c>
      <c r="M130" s="83">
        <f t="shared" si="22"/>
        <v>354.34</v>
      </c>
      <c r="N130" s="155"/>
      <c r="O130" s="121" t="s">
        <v>1631</v>
      </c>
      <c r="P130" s="121" t="s">
        <v>1979</v>
      </c>
      <c r="Q130" s="145">
        <v>2121302</v>
      </c>
    </row>
    <row r="131" s="98" customFormat="1" customHeight="1" spans="1:17">
      <c r="A131" s="120">
        <v>126</v>
      </c>
      <c r="B131" s="126" t="s">
        <v>598</v>
      </c>
      <c r="C131" s="123" t="s">
        <v>1294</v>
      </c>
      <c r="D131" s="123" t="s">
        <v>1984</v>
      </c>
      <c r="E131" s="125">
        <v>1000</v>
      </c>
      <c r="F131" s="125">
        <v>0</v>
      </c>
      <c r="G131" s="125">
        <v>-443</v>
      </c>
      <c r="H131" s="125">
        <f t="shared" si="21"/>
        <v>557</v>
      </c>
      <c r="I131" s="83">
        <v>557</v>
      </c>
      <c r="J131" s="83">
        <v>95.3477</v>
      </c>
      <c r="K131" s="83">
        <v>-95.3477</v>
      </c>
      <c r="L131" s="83">
        <v>-95.3477</v>
      </c>
      <c r="M131" s="83">
        <f t="shared" si="22"/>
        <v>461.6523</v>
      </c>
      <c r="N131" s="155"/>
      <c r="O131" s="121" t="s">
        <v>1631</v>
      </c>
      <c r="P131" s="121" t="s">
        <v>1979</v>
      </c>
      <c r="Q131" s="145">
        <v>2121302</v>
      </c>
    </row>
    <row r="132" s="98" customFormat="1" customHeight="1" spans="1:17">
      <c r="A132" s="120">
        <v>127</v>
      </c>
      <c r="B132" s="126" t="s">
        <v>598</v>
      </c>
      <c r="C132" s="123" t="s">
        <v>1294</v>
      </c>
      <c r="D132" s="123" t="s">
        <v>1985</v>
      </c>
      <c r="E132" s="125">
        <v>1274</v>
      </c>
      <c r="F132" s="125">
        <v>0</v>
      </c>
      <c r="G132" s="125">
        <v>-170</v>
      </c>
      <c r="H132" s="125">
        <f t="shared" si="21"/>
        <v>1104</v>
      </c>
      <c r="I132" s="83">
        <v>1104</v>
      </c>
      <c r="J132" s="83">
        <v>477.148312</v>
      </c>
      <c r="K132" s="83">
        <v>-477.15</v>
      </c>
      <c r="L132" s="83">
        <v>-477.15</v>
      </c>
      <c r="M132" s="83">
        <f t="shared" si="22"/>
        <v>626.85</v>
      </c>
      <c r="N132" s="155"/>
      <c r="O132" s="121" t="s">
        <v>1631</v>
      </c>
      <c r="P132" s="121" t="s">
        <v>1979</v>
      </c>
      <c r="Q132" s="145">
        <v>2121302</v>
      </c>
    </row>
    <row r="133" s="98" customFormat="1" customHeight="1" spans="1:17">
      <c r="A133" s="120">
        <v>128</v>
      </c>
      <c r="B133" s="126" t="s">
        <v>598</v>
      </c>
      <c r="C133" s="123" t="s">
        <v>1986</v>
      </c>
      <c r="D133" s="123" t="s">
        <v>1987</v>
      </c>
      <c r="E133" s="125">
        <v>800</v>
      </c>
      <c r="F133" s="125">
        <v>0</v>
      </c>
      <c r="G133" s="125">
        <v>-113</v>
      </c>
      <c r="H133" s="125">
        <f t="shared" si="21"/>
        <v>687</v>
      </c>
      <c r="I133" s="83">
        <v>687</v>
      </c>
      <c r="J133" s="83">
        <v>72.693178</v>
      </c>
      <c r="K133" s="83">
        <v>-687</v>
      </c>
      <c r="L133" s="83">
        <v>-687</v>
      </c>
      <c r="M133" s="83">
        <f t="shared" si="22"/>
        <v>0</v>
      </c>
      <c r="N133" s="71" t="s">
        <v>1988</v>
      </c>
      <c r="O133" s="121" t="s">
        <v>1631</v>
      </c>
      <c r="P133" s="121" t="s">
        <v>1979</v>
      </c>
      <c r="Q133" s="145">
        <v>2121301</v>
      </c>
    </row>
    <row r="134" s="98" customFormat="1" customHeight="1" spans="1:17">
      <c r="A134" s="120">
        <v>129</v>
      </c>
      <c r="B134" s="126" t="s">
        <v>598</v>
      </c>
      <c r="C134" s="123" t="s">
        <v>1986</v>
      </c>
      <c r="D134" s="123" t="s">
        <v>1989</v>
      </c>
      <c r="E134" s="125">
        <v>25</v>
      </c>
      <c r="F134" s="125">
        <v>0</v>
      </c>
      <c r="G134" s="125">
        <v>0</v>
      </c>
      <c r="H134" s="125">
        <f t="shared" si="21"/>
        <v>25</v>
      </c>
      <c r="I134" s="83">
        <v>25</v>
      </c>
      <c r="J134" s="83">
        <v>6.2503</v>
      </c>
      <c r="K134" s="83">
        <v>-2.09</v>
      </c>
      <c r="L134" s="83">
        <v>-2.09</v>
      </c>
      <c r="M134" s="83">
        <f t="shared" si="22"/>
        <v>22.91</v>
      </c>
      <c r="N134" s="122"/>
      <c r="O134" s="121" t="s">
        <v>1631</v>
      </c>
      <c r="P134" s="121" t="s">
        <v>1979</v>
      </c>
      <c r="Q134" s="145">
        <v>2121301</v>
      </c>
    </row>
    <row r="135" s="98" customFormat="1" customHeight="1" spans="1:17">
      <c r="A135" s="120">
        <v>130</v>
      </c>
      <c r="B135" s="126" t="s">
        <v>598</v>
      </c>
      <c r="C135" s="123" t="s">
        <v>1294</v>
      </c>
      <c r="D135" s="123" t="s">
        <v>1990</v>
      </c>
      <c r="E135" s="125">
        <v>1400</v>
      </c>
      <c r="F135" s="125">
        <v>0</v>
      </c>
      <c r="G135" s="125">
        <v>400</v>
      </c>
      <c r="H135" s="125">
        <f t="shared" si="21"/>
        <v>1800</v>
      </c>
      <c r="I135" s="83">
        <v>1800</v>
      </c>
      <c r="J135" s="83">
        <v>465.9954</v>
      </c>
      <c r="K135" s="83">
        <f>-245.9954-1554</f>
        <v>-1799.9954</v>
      </c>
      <c r="L135" s="83">
        <f>-245.9954-1554</f>
        <v>-1799.9954</v>
      </c>
      <c r="M135" s="83">
        <f t="shared" si="22"/>
        <v>0.00459999999998217</v>
      </c>
      <c r="N135" s="71" t="s">
        <v>1991</v>
      </c>
      <c r="O135" s="121" t="s">
        <v>1631</v>
      </c>
      <c r="P135" s="121" t="s">
        <v>1835</v>
      </c>
      <c r="Q135" s="145">
        <v>2121301</v>
      </c>
    </row>
    <row r="136" s="98" customFormat="1" customHeight="1" spans="1:17">
      <c r="A136" s="120">
        <v>131</v>
      </c>
      <c r="B136" s="126" t="s">
        <v>598</v>
      </c>
      <c r="C136" s="123" t="s">
        <v>1294</v>
      </c>
      <c r="D136" s="123" t="s">
        <v>1992</v>
      </c>
      <c r="E136" s="125">
        <v>2000</v>
      </c>
      <c r="F136" s="125">
        <v>0</v>
      </c>
      <c r="G136" s="125">
        <v>-429</v>
      </c>
      <c r="H136" s="125">
        <f t="shared" si="21"/>
        <v>1571</v>
      </c>
      <c r="I136" s="83">
        <v>1571</v>
      </c>
      <c r="J136" s="83">
        <v>181.1716</v>
      </c>
      <c r="K136" s="83">
        <f>-152-1419</f>
        <v>-1571</v>
      </c>
      <c r="L136" s="83">
        <f>-152-1419</f>
        <v>-1571</v>
      </c>
      <c r="M136" s="83">
        <f t="shared" si="22"/>
        <v>0</v>
      </c>
      <c r="N136" s="71" t="s">
        <v>1993</v>
      </c>
      <c r="O136" s="121" t="s">
        <v>1631</v>
      </c>
      <c r="P136" s="121" t="s">
        <v>1835</v>
      </c>
      <c r="Q136" s="145">
        <v>2121301</v>
      </c>
    </row>
    <row r="137" s="98" customFormat="1" customHeight="1" spans="1:17">
      <c r="A137" s="120">
        <v>132</v>
      </c>
      <c r="B137" s="126" t="s">
        <v>598</v>
      </c>
      <c r="C137" s="123" t="s">
        <v>1294</v>
      </c>
      <c r="D137" s="123" t="s">
        <v>1994</v>
      </c>
      <c r="E137" s="125">
        <v>926</v>
      </c>
      <c r="F137" s="125">
        <v>0</v>
      </c>
      <c r="G137" s="125">
        <v>0</v>
      </c>
      <c r="H137" s="125">
        <f t="shared" si="21"/>
        <v>926</v>
      </c>
      <c r="I137" s="83">
        <v>926</v>
      </c>
      <c r="J137" s="83">
        <v>161.1807</v>
      </c>
      <c r="K137" s="83">
        <v>-131.18</v>
      </c>
      <c r="L137" s="83">
        <v>-131.18</v>
      </c>
      <c r="M137" s="83">
        <f t="shared" si="22"/>
        <v>794.82</v>
      </c>
      <c r="N137" s="155"/>
      <c r="O137" s="121" t="s">
        <v>1631</v>
      </c>
      <c r="P137" s="121" t="s">
        <v>1835</v>
      </c>
      <c r="Q137" s="145">
        <v>2121302</v>
      </c>
    </row>
    <row r="138" s="97" customFormat="1" customHeight="1" spans="1:17">
      <c r="A138" s="120">
        <v>133</v>
      </c>
      <c r="B138" s="121" t="s">
        <v>1995</v>
      </c>
      <c r="C138" s="123" t="s">
        <v>1039</v>
      </c>
      <c r="D138" s="123" t="s">
        <v>1996</v>
      </c>
      <c r="E138" s="125">
        <v>20</v>
      </c>
      <c r="F138" s="125">
        <v>0</v>
      </c>
      <c r="G138" s="125">
        <v>0</v>
      </c>
      <c r="H138" s="125">
        <f t="shared" si="21"/>
        <v>20</v>
      </c>
      <c r="I138" s="142">
        <v>20</v>
      </c>
      <c r="J138" s="142">
        <v>20</v>
      </c>
      <c r="K138" s="83">
        <v>-20</v>
      </c>
      <c r="L138" s="83">
        <v>-20</v>
      </c>
      <c r="M138" s="83">
        <f t="shared" si="22"/>
        <v>0</v>
      </c>
      <c r="N138" s="123"/>
      <c r="O138" s="121" t="s">
        <v>1631</v>
      </c>
      <c r="P138" s="121" t="s">
        <v>1979</v>
      </c>
      <c r="Q138" s="145">
        <v>2121399</v>
      </c>
    </row>
    <row r="139" s="97" customFormat="1" customHeight="1" spans="1:17">
      <c r="A139" s="120">
        <v>134</v>
      </c>
      <c r="B139" s="121" t="s">
        <v>1995</v>
      </c>
      <c r="C139" s="123" t="s">
        <v>1039</v>
      </c>
      <c r="D139" s="123" t="s">
        <v>1997</v>
      </c>
      <c r="E139" s="125">
        <v>27</v>
      </c>
      <c r="F139" s="125">
        <v>0</v>
      </c>
      <c r="G139" s="125">
        <v>0</v>
      </c>
      <c r="H139" s="125">
        <f t="shared" si="21"/>
        <v>27</v>
      </c>
      <c r="I139" s="142">
        <v>27</v>
      </c>
      <c r="J139" s="142">
        <v>10</v>
      </c>
      <c r="K139" s="83">
        <v>-10</v>
      </c>
      <c r="L139" s="83">
        <v>-10</v>
      </c>
      <c r="M139" s="83">
        <f t="shared" si="22"/>
        <v>17</v>
      </c>
      <c r="N139" s="123"/>
      <c r="O139" s="121" t="s">
        <v>1631</v>
      </c>
      <c r="P139" s="121" t="s">
        <v>1979</v>
      </c>
      <c r="Q139" s="145">
        <v>2121399</v>
      </c>
    </row>
    <row r="140" s="97" customFormat="1" customHeight="1" spans="1:17">
      <c r="A140" s="120">
        <v>135</v>
      </c>
      <c r="B140" s="121" t="s">
        <v>1995</v>
      </c>
      <c r="C140" s="71" t="s">
        <v>1039</v>
      </c>
      <c r="D140" s="123" t="s">
        <v>1998</v>
      </c>
      <c r="E140" s="125">
        <v>279</v>
      </c>
      <c r="F140" s="125">
        <v>0</v>
      </c>
      <c r="G140" s="125">
        <v>-50</v>
      </c>
      <c r="H140" s="125">
        <f t="shared" si="21"/>
        <v>229</v>
      </c>
      <c r="I140" s="142">
        <v>229</v>
      </c>
      <c r="J140" s="142">
        <v>192.7</v>
      </c>
      <c r="K140" s="83">
        <v>-192.7</v>
      </c>
      <c r="L140" s="83">
        <v>-192.7</v>
      </c>
      <c r="M140" s="83">
        <f t="shared" si="22"/>
        <v>36.3</v>
      </c>
      <c r="N140" s="123"/>
      <c r="O140" s="121" t="s">
        <v>1631</v>
      </c>
      <c r="P140" s="121" t="s">
        <v>1979</v>
      </c>
      <c r="Q140" s="145">
        <v>2121399</v>
      </c>
    </row>
    <row r="141" s="97" customFormat="1" customHeight="1" spans="1:17">
      <c r="A141" s="120">
        <v>136</v>
      </c>
      <c r="B141" s="121" t="s">
        <v>1995</v>
      </c>
      <c r="C141" s="123" t="s">
        <v>1039</v>
      </c>
      <c r="D141" s="123" t="s">
        <v>1999</v>
      </c>
      <c r="E141" s="125">
        <v>72</v>
      </c>
      <c r="F141" s="125">
        <v>0</v>
      </c>
      <c r="G141" s="125">
        <v>0</v>
      </c>
      <c r="H141" s="125">
        <f t="shared" si="21"/>
        <v>72</v>
      </c>
      <c r="I141" s="142">
        <v>72</v>
      </c>
      <c r="J141" s="142">
        <v>39</v>
      </c>
      <c r="K141" s="83">
        <v>-39</v>
      </c>
      <c r="L141" s="83">
        <v>-39</v>
      </c>
      <c r="M141" s="83">
        <f t="shared" si="22"/>
        <v>33</v>
      </c>
      <c r="N141" s="123"/>
      <c r="O141" s="121" t="s">
        <v>1631</v>
      </c>
      <c r="P141" s="121" t="s">
        <v>1979</v>
      </c>
      <c r="Q141" s="145">
        <v>2121399</v>
      </c>
    </row>
    <row r="142" s="97" customFormat="1" customHeight="1" spans="1:17">
      <c r="A142" s="120">
        <v>137</v>
      </c>
      <c r="B142" s="121" t="s">
        <v>1995</v>
      </c>
      <c r="C142" s="123" t="s">
        <v>1039</v>
      </c>
      <c r="D142" s="123" t="s">
        <v>2000</v>
      </c>
      <c r="E142" s="125">
        <v>45</v>
      </c>
      <c r="F142" s="125">
        <v>0</v>
      </c>
      <c r="G142" s="125">
        <v>0</v>
      </c>
      <c r="H142" s="125">
        <f t="shared" si="21"/>
        <v>45</v>
      </c>
      <c r="I142" s="142">
        <v>45</v>
      </c>
      <c r="J142" s="142">
        <v>45</v>
      </c>
      <c r="K142" s="83">
        <v>-45</v>
      </c>
      <c r="L142" s="83">
        <v>-45</v>
      </c>
      <c r="M142" s="83">
        <f t="shared" si="22"/>
        <v>0</v>
      </c>
      <c r="N142" s="123"/>
      <c r="O142" s="121" t="s">
        <v>1631</v>
      </c>
      <c r="P142" s="121" t="s">
        <v>1979</v>
      </c>
      <c r="Q142" s="145">
        <v>2121399</v>
      </c>
    </row>
    <row r="143" s="97" customFormat="1" customHeight="1" spans="1:17">
      <c r="A143" s="120">
        <v>138</v>
      </c>
      <c r="B143" s="121" t="s">
        <v>1995</v>
      </c>
      <c r="C143" s="123" t="s">
        <v>1039</v>
      </c>
      <c r="D143" s="123" t="s">
        <v>2001</v>
      </c>
      <c r="E143" s="125">
        <v>23</v>
      </c>
      <c r="F143" s="125">
        <v>0</v>
      </c>
      <c r="G143" s="125">
        <v>0</v>
      </c>
      <c r="H143" s="125">
        <f t="shared" si="21"/>
        <v>23</v>
      </c>
      <c r="I143" s="142">
        <v>23</v>
      </c>
      <c r="J143" s="142">
        <v>22.52</v>
      </c>
      <c r="K143" s="83">
        <v>-22.52</v>
      </c>
      <c r="L143" s="83">
        <v>-22.52</v>
      </c>
      <c r="M143" s="83">
        <f t="shared" si="22"/>
        <v>0.48</v>
      </c>
      <c r="N143" s="123"/>
      <c r="O143" s="121" t="s">
        <v>1631</v>
      </c>
      <c r="P143" s="121" t="s">
        <v>1979</v>
      </c>
      <c r="Q143" s="145">
        <v>2121399</v>
      </c>
    </row>
    <row r="144" s="98" customFormat="1" customHeight="1" spans="1:17">
      <c r="A144" s="120">
        <v>139</v>
      </c>
      <c r="B144" s="126" t="s">
        <v>1995</v>
      </c>
      <c r="C144" s="123" t="s">
        <v>1476</v>
      </c>
      <c r="D144" s="123" t="s">
        <v>2002</v>
      </c>
      <c r="E144" s="125">
        <v>100</v>
      </c>
      <c r="F144" s="125">
        <v>0</v>
      </c>
      <c r="G144" s="125">
        <v>0</v>
      </c>
      <c r="H144" s="125">
        <f t="shared" si="21"/>
        <v>100</v>
      </c>
      <c r="I144" s="142">
        <v>100</v>
      </c>
      <c r="J144" s="142">
        <v>100</v>
      </c>
      <c r="K144" s="83">
        <v>-100</v>
      </c>
      <c r="L144" s="83">
        <v>-100</v>
      </c>
      <c r="M144" s="83">
        <f t="shared" si="22"/>
        <v>0</v>
      </c>
      <c r="N144" s="123"/>
      <c r="O144" s="121" t="s">
        <v>1631</v>
      </c>
      <c r="P144" s="121" t="s">
        <v>1979</v>
      </c>
      <c r="Q144" s="145">
        <v>2121399</v>
      </c>
    </row>
    <row r="145" s="97" customFormat="1" customHeight="1" spans="1:17">
      <c r="A145" s="117">
        <v>140</v>
      </c>
      <c r="B145" s="118"/>
      <c r="C145" s="118" t="s">
        <v>2003</v>
      </c>
      <c r="D145" s="118"/>
      <c r="E145" s="119">
        <f t="shared" ref="E145:M145" si="23">SUM(E146:E150)</f>
        <v>65.239224</v>
      </c>
      <c r="F145" s="119">
        <f t="shared" si="23"/>
        <v>0</v>
      </c>
      <c r="G145" s="119">
        <f t="shared" si="23"/>
        <v>0</v>
      </c>
      <c r="H145" s="119">
        <f t="shared" si="23"/>
        <v>65.239224</v>
      </c>
      <c r="I145" s="138">
        <f t="shared" si="23"/>
        <v>65.24</v>
      </c>
      <c r="J145" s="138">
        <f t="shared" si="23"/>
        <v>51.765674</v>
      </c>
      <c r="K145" s="138">
        <f t="shared" si="23"/>
        <v>-50.77</v>
      </c>
      <c r="L145" s="138">
        <f t="shared" si="23"/>
        <v>-50.77</v>
      </c>
      <c r="M145" s="138">
        <f t="shared" si="23"/>
        <v>14.47</v>
      </c>
      <c r="N145" s="162"/>
      <c r="O145" s="144"/>
      <c r="P145" s="144"/>
      <c r="Q145" s="145"/>
    </row>
    <row r="146" s="98" customFormat="1" customHeight="1" spans="1:17">
      <c r="A146" s="120">
        <v>141</v>
      </c>
      <c r="B146" s="126" t="s">
        <v>2004</v>
      </c>
      <c r="C146" s="123" t="s">
        <v>1446</v>
      </c>
      <c r="D146" s="123" t="s">
        <v>1451</v>
      </c>
      <c r="E146" s="125">
        <v>1</v>
      </c>
      <c r="F146" s="125">
        <v>0</v>
      </c>
      <c r="G146" s="125">
        <v>0</v>
      </c>
      <c r="H146" s="125">
        <f t="shared" ref="H146:H150" si="24">E146+G146</f>
        <v>1</v>
      </c>
      <c r="I146" s="83">
        <v>1</v>
      </c>
      <c r="J146" s="83">
        <v>1</v>
      </c>
      <c r="K146" s="83">
        <v>0</v>
      </c>
      <c r="L146" s="83">
        <v>0</v>
      </c>
      <c r="M146" s="83">
        <f>I146+L146</f>
        <v>1</v>
      </c>
      <c r="N146" s="122"/>
      <c r="O146" s="120" t="s">
        <v>1631</v>
      </c>
      <c r="P146" s="126" t="s">
        <v>2005</v>
      </c>
      <c r="Q146" s="145">
        <v>2296006</v>
      </c>
    </row>
    <row r="147" s="98" customFormat="1" customHeight="1" spans="1:17">
      <c r="A147" s="120">
        <v>142</v>
      </c>
      <c r="B147" s="126" t="s">
        <v>2004</v>
      </c>
      <c r="C147" s="123" t="s">
        <v>1446</v>
      </c>
      <c r="D147" s="123" t="s">
        <v>2006</v>
      </c>
      <c r="E147" s="125">
        <v>5.239224</v>
      </c>
      <c r="F147" s="125">
        <v>0</v>
      </c>
      <c r="G147" s="125">
        <v>0</v>
      </c>
      <c r="H147" s="125">
        <f t="shared" si="24"/>
        <v>5.239224</v>
      </c>
      <c r="I147" s="83">
        <v>5.24</v>
      </c>
      <c r="J147" s="83">
        <v>5.239224</v>
      </c>
      <c r="K147" s="83">
        <v>-5.24</v>
      </c>
      <c r="L147" s="83">
        <v>-5.24</v>
      </c>
      <c r="M147" s="83">
        <f t="shared" ref="M147:M152" si="25">I147+L147</f>
        <v>0</v>
      </c>
      <c r="N147" s="122"/>
      <c r="O147" s="120" t="s">
        <v>1631</v>
      </c>
      <c r="P147" s="126" t="s">
        <v>2005</v>
      </c>
      <c r="Q147" s="145">
        <v>2296006</v>
      </c>
    </row>
    <row r="148" s="98" customFormat="1" customHeight="1" spans="1:17">
      <c r="A148" s="120">
        <v>143</v>
      </c>
      <c r="B148" s="126" t="s">
        <v>2004</v>
      </c>
      <c r="C148" s="123" t="s">
        <v>1446</v>
      </c>
      <c r="D148" s="123" t="s">
        <v>2006</v>
      </c>
      <c r="E148" s="125">
        <v>14</v>
      </c>
      <c r="F148" s="125">
        <v>0</v>
      </c>
      <c r="G148" s="125">
        <v>0</v>
      </c>
      <c r="H148" s="125">
        <f t="shared" si="24"/>
        <v>14</v>
      </c>
      <c r="I148" s="83">
        <v>14</v>
      </c>
      <c r="J148" s="83">
        <v>0.52645</v>
      </c>
      <c r="K148" s="83">
        <v>-0.53</v>
      </c>
      <c r="L148" s="83">
        <v>-0.53</v>
      </c>
      <c r="M148" s="83">
        <f t="shared" si="25"/>
        <v>13.47</v>
      </c>
      <c r="N148" s="122"/>
      <c r="O148" s="120" t="s">
        <v>1631</v>
      </c>
      <c r="P148" s="126" t="s">
        <v>2005</v>
      </c>
      <c r="Q148" s="145">
        <v>2296006</v>
      </c>
    </row>
    <row r="149" s="95" customFormat="1" customHeight="1" spans="1:17">
      <c r="A149" s="120">
        <v>144</v>
      </c>
      <c r="B149" s="126" t="s">
        <v>2004</v>
      </c>
      <c r="C149" s="123" t="s">
        <v>932</v>
      </c>
      <c r="D149" s="123" t="s">
        <v>2007</v>
      </c>
      <c r="E149" s="125">
        <v>33</v>
      </c>
      <c r="F149" s="125">
        <v>0</v>
      </c>
      <c r="G149" s="125">
        <v>0</v>
      </c>
      <c r="H149" s="125">
        <f t="shared" si="24"/>
        <v>33</v>
      </c>
      <c r="I149" s="83">
        <v>33</v>
      </c>
      <c r="J149" s="83">
        <v>33</v>
      </c>
      <c r="K149" s="83">
        <v>-33</v>
      </c>
      <c r="L149" s="83">
        <v>-33</v>
      </c>
      <c r="M149" s="83">
        <f t="shared" si="25"/>
        <v>0</v>
      </c>
      <c r="N149" s="122"/>
      <c r="O149" s="120" t="s">
        <v>1631</v>
      </c>
      <c r="P149" s="126" t="s">
        <v>2005</v>
      </c>
      <c r="Q149" s="145">
        <v>2296099</v>
      </c>
    </row>
    <row r="150" s="98" customFormat="1" customHeight="1" spans="1:17">
      <c r="A150" s="120">
        <v>145</v>
      </c>
      <c r="B150" s="126" t="s">
        <v>2004</v>
      </c>
      <c r="C150" s="123" t="s">
        <v>2008</v>
      </c>
      <c r="D150" s="123" t="s">
        <v>409</v>
      </c>
      <c r="E150" s="125">
        <v>12</v>
      </c>
      <c r="F150" s="125">
        <v>0</v>
      </c>
      <c r="G150" s="125">
        <v>0</v>
      </c>
      <c r="H150" s="125">
        <f t="shared" si="24"/>
        <v>12</v>
      </c>
      <c r="I150" s="83">
        <v>12</v>
      </c>
      <c r="J150" s="83">
        <v>12</v>
      </c>
      <c r="K150" s="83">
        <v>-12</v>
      </c>
      <c r="L150" s="83">
        <v>-12</v>
      </c>
      <c r="M150" s="83">
        <f t="shared" si="25"/>
        <v>0</v>
      </c>
      <c r="N150" s="122"/>
      <c r="O150" s="120" t="s">
        <v>1631</v>
      </c>
      <c r="P150" s="126" t="s">
        <v>2005</v>
      </c>
      <c r="Q150" s="145">
        <v>2296013</v>
      </c>
    </row>
    <row r="151" s="97" customFormat="1" customHeight="1" spans="1:17">
      <c r="A151" s="117">
        <v>146</v>
      </c>
      <c r="B151" s="118"/>
      <c r="C151" s="118" t="s">
        <v>2009</v>
      </c>
      <c r="D151" s="118"/>
      <c r="E151" s="119">
        <v>29690</v>
      </c>
      <c r="F151" s="156"/>
      <c r="G151" s="156"/>
      <c r="H151" s="119">
        <v>29690</v>
      </c>
      <c r="I151" s="138">
        <f>SUM(I152:I183)</f>
        <v>29690</v>
      </c>
      <c r="J151" s="138">
        <f>SUM(J152:J183)</f>
        <v>0</v>
      </c>
      <c r="K151" s="138">
        <f>SUM(K152:K183)</f>
        <v>-28448</v>
      </c>
      <c r="L151" s="138">
        <f>SUM(L152:L183)</f>
        <v>-28448</v>
      </c>
      <c r="M151" s="138">
        <f>SUM(M152:M183)</f>
        <v>1242</v>
      </c>
      <c r="N151" s="163" t="s">
        <v>2010</v>
      </c>
      <c r="O151" s="144"/>
      <c r="P151" s="144"/>
      <c r="Q151" s="144"/>
    </row>
    <row r="152" s="95" customFormat="1" customHeight="1" spans="1:17">
      <c r="A152" s="120">
        <v>147</v>
      </c>
      <c r="B152" s="121" t="s">
        <v>1862</v>
      </c>
      <c r="C152" s="123" t="s">
        <v>1055</v>
      </c>
      <c r="D152" s="123" t="s">
        <v>2011</v>
      </c>
      <c r="E152" s="157"/>
      <c r="F152" s="158"/>
      <c r="G152" s="158"/>
      <c r="H152" s="157"/>
      <c r="I152" s="83">
        <v>10</v>
      </c>
      <c r="J152" s="83"/>
      <c r="K152" s="83"/>
      <c r="L152" s="83"/>
      <c r="M152" s="83">
        <f t="shared" si="25"/>
        <v>10</v>
      </c>
      <c r="N152" s="164"/>
      <c r="O152" s="121" t="s">
        <v>1631</v>
      </c>
      <c r="P152" s="121" t="s">
        <v>1835</v>
      </c>
      <c r="Q152" s="145" t="s">
        <v>2012</v>
      </c>
    </row>
    <row r="153" s="95" customFormat="1" customHeight="1" spans="1:17">
      <c r="A153" s="120">
        <v>148</v>
      </c>
      <c r="B153" s="121" t="s">
        <v>1862</v>
      </c>
      <c r="C153" s="123" t="s">
        <v>1885</v>
      </c>
      <c r="D153" s="123" t="s">
        <v>2013</v>
      </c>
      <c r="E153" s="157"/>
      <c r="F153" s="158"/>
      <c r="G153" s="158"/>
      <c r="H153" s="157"/>
      <c r="I153" s="83">
        <v>228</v>
      </c>
      <c r="J153" s="83"/>
      <c r="K153" s="83">
        <v>-228</v>
      </c>
      <c r="L153" s="83">
        <v>-228</v>
      </c>
      <c r="M153" s="83">
        <f t="shared" ref="M153:M183" si="26">I153+L153</f>
        <v>0</v>
      </c>
      <c r="N153" s="164" t="s">
        <v>2014</v>
      </c>
      <c r="O153" s="121" t="s">
        <v>1864</v>
      </c>
      <c r="P153" s="121" t="s">
        <v>1835</v>
      </c>
      <c r="Q153" s="145" t="s">
        <v>2012</v>
      </c>
    </row>
    <row r="154" s="95" customFormat="1" customHeight="1" spans="1:17">
      <c r="A154" s="120">
        <v>149</v>
      </c>
      <c r="B154" s="121" t="s">
        <v>1862</v>
      </c>
      <c r="C154" s="123" t="s">
        <v>1885</v>
      </c>
      <c r="D154" s="123" t="s">
        <v>2015</v>
      </c>
      <c r="E154" s="157"/>
      <c r="F154" s="158"/>
      <c r="G154" s="158"/>
      <c r="H154" s="157"/>
      <c r="I154" s="83">
        <v>10</v>
      </c>
      <c r="J154" s="83"/>
      <c r="K154" s="83"/>
      <c r="L154" s="83"/>
      <c r="M154" s="83">
        <f t="shared" si="26"/>
        <v>10</v>
      </c>
      <c r="N154" s="164"/>
      <c r="O154" s="121" t="s">
        <v>1631</v>
      </c>
      <c r="P154" s="121" t="s">
        <v>1835</v>
      </c>
      <c r="Q154" s="145" t="s">
        <v>2012</v>
      </c>
    </row>
    <row r="155" s="95" customFormat="1" customHeight="1" spans="1:17">
      <c r="A155" s="120">
        <v>150</v>
      </c>
      <c r="B155" s="126" t="s">
        <v>1862</v>
      </c>
      <c r="C155" s="123" t="s">
        <v>838</v>
      </c>
      <c r="D155" s="123" t="s">
        <v>839</v>
      </c>
      <c r="E155" s="157"/>
      <c r="F155" s="158"/>
      <c r="G155" s="158"/>
      <c r="H155" s="157"/>
      <c r="I155" s="83">
        <v>1230</v>
      </c>
      <c r="J155" s="83"/>
      <c r="K155" s="83">
        <v>-1230</v>
      </c>
      <c r="L155" s="83">
        <v>-1230</v>
      </c>
      <c r="M155" s="83">
        <f t="shared" si="26"/>
        <v>0</v>
      </c>
      <c r="N155" s="164" t="s">
        <v>2016</v>
      </c>
      <c r="O155" s="121" t="s">
        <v>1864</v>
      </c>
      <c r="P155" s="121" t="s">
        <v>1835</v>
      </c>
      <c r="Q155" s="145" t="s">
        <v>2012</v>
      </c>
    </row>
    <row r="156" s="95" customFormat="1" customHeight="1" spans="1:17">
      <c r="A156" s="120">
        <v>151</v>
      </c>
      <c r="B156" s="126" t="s">
        <v>1862</v>
      </c>
      <c r="C156" s="123" t="s">
        <v>1890</v>
      </c>
      <c r="D156" s="123" t="s">
        <v>2017</v>
      </c>
      <c r="E156" s="157"/>
      <c r="F156" s="158"/>
      <c r="G156" s="158"/>
      <c r="H156" s="157"/>
      <c r="I156" s="83">
        <v>19</v>
      </c>
      <c r="J156" s="83"/>
      <c r="K156" s="83"/>
      <c r="L156" s="83"/>
      <c r="M156" s="83">
        <f t="shared" si="26"/>
        <v>19</v>
      </c>
      <c r="N156" s="164"/>
      <c r="O156" s="121" t="s">
        <v>1864</v>
      </c>
      <c r="P156" s="121" t="s">
        <v>1835</v>
      </c>
      <c r="Q156" s="145" t="s">
        <v>2012</v>
      </c>
    </row>
    <row r="157" s="95" customFormat="1" customHeight="1" spans="1:17">
      <c r="A157" s="120">
        <v>152</v>
      </c>
      <c r="B157" s="121" t="s">
        <v>1862</v>
      </c>
      <c r="C157" s="123" t="s">
        <v>1986</v>
      </c>
      <c r="D157" s="123" t="s">
        <v>2018</v>
      </c>
      <c r="E157" s="157"/>
      <c r="F157" s="158"/>
      <c r="G157" s="158"/>
      <c r="H157" s="157"/>
      <c r="I157" s="83">
        <v>31</v>
      </c>
      <c r="J157" s="83"/>
      <c r="K157" s="83"/>
      <c r="L157" s="83"/>
      <c r="M157" s="83">
        <f t="shared" si="26"/>
        <v>31</v>
      </c>
      <c r="N157" s="164"/>
      <c r="O157" s="121" t="s">
        <v>1864</v>
      </c>
      <c r="P157" s="121" t="s">
        <v>1835</v>
      </c>
      <c r="Q157" s="145" t="s">
        <v>2012</v>
      </c>
    </row>
    <row r="158" s="95" customFormat="1" customHeight="1" spans="1:17">
      <c r="A158" s="120">
        <v>153</v>
      </c>
      <c r="B158" s="126" t="s">
        <v>1862</v>
      </c>
      <c r="C158" s="123" t="s">
        <v>649</v>
      </c>
      <c r="D158" s="123" t="s">
        <v>2019</v>
      </c>
      <c r="E158" s="157"/>
      <c r="F158" s="158"/>
      <c r="G158" s="158"/>
      <c r="H158" s="157"/>
      <c r="I158" s="83">
        <v>119</v>
      </c>
      <c r="J158" s="83"/>
      <c r="K158" s="83">
        <v>-119</v>
      </c>
      <c r="L158" s="83">
        <v>-119</v>
      </c>
      <c r="M158" s="83">
        <f t="shared" si="26"/>
        <v>0</v>
      </c>
      <c r="N158" s="164" t="s">
        <v>1849</v>
      </c>
      <c r="O158" s="121" t="s">
        <v>1864</v>
      </c>
      <c r="P158" s="121" t="s">
        <v>1835</v>
      </c>
      <c r="Q158" s="145" t="s">
        <v>2012</v>
      </c>
    </row>
    <row r="159" s="95" customFormat="1" customHeight="1" spans="1:17">
      <c r="A159" s="120">
        <v>154</v>
      </c>
      <c r="B159" s="126" t="s">
        <v>1862</v>
      </c>
      <c r="C159" s="123" t="s">
        <v>657</v>
      </c>
      <c r="D159" s="123" t="s">
        <v>1893</v>
      </c>
      <c r="E159" s="157"/>
      <c r="F159" s="158"/>
      <c r="G159" s="158"/>
      <c r="H159" s="157"/>
      <c r="I159" s="83">
        <v>19</v>
      </c>
      <c r="J159" s="83"/>
      <c r="K159" s="83"/>
      <c r="L159" s="83"/>
      <c r="M159" s="83">
        <f t="shared" si="26"/>
        <v>19</v>
      </c>
      <c r="N159" s="164"/>
      <c r="O159" s="121" t="s">
        <v>1864</v>
      </c>
      <c r="P159" s="121" t="s">
        <v>1835</v>
      </c>
      <c r="Q159" s="145" t="s">
        <v>2012</v>
      </c>
    </row>
    <row r="160" s="95" customFormat="1" customHeight="1" spans="1:17">
      <c r="A160" s="120">
        <v>155</v>
      </c>
      <c r="B160" s="126" t="s">
        <v>1862</v>
      </c>
      <c r="C160" s="123" t="s">
        <v>657</v>
      </c>
      <c r="D160" s="123" t="s">
        <v>1894</v>
      </c>
      <c r="E160" s="157"/>
      <c r="F160" s="158"/>
      <c r="G160" s="158"/>
      <c r="H160" s="157"/>
      <c r="I160" s="83">
        <v>4</v>
      </c>
      <c r="J160" s="83"/>
      <c r="K160" s="83"/>
      <c r="L160" s="83"/>
      <c r="M160" s="83">
        <f t="shared" si="26"/>
        <v>4</v>
      </c>
      <c r="N160" s="164"/>
      <c r="O160" s="121" t="s">
        <v>1864</v>
      </c>
      <c r="P160" s="121" t="s">
        <v>1835</v>
      </c>
      <c r="Q160" s="145" t="s">
        <v>2012</v>
      </c>
    </row>
    <row r="161" s="95" customFormat="1" customHeight="1" spans="1:17">
      <c r="A161" s="120">
        <v>156</v>
      </c>
      <c r="B161" s="121" t="s">
        <v>1862</v>
      </c>
      <c r="C161" s="123" t="s">
        <v>1977</v>
      </c>
      <c r="D161" s="123" t="s">
        <v>2020</v>
      </c>
      <c r="E161" s="157"/>
      <c r="F161" s="158"/>
      <c r="G161" s="158"/>
      <c r="H161" s="157"/>
      <c r="I161" s="83">
        <v>13</v>
      </c>
      <c r="J161" s="83"/>
      <c r="K161" s="83"/>
      <c r="L161" s="83"/>
      <c r="M161" s="83">
        <f t="shared" si="26"/>
        <v>13</v>
      </c>
      <c r="N161" s="164"/>
      <c r="O161" s="121" t="s">
        <v>1864</v>
      </c>
      <c r="P161" s="121" t="s">
        <v>1835</v>
      </c>
      <c r="Q161" s="145" t="s">
        <v>2012</v>
      </c>
    </row>
    <row r="162" s="95" customFormat="1" customHeight="1" spans="1:17">
      <c r="A162" s="120">
        <v>157</v>
      </c>
      <c r="B162" s="126" t="s">
        <v>1920</v>
      </c>
      <c r="C162" s="123" t="s">
        <v>649</v>
      </c>
      <c r="D162" s="123" t="s">
        <v>2021</v>
      </c>
      <c r="E162" s="157"/>
      <c r="F162" s="158"/>
      <c r="G162" s="158"/>
      <c r="H162" s="157"/>
      <c r="I162" s="83">
        <v>200</v>
      </c>
      <c r="J162" s="83"/>
      <c r="K162" s="83"/>
      <c r="L162" s="83"/>
      <c r="M162" s="83">
        <f t="shared" si="26"/>
        <v>200</v>
      </c>
      <c r="N162" s="164"/>
      <c r="O162" s="121" t="s">
        <v>1631</v>
      </c>
      <c r="P162" s="121" t="s">
        <v>1835</v>
      </c>
      <c r="Q162" s="145" t="s">
        <v>1684</v>
      </c>
    </row>
    <row r="163" s="95" customFormat="1" customHeight="1" spans="1:17">
      <c r="A163" s="120">
        <v>158</v>
      </c>
      <c r="B163" s="126" t="s">
        <v>1905</v>
      </c>
      <c r="C163" s="123" t="s">
        <v>1055</v>
      </c>
      <c r="D163" s="123" t="s">
        <v>1906</v>
      </c>
      <c r="E163" s="157"/>
      <c r="F163" s="158"/>
      <c r="G163" s="158"/>
      <c r="H163" s="157"/>
      <c r="I163" s="83">
        <v>2692</v>
      </c>
      <c r="J163" s="83"/>
      <c r="K163" s="83">
        <f>-2692</f>
        <v>-2692</v>
      </c>
      <c r="L163" s="83">
        <f>-2692</f>
        <v>-2692</v>
      </c>
      <c r="M163" s="83">
        <f t="shared" si="26"/>
        <v>0</v>
      </c>
      <c r="N163" s="164" t="s">
        <v>2022</v>
      </c>
      <c r="O163" s="121" t="s">
        <v>1907</v>
      </c>
      <c r="P163" s="121" t="s">
        <v>1835</v>
      </c>
      <c r="Q163" s="145" t="s">
        <v>2012</v>
      </c>
    </row>
    <row r="164" s="95" customFormat="1" customHeight="1" spans="1:17">
      <c r="A164" s="120">
        <v>159</v>
      </c>
      <c r="B164" s="126" t="s">
        <v>1905</v>
      </c>
      <c r="C164" s="123" t="s">
        <v>1055</v>
      </c>
      <c r="D164" s="123" t="s">
        <v>1908</v>
      </c>
      <c r="E164" s="157"/>
      <c r="F164" s="158"/>
      <c r="G164" s="158"/>
      <c r="H164" s="157"/>
      <c r="I164" s="83">
        <v>3558</v>
      </c>
      <c r="J164" s="83"/>
      <c r="K164" s="83">
        <v>-3558</v>
      </c>
      <c r="L164" s="83">
        <v>-3558</v>
      </c>
      <c r="M164" s="83">
        <f t="shared" si="26"/>
        <v>0</v>
      </c>
      <c r="N164" s="164" t="s">
        <v>2023</v>
      </c>
      <c r="O164" s="121" t="s">
        <v>1907</v>
      </c>
      <c r="P164" s="121" t="s">
        <v>1835</v>
      </c>
      <c r="Q164" s="145" t="s">
        <v>2012</v>
      </c>
    </row>
    <row r="165" s="95" customFormat="1" customHeight="1" spans="1:17">
      <c r="A165" s="120">
        <v>160</v>
      </c>
      <c r="B165" s="126" t="s">
        <v>1905</v>
      </c>
      <c r="C165" s="123" t="s">
        <v>1055</v>
      </c>
      <c r="D165" s="123" t="s">
        <v>2024</v>
      </c>
      <c r="E165" s="157"/>
      <c r="F165" s="158"/>
      <c r="G165" s="158"/>
      <c r="H165" s="157"/>
      <c r="I165" s="83">
        <v>1500</v>
      </c>
      <c r="J165" s="83"/>
      <c r="K165" s="83">
        <f>-1500</f>
        <v>-1500</v>
      </c>
      <c r="L165" s="83">
        <f>-1500</f>
        <v>-1500</v>
      </c>
      <c r="M165" s="83">
        <f t="shared" si="26"/>
        <v>0</v>
      </c>
      <c r="N165" s="164"/>
      <c r="O165" s="121" t="s">
        <v>1907</v>
      </c>
      <c r="P165" s="121" t="s">
        <v>1835</v>
      </c>
      <c r="Q165" s="145" t="s">
        <v>2012</v>
      </c>
    </row>
    <row r="166" s="95" customFormat="1" customHeight="1" spans="1:17">
      <c r="A166" s="120">
        <v>161</v>
      </c>
      <c r="B166" s="126" t="s">
        <v>1905</v>
      </c>
      <c r="C166" s="123" t="s">
        <v>838</v>
      </c>
      <c r="D166" s="123" t="s">
        <v>2025</v>
      </c>
      <c r="E166" s="157"/>
      <c r="F166" s="158"/>
      <c r="G166" s="158"/>
      <c r="H166" s="157"/>
      <c r="I166" s="83">
        <v>1690</v>
      </c>
      <c r="J166" s="83"/>
      <c r="K166" s="83">
        <v>-1690</v>
      </c>
      <c r="L166" s="83">
        <v>-1690</v>
      </c>
      <c r="M166" s="83">
        <f t="shared" si="26"/>
        <v>0</v>
      </c>
      <c r="N166" s="164" t="s">
        <v>2026</v>
      </c>
      <c r="O166" s="121" t="s">
        <v>1907</v>
      </c>
      <c r="P166" s="121" t="s">
        <v>1835</v>
      </c>
      <c r="Q166" s="145" t="s">
        <v>2012</v>
      </c>
    </row>
    <row r="167" s="95" customFormat="1" customHeight="1" spans="1:17">
      <c r="A167" s="120">
        <v>162</v>
      </c>
      <c r="B167" s="126" t="s">
        <v>1905</v>
      </c>
      <c r="C167" s="123" t="s">
        <v>1145</v>
      </c>
      <c r="D167" s="123" t="s">
        <v>2027</v>
      </c>
      <c r="E167" s="157"/>
      <c r="F167" s="158"/>
      <c r="G167" s="158"/>
      <c r="H167" s="157"/>
      <c r="I167" s="83">
        <v>170</v>
      </c>
      <c r="J167" s="83"/>
      <c r="K167" s="83">
        <v>-170</v>
      </c>
      <c r="L167" s="83">
        <v>-170</v>
      </c>
      <c r="M167" s="83">
        <f t="shared" si="26"/>
        <v>0</v>
      </c>
      <c r="N167" s="164" t="s">
        <v>2028</v>
      </c>
      <c r="O167" s="121" t="s">
        <v>1907</v>
      </c>
      <c r="P167" s="121" t="s">
        <v>1835</v>
      </c>
      <c r="Q167" s="145" t="s">
        <v>2012</v>
      </c>
    </row>
    <row r="168" s="95" customFormat="1" customHeight="1" spans="1:17">
      <c r="A168" s="120">
        <v>163</v>
      </c>
      <c r="B168" s="121" t="s">
        <v>1905</v>
      </c>
      <c r="C168" s="127" t="s">
        <v>1076</v>
      </c>
      <c r="D168" s="123" t="s">
        <v>2029</v>
      </c>
      <c r="E168" s="157"/>
      <c r="F168" s="158"/>
      <c r="G168" s="158"/>
      <c r="H168" s="157"/>
      <c r="I168" s="83">
        <v>990</v>
      </c>
      <c r="J168" s="83"/>
      <c r="K168" s="83">
        <v>-990</v>
      </c>
      <c r="L168" s="83">
        <v>-990</v>
      </c>
      <c r="M168" s="83">
        <f t="shared" si="26"/>
        <v>0</v>
      </c>
      <c r="N168" s="164" t="s">
        <v>2030</v>
      </c>
      <c r="O168" s="121" t="s">
        <v>1907</v>
      </c>
      <c r="P168" s="121" t="s">
        <v>1835</v>
      </c>
      <c r="Q168" s="145" t="s">
        <v>2012</v>
      </c>
    </row>
    <row r="169" s="95" customFormat="1" customHeight="1" spans="1:17">
      <c r="A169" s="120">
        <v>164</v>
      </c>
      <c r="B169" s="126" t="s">
        <v>1905</v>
      </c>
      <c r="C169" s="123" t="s">
        <v>649</v>
      </c>
      <c r="D169" s="123" t="s">
        <v>1914</v>
      </c>
      <c r="E169" s="157"/>
      <c r="F169" s="158"/>
      <c r="G169" s="158"/>
      <c r="H169" s="157"/>
      <c r="I169" s="83">
        <v>160</v>
      </c>
      <c r="J169" s="83"/>
      <c r="K169" s="83"/>
      <c r="L169" s="83"/>
      <c r="M169" s="83">
        <f t="shared" si="26"/>
        <v>160</v>
      </c>
      <c r="N169" s="164"/>
      <c r="O169" s="121" t="s">
        <v>1907</v>
      </c>
      <c r="P169" s="121" t="s">
        <v>1835</v>
      </c>
      <c r="Q169" s="145" t="s">
        <v>2012</v>
      </c>
    </row>
    <row r="170" s="95" customFormat="1" customHeight="1" spans="1:17">
      <c r="A170" s="120">
        <v>165</v>
      </c>
      <c r="B170" s="126" t="s">
        <v>1905</v>
      </c>
      <c r="C170" s="123" t="s">
        <v>662</v>
      </c>
      <c r="D170" s="123" t="s">
        <v>1913</v>
      </c>
      <c r="E170" s="157"/>
      <c r="F170" s="158"/>
      <c r="G170" s="158"/>
      <c r="H170" s="157"/>
      <c r="I170" s="83">
        <v>144</v>
      </c>
      <c r="J170" s="83"/>
      <c r="K170" s="83"/>
      <c r="L170" s="83"/>
      <c r="M170" s="83">
        <f t="shared" si="26"/>
        <v>144</v>
      </c>
      <c r="N170" s="164"/>
      <c r="O170" s="121" t="s">
        <v>1907</v>
      </c>
      <c r="P170" s="121" t="s">
        <v>1835</v>
      </c>
      <c r="Q170" s="145" t="s">
        <v>2012</v>
      </c>
    </row>
    <row r="171" s="95" customFormat="1" customHeight="1" spans="1:17">
      <c r="A171" s="120">
        <v>166</v>
      </c>
      <c r="B171" s="121" t="s">
        <v>1837</v>
      </c>
      <c r="C171" s="159" t="s">
        <v>745</v>
      </c>
      <c r="D171" s="123" t="s">
        <v>2031</v>
      </c>
      <c r="E171" s="157"/>
      <c r="F171" s="158"/>
      <c r="G171" s="158"/>
      <c r="H171" s="157"/>
      <c r="I171" s="83">
        <v>723</v>
      </c>
      <c r="J171" s="83"/>
      <c r="K171" s="83">
        <v>-723</v>
      </c>
      <c r="L171" s="83">
        <v>-723</v>
      </c>
      <c r="M171" s="83">
        <f t="shared" si="26"/>
        <v>0</v>
      </c>
      <c r="N171" s="164" t="s">
        <v>1866</v>
      </c>
      <c r="O171" s="121" t="s">
        <v>1864</v>
      </c>
      <c r="P171" s="121" t="s">
        <v>1835</v>
      </c>
      <c r="Q171" s="145" t="s">
        <v>2032</v>
      </c>
    </row>
    <row r="172" s="95" customFormat="1" customHeight="1" spans="1:17">
      <c r="A172" s="120">
        <v>167</v>
      </c>
      <c r="B172" s="121" t="s">
        <v>1837</v>
      </c>
      <c r="C172" s="123" t="s">
        <v>1055</v>
      </c>
      <c r="D172" s="123" t="s">
        <v>1838</v>
      </c>
      <c r="E172" s="157"/>
      <c r="F172" s="158"/>
      <c r="G172" s="158"/>
      <c r="H172" s="157"/>
      <c r="I172" s="83">
        <v>7720</v>
      </c>
      <c r="J172" s="83"/>
      <c r="K172" s="83">
        <v>-7720</v>
      </c>
      <c r="L172" s="83">
        <v>-7720</v>
      </c>
      <c r="M172" s="83">
        <f t="shared" si="26"/>
        <v>0</v>
      </c>
      <c r="N172" s="164" t="s">
        <v>136</v>
      </c>
      <c r="O172" s="121" t="s">
        <v>1864</v>
      </c>
      <c r="P172" s="121" t="s">
        <v>1835</v>
      </c>
      <c r="Q172" s="145" t="s">
        <v>2033</v>
      </c>
    </row>
    <row r="173" s="95" customFormat="1" customHeight="1" spans="1:17">
      <c r="A173" s="120">
        <v>168</v>
      </c>
      <c r="B173" s="126" t="s">
        <v>1831</v>
      </c>
      <c r="C173" s="123" t="s">
        <v>1832</v>
      </c>
      <c r="D173" s="123" t="s">
        <v>1848</v>
      </c>
      <c r="E173" s="157"/>
      <c r="F173" s="158"/>
      <c r="G173" s="158"/>
      <c r="H173" s="157"/>
      <c r="I173" s="83">
        <v>640</v>
      </c>
      <c r="J173" s="83"/>
      <c r="K173" s="83">
        <v>-640</v>
      </c>
      <c r="L173" s="83">
        <v>-640</v>
      </c>
      <c r="M173" s="83">
        <f t="shared" si="26"/>
        <v>0</v>
      </c>
      <c r="N173" s="164" t="s">
        <v>2034</v>
      </c>
      <c r="O173" s="121" t="s">
        <v>1864</v>
      </c>
      <c r="P173" s="121" t="s">
        <v>1835</v>
      </c>
      <c r="Q173" s="145" t="s">
        <v>2035</v>
      </c>
    </row>
    <row r="174" s="95" customFormat="1" customHeight="1" spans="1:17">
      <c r="A174" s="120">
        <v>169</v>
      </c>
      <c r="B174" s="121" t="s">
        <v>1831</v>
      </c>
      <c r="C174" s="123" t="s">
        <v>657</v>
      </c>
      <c r="D174" s="123" t="s">
        <v>2036</v>
      </c>
      <c r="E174" s="157"/>
      <c r="F174" s="158"/>
      <c r="G174" s="158"/>
      <c r="H174" s="157"/>
      <c r="I174" s="83">
        <v>710</v>
      </c>
      <c r="J174" s="83"/>
      <c r="K174" s="83">
        <v>-710</v>
      </c>
      <c r="L174" s="83">
        <v>-710</v>
      </c>
      <c r="M174" s="83">
        <f t="shared" si="26"/>
        <v>0</v>
      </c>
      <c r="N174" s="164" t="s">
        <v>2037</v>
      </c>
      <c r="O174" s="121" t="s">
        <v>1864</v>
      </c>
      <c r="P174" s="121" t="s">
        <v>1835</v>
      </c>
      <c r="Q174" s="145" t="s">
        <v>2038</v>
      </c>
    </row>
    <row r="175" s="95" customFormat="1" customHeight="1" spans="1:17">
      <c r="A175" s="120">
        <v>170</v>
      </c>
      <c r="B175" s="126" t="s">
        <v>2039</v>
      </c>
      <c r="C175" s="123" t="s">
        <v>1294</v>
      </c>
      <c r="D175" s="123" t="s">
        <v>1983</v>
      </c>
      <c r="E175" s="157"/>
      <c r="F175" s="158"/>
      <c r="G175" s="158"/>
      <c r="H175" s="157"/>
      <c r="I175" s="83">
        <v>396</v>
      </c>
      <c r="J175" s="83"/>
      <c r="K175" s="83"/>
      <c r="L175" s="83"/>
      <c r="M175" s="83">
        <f t="shared" si="26"/>
        <v>396</v>
      </c>
      <c r="N175" s="164"/>
      <c r="O175" s="121" t="s">
        <v>1631</v>
      </c>
      <c r="P175" s="121" t="s">
        <v>1835</v>
      </c>
      <c r="Q175" s="145" t="s">
        <v>1717</v>
      </c>
    </row>
    <row r="176" s="95" customFormat="1" customHeight="1" spans="1:17">
      <c r="A176" s="120">
        <v>171</v>
      </c>
      <c r="B176" s="126" t="s">
        <v>2039</v>
      </c>
      <c r="C176" s="123" t="s">
        <v>1294</v>
      </c>
      <c r="D176" s="123" t="s">
        <v>1984</v>
      </c>
      <c r="E176" s="157"/>
      <c r="F176" s="158"/>
      <c r="G176" s="158"/>
      <c r="H176" s="157"/>
      <c r="I176" s="83">
        <v>613</v>
      </c>
      <c r="J176" s="83"/>
      <c r="K176" s="83">
        <v>-536</v>
      </c>
      <c r="L176" s="83">
        <f>-536</f>
        <v>-536</v>
      </c>
      <c r="M176" s="83">
        <f t="shared" si="26"/>
        <v>77</v>
      </c>
      <c r="N176" s="164" t="s">
        <v>136</v>
      </c>
      <c r="O176" s="121" t="s">
        <v>1631</v>
      </c>
      <c r="P176" s="121" t="s">
        <v>1835</v>
      </c>
      <c r="Q176" s="145" t="s">
        <v>1717</v>
      </c>
    </row>
    <row r="177" s="95" customFormat="1" customHeight="1" spans="1:17">
      <c r="A177" s="120">
        <v>172</v>
      </c>
      <c r="B177" s="126" t="s">
        <v>2039</v>
      </c>
      <c r="C177" s="123" t="s">
        <v>1294</v>
      </c>
      <c r="D177" s="123" t="s">
        <v>1980</v>
      </c>
      <c r="E177" s="157"/>
      <c r="F177" s="158"/>
      <c r="G177" s="158"/>
      <c r="H177" s="157"/>
      <c r="I177" s="83">
        <v>340</v>
      </c>
      <c r="J177" s="83"/>
      <c r="K177" s="83">
        <v>-340</v>
      </c>
      <c r="L177" s="83">
        <v>-340</v>
      </c>
      <c r="M177" s="83">
        <f t="shared" si="26"/>
        <v>0</v>
      </c>
      <c r="N177" s="164" t="s">
        <v>2040</v>
      </c>
      <c r="O177" s="121" t="s">
        <v>1631</v>
      </c>
      <c r="P177" s="121" t="s">
        <v>1835</v>
      </c>
      <c r="Q177" s="145" t="s">
        <v>1717</v>
      </c>
    </row>
    <row r="178" s="95" customFormat="1" customHeight="1" spans="1:17">
      <c r="A178" s="120">
        <v>173</v>
      </c>
      <c r="B178" s="126" t="s">
        <v>2039</v>
      </c>
      <c r="C178" s="123" t="s">
        <v>1294</v>
      </c>
      <c r="D178" s="123" t="s">
        <v>1994</v>
      </c>
      <c r="E178" s="157"/>
      <c r="F178" s="158"/>
      <c r="G178" s="158"/>
      <c r="H178" s="157"/>
      <c r="I178" s="83">
        <v>924</v>
      </c>
      <c r="J178" s="83"/>
      <c r="K178" s="83">
        <v>-924</v>
      </c>
      <c r="L178" s="83">
        <v>-924</v>
      </c>
      <c r="M178" s="83">
        <f t="shared" si="26"/>
        <v>0</v>
      </c>
      <c r="N178" s="164" t="s">
        <v>136</v>
      </c>
      <c r="O178" s="121" t="s">
        <v>1631</v>
      </c>
      <c r="P178" s="121" t="s">
        <v>1835</v>
      </c>
      <c r="Q178" s="145" t="s">
        <v>1717</v>
      </c>
    </row>
    <row r="179" s="95" customFormat="1" customHeight="1" spans="1:17">
      <c r="A179" s="120">
        <v>174</v>
      </c>
      <c r="B179" s="126" t="s">
        <v>2039</v>
      </c>
      <c r="C179" s="123" t="s">
        <v>1294</v>
      </c>
      <c r="D179" s="123" t="s">
        <v>1992</v>
      </c>
      <c r="E179" s="157"/>
      <c r="F179" s="158"/>
      <c r="G179" s="158"/>
      <c r="H179" s="157"/>
      <c r="I179" s="83">
        <v>1574</v>
      </c>
      <c r="J179" s="83"/>
      <c r="K179" s="83">
        <v>-1574</v>
      </c>
      <c r="L179" s="83">
        <v>-1574</v>
      </c>
      <c r="M179" s="83">
        <f t="shared" si="26"/>
        <v>0</v>
      </c>
      <c r="N179" s="164" t="s">
        <v>136</v>
      </c>
      <c r="O179" s="121" t="s">
        <v>1631</v>
      </c>
      <c r="P179" s="121" t="s">
        <v>1835</v>
      </c>
      <c r="Q179" s="145" t="s">
        <v>1717</v>
      </c>
    </row>
    <row r="180" s="95" customFormat="1" customHeight="1" spans="1:17">
      <c r="A180" s="120">
        <v>175</v>
      </c>
      <c r="B180" s="126" t="s">
        <v>2039</v>
      </c>
      <c r="C180" s="123" t="s">
        <v>1294</v>
      </c>
      <c r="D180" s="123" t="s">
        <v>1990</v>
      </c>
      <c r="E180" s="157"/>
      <c r="F180" s="158"/>
      <c r="G180" s="158"/>
      <c r="H180" s="157"/>
      <c r="I180" s="83">
        <v>1105</v>
      </c>
      <c r="J180" s="83"/>
      <c r="K180" s="83">
        <v>-1105</v>
      </c>
      <c r="L180" s="83">
        <v>-1105</v>
      </c>
      <c r="M180" s="83">
        <f t="shared" si="26"/>
        <v>0</v>
      </c>
      <c r="N180" s="164" t="s">
        <v>136</v>
      </c>
      <c r="O180" s="121" t="s">
        <v>1631</v>
      </c>
      <c r="P180" s="121" t="s">
        <v>1835</v>
      </c>
      <c r="Q180" s="145" t="s">
        <v>1717</v>
      </c>
    </row>
    <row r="181" s="95" customFormat="1" customHeight="1" spans="1:17">
      <c r="A181" s="120">
        <v>176</v>
      </c>
      <c r="B181" s="121" t="s">
        <v>2039</v>
      </c>
      <c r="C181" s="123" t="s">
        <v>2041</v>
      </c>
      <c r="D181" s="123" t="s">
        <v>2042</v>
      </c>
      <c r="E181" s="157"/>
      <c r="F181" s="158"/>
      <c r="G181" s="158"/>
      <c r="H181" s="157"/>
      <c r="I181" s="83">
        <v>1057</v>
      </c>
      <c r="J181" s="83"/>
      <c r="K181" s="83">
        <v>-1057</v>
      </c>
      <c r="L181" s="83">
        <v>-1057</v>
      </c>
      <c r="M181" s="83">
        <f t="shared" si="26"/>
        <v>0</v>
      </c>
      <c r="N181" s="164" t="s">
        <v>2043</v>
      </c>
      <c r="O181" s="121" t="s">
        <v>1631</v>
      </c>
      <c r="P181" s="121" t="s">
        <v>1835</v>
      </c>
      <c r="Q181" s="145" t="s">
        <v>2035</v>
      </c>
    </row>
    <row r="182" s="95" customFormat="1" customHeight="1" spans="1:17">
      <c r="A182" s="120">
        <v>177</v>
      </c>
      <c r="B182" s="126" t="s">
        <v>2039</v>
      </c>
      <c r="C182" s="123" t="s">
        <v>1294</v>
      </c>
      <c r="D182" s="123" t="s">
        <v>2044</v>
      </c>
      <c r="E182" s="157"/>
      <c r="F182" s="158"/>
      <c r="G182" s="158"/>
      <c r="H182" s="157"/>
      <c r="I182" s="83">
        <v>942</v>
      </c>
      <c r="J182" s="83"/>
      <c r="K182" s="83">
        <v>-942</v>
      </c>
      <c r="L182" s="83">
        <v>-942</v>
      </c>
      <c r="M182" s="83">
        <f t="shared" si="26"/>
        <v>0</v>
      </c>
      <c r="N182" s="164" t="s">
        <v>136</v>
      </c>
      <c r="O182" s="121" t="s">
        <v>1631</v>
      </c>
      <c r="P182" s="121" t="s">
        <v>1835</v>
      </c>
      <c r="Q182" s="145" t="s">
        <v>1717</v>
      </c>
    </row>
    <row r="183" s="95" customFormat="1" customHeight="1" spans="1:17">
      <c r="A183" s="120">
        <v>178</v>
      </c>
      <c r="B183" s="121" t="s">
        <v>2039</v>
      </c>
      <c r="C183" s="123" t="s">
        <v>1977</v>
      </c>
      <c r="D183" s="123" t="s">
        <v>1978</v>
      </c>
      <c r="E183" s="157"/>
      <c r="F183" s="158"/>
      <c r="G183" s="158"/>
      <c r="H183" s="157"/>
      <c r="I183" s="83">
        <v>159</v>
      </c>
      <c r="J183" s="83"/>
      <c r="K183" s="83"/>
      <c r="L183" s="83"/>
      <c r="M183" s="83">
        <f t="shared" si="26"/>
        <v>159</v>
      </c>
      <c r="N183" s="164"/>
      <c r="O183" s="121" t="s">
        <v>1631</v>
      </c>
      <c r="P183" s="121" t="s">
        <v>1835</v>
      </c>
      <c r="Q183" s="145" t="s">
        <v>1717</v>
      </c>
    </row>
    <row r="184" s="97" customFormat="1" customHeight="1" spans="1:17">
      <c r="A184" s="117">
        <v>179</v>
      </c>
      <c r="B184" s="118"/>
      <c r="C184" s="118" t="s">
        <v>2045</v>
      </c>
      <c r="D184" s="118"/>
      <c r="E184" s="119">
        <f t="shared" ref="E184:I184" si="27">13522+7156</f>
        <v>20678</v>
      </c>
      <c r="F184" s="156"/>
      <c r="G184" s="156"/>
      <c r="H184" s="119">
        <f t="shared" si="27"/>
        <v>20678</v>
      </c>
      <c r="I184" s="138">
        <v>20677.674597</v>
      </c>
      <c r="J184" s="138"/>
      <c r="K184" s="138">
        <v>-4862.4538</v>
      </c>
      <c r="L184" s="138">
        <v>-4862.4538</v>
      </c>
      <c r="M184" s="138">
        <f t="shared" ref="M184:M186" si="28">I184+L184</f>
        <v>15815.220797</v>
      </c>
      <c r="N184" s="163" t="s">
        <v>2046</v>
      </c>
      <c r="O184" s="144"/>
      <c r="P184" s="144"/>
      <c r="Q184" s="144"/>
    </row>
    <row r="185" s="97" customFormat="1" customHeight="1" spans="1:17">
      <c r="A185" s="117">
        <v>180</v>
      </c>
      <c r="B185" s="118"/>
      <c r="C185" s="118" t="s">
        <v>2047</v>
      </c>
      <c r="D185" s="118"/>
      <c r="E185" s="119">
        <v>295000</v>
      </c>
      <c r="F185" s="160"/>
      <c r="G185" s="160"/>
      <c r="H185" s="119">
        <v>295000</v>
      </c>
      <c r="I185" s="138">
        <v>295000</v>
      </c>
      <c r="J185" s="138"/>
      <c r="K185" s="138"/>
      <c r="L185" s="138"/>
      <c r="M185" s="138">
        <f t="shared" si="28"/>
        <v>295000</v>
      </c>
      <c r="N185" s="162"/>
      <c r="O185" s="144"/>
      <c r="P185" s="144"/>
      <c r="Q185" s="144"/>
    </row>
    <row r="186" s="98" customFormat="1" customHeight="1" spans="1:17">
      <c r="A186" s="117">
        <v>181</v>
      </c>
      <c r="B186" s="118"/>
      <c r="C186" s="118" t="s">
        <v>2048</v>
      </c>
      <c r="D186" s="118"/>
      <c r="E186" s="119">
        <v>78450</v>
      </c>
      <c r="F186" s="119">
        <v>17952</v>
      </c>
      <c r="G186" s="119">
        <v>17952</v>
      </c>
      <c r="H186" s="119">
        <f>78450+17952</f>
        <v>96402</v>
      </c>
      <c r="I186" s="138">
        <f>78450+17952</f>
        <v>96402</v>
      </c>
      <c r="J186" s="138"/>
      <c r="K186" s="138">
        <f>M186-I186</f>
        <v>-68140</v>
      </c>
      <c r="L186" s="138">
        <f>M186-I186</f>
        <v>-68140</v>
      </c>
      <c r="M186" s="138">
        <f>23400+4862</f>
        <v>28262</v>
      </c>
      <c r="N186" s="165" t="s">
        <v>2049</v>
      </c>
      <c r="O186" s="141"/>
      <c r="P186" s="141"/>
      <c r="Q186" s="141"/>
    </row>
    <row r="187" s="99" customFormat="1" customHeight="1" spans="1:17">
      <c r="A187" s="101"/>
      <c r="B187" s="101"/>
      <c r="C187" s="102"/>
      <c r="D187" s="102"/>
      <c r="E187" s="103"/>
      <c r="F187" s="104"/>
      <c r="G187" s="161"/>
      <c r="H187" s="161"/>
      <c r="I187" s="161"/>
      <c r="J187" s="161"/>
      <c r="K187" s="161"/>
      <c r="L187" s="161"/>
      <c r="M187" s="161"/>
      <c r="N187" s="166"/>
      <c r="O187" s="95"/>
      <c r="P187" s="95"/>
      <c r="Q187" s="95"/>
    </row>
    <row r="188" s="99" customFormat="1" customHeight="1" spans="1:17">
      <c r="A188" s="101"/>
      <c r="B188" s="101"/>
      <c r="C188" s="102"/>
      <c r="D188" s="102"/>
      <c r="E188" s="103"/>
      <c r="F188" s="104"/>
      <c r="G188" s="105"/>
      <c r="H188" s="105"/>
      <c r="I188" s="105"/>
      <c r="J188" s="105"/>
      <c r="K188" s="105"/>
      <c r="L188" s="105"/>
      <c r="M188" s="105"/>
      <c r="N188" s="106"/>
      <c r="O188" s="95"/>
      <c r="P188" s="95"/>
      <c r="Q188" s="95"/>
    </row>
    <row r="189" s="100" customFormat="1" customHeight="1" spans="1:17">
      <c r="A189" s="101"/>
      <c r="B189" s="101"/>
      <c r="C189" s="102"/>
      <c r="D189" s="102"/>
      <c r="E189" s="103"/>
      <c r="F189" s="104"/>
      <c r="G189" s="105"/>
      <c r="H189" s="105"/>
      <c r="I189" s="105"/>
      <c r="J189" s="105"/>
      <c r="K189" s="105"/>
      <c r="L189" s="105"/>
      <c r="M189" s="105"/>
      <c r="N189" s="106"/>
      <c r="O189" s="95"/>
      <c r="P189" s="95"/>
      <c r="Q189" s="95"/>
    </row>
  </sheetData>
  <autoFilter xmlns:etc="http://www.wps.cn/officeDocument/2017/etCustomData" ref="A5:Q186" etc:filterBottomFollowUsedRange="0">
    <extLst/>
  </autoFilter>
  <mergeCells count="31">
    <mergeCell ref="A2:N2"/>
    <mergeCell ref="F4:G4"/>
    <mergeCell ref="K4:L4"/>
    <mergeCell ref="C6:D6"/>
    <mergeCell ref="C7:D7"/>
    <mergeCell ref="C8:D8"/>
    <mergeCell ref="C10:D10"/>
    <mergeCell ref="C31:D31"/>
    <mergeCell ref="C62:D62"/>
    <mergeCell ref="C71:D71"/>
    <mergeCell ref="C121:D121"/>
    <mergeCell ref="C125:D125"/>
    <mergeCell ref="C145:D145"/>
    <mergeCell ref="C151:D151"/>
    <mergeCell ref="C184:D184"/>
    <mergeCell ref="C185:D185"/>
    <mergeCell ref="C186:D186"/>
    <mergeCell ref="A4:A5"/>
    <mergeCell ref="B4:B5"/>
    <mergeCell ref="C4:C5"/>
    <mergeCell ref="D4:D5"/>
    <mergeCell ref="E4:E5"/>
    <mergeCell ref="H4:H5"/>
    <mergeCell ref="I4:I5"/>
    <mergeCell ref="J4:J5"/>
    <mergeCell ref="M4:M5"/>
    <mergeCell ref="N4:N5"/>
    <mergeCell ref="N123:N124"/>
    <mergeCell ref="O4:O5"/>
    <mergeCell ref="P4:P5"/>
    <mergeCell ref="Q4:Q5"/>
  </mergeCells>
  <printOptions horizontalCentered="1"/>
  <pageMargins left="0.393055555555556" right="0.393055555555556" top="0.590277777777778" bottom="0.590277777777778" header="0.196527777777778" footer="0.196527777777778"/>
  <pageSetup paperSize="9" scale="59" fitToHeight="0" orientation="landscape" horizontalDpi="600"/>
  <headerFooter alignWithMargins="0" scaleWithDoc="0"/>
  <rowBreaks count="1" manualBreakCount="1">
    <brk id="187" max="7" man="1"/>
  </rowBreaks>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9"/>
  <sheetViews>
    <sheetView workbookViewId="0">
      <selection activeCell="A3" sqref="A3"/>
    </sheetView>
  </sheetViews>
  <sheetFormatPr defaultColWidth="9" defaultRowHeight="30" customHeight="1"/>
  <cols>
    <col min="1" max="1" width="35.625" style="2" customWidth="1"/>
    <col min="2" max="4" width="20.625" style="2" customWidth="1"/>
    <col min="5" max="5" width="30.625" style="2" customWidth="1"/>
    <col min="6" max="255" width="9" style="2"/>
    <col min="256" max="16384" width="9" style="88"/>
  </cols>
  <sheetData>
    <row r="1" s="25" customFormat="1" ht="20" customHeight="1" spans="1:256">
      <c r="A1" s="25" t="s">
        <v>2050</v>
      </c>
      <c r="IV1" s="94"/>
    </row>
    <row r="2" s="2" customFormat="1" customHeight="1" spans="1:256">
      <c r="A2" s="62" t="s">
        <v>2051</v>
      </c>
      <c r="B2" s="62"/>
      <c r="C2" s="62"/>
      <c r="D2" s="62"/>
      <c r="E2" s="62"/>
      <c r="IV2" s="88"/>
    </row>
    <row r="3" s="25" customFormat="1" ht="20" customHeight="1" spans="5:5">
      <c r="E3" s="57" t="s">
        <v>24</v>
      </c>
    </row>
    <row r="4" s="26" customFormat="1" customHeight="1" spans="1:5">
      <c r="A4" s="82" t="s">
        <v>25</v>
      </c>
      <c r="B4" s="38" t="s">
        <v>26</v>
      </c>
      <c r="C4" s="82" t="s">
        <v>27</v>
      </c>
      <c r="D4" s="38" t="s">
        <v>28</v>
      </c>
      <c r="E4" s="82" t="s">
        <v>30</v>
      </c>
    </row>
    <row r="5" s="2" customFormat="1" customHeight="1" spans="1:256">
      <c r="A5" s="89" t="s">
        <v>2052</v>
      </c>
      <c r="B5" s="83">
        <v>75</v>
      </c>
      <c r="C5" s="83"/>
      <c r="D5" s="83">
        <f>B5+C5</f>
        <v>75</v>
      </c>
      <c r="E5" s="90"/>
      <c r="IV5" s="88"/>
    </row>
    <row r="6" s="2" customFormat="1" hidden="1" customHeight="1" spans="1:256">
      <c r="A6" s="89" t="s">
        <v>2053</v>
      </c>
      <c r="B6" s="83"/>
      <c r="C6" s="83"/>
      <c r="D6" s="83">
        <f t="shared" ref="D6:D19" si="0">B6+C6</f>
        <v>0</v>
      </c>
      <c r="E6" s="90"/>
      <c r="IV6" s="88"/>
    </row>
    <row r="7" s="2" customFormat="1" hidden="1" customHeight="1" spans="1:256">
      <c r="A7" s="89" t="s">
        <v>2054</v>
      </c>
      <c r="B7" s="83"/>
      <c r="C7" s="83"/>
      <c r="D7" s="83">
        <f t="shared" si="0"/>
        <v>0</v>
      </c>
      <c r="E7" s="90"/>
      <c r="IV7" s="88"/>
    </row>
    <row r="8" s="2" customFormat="1" hidden="1" customHeight="1" spans="1:256">
      <c r="A8" s="89" t="s">
        <v>2055</v>
      </c>
      <c r="B8" s="83"/>
      <c r="C8" s="83"/>
      <c r="D8" s="83">
        <f t="shared" si="0"/>
        <v>0</v>
      </c>
      <c r="E8" s="90"/>
      <c r="IV8" s="88"/>
    </row>
    <row r="9" s="2" customFormat="1" hidden="1" customHeight="1" spans="1:256">
      <c r="A9" s="91" t="s">
        <v>2056</v>
      </c>
      <c r="B9" s="83"/>
      <c r="C9" s="83"/>
      <c r="D9" s="83">
        <f t="shared" si="0"/>
        <v>0</v>
      </c>
      <c r="E9" s="90"/>
      <c r="IV9" s="88"/>
    </row>
    <row r="10" s="2" customFormat="1" customHeight="1" spans="1:256">
      <c r="A10" s="89" t="s">
        <v>2057</v>
      </c>
      <c r="B10" s="83">
        <v>75</v>
      </c>
      <c r="C10" s="83"/>
      <c r="D10" s="83">
        <f t="shared" si="0"/>
        <v>75</v>
      </c>
      <c r="E10" s="90"/>
      <c r="IV10" s="88"/>
    </row>
    <row r="11" s="2" customFormat="1" customHeight="1" spans="1:256">
      <c r="A11" s="89" t="s">
        <v>2058</v>
      </c>
      <c r="B11" s="83"/>
      <c r="C11" s="83">
        <v>518</v>
      </c>
      <c r="D11" s="83">
        <f t="shared" si="0"/>
        <v>518</v>
      </c>
      <c r="E11" s="90"/>
      <c r="IV11" s="88"/>
    </row>
    <row r="12" s="2" customFormat="1" hidden="1" customHeight="1" spans="1:256">
      <c r="A12" s="89" t="s">
        <v>2059</v>
      </c>
      <c r="B12" s="83"/>
      <c r="C12" s="83"/>
      <c r="D12" s="83">
        <f t="shared" si="0"/>
        <v>0</v>
      </c>
      <c r="E12" s="90"/>
      <c r="IV12" s="88"/>
    </row>
    <row r="13" s="2" customFormat="1" hidden="1" customHeight="1" spans="1:256">
      <c r="A13" s="89" t="s">
        <v>2060</v>
      </c>
      <c r="B13" s="83"/>
      <c r="C13" s="83"/>
      <c r="D13" s="83">
        <f t="shared" si="0"/>
        <v>0</v>
      </c>
      <c r="E13" s="90"/>
      <c r="IV13" s="88"/>
    </row>
    <row r="14" s="2" customFormat="1" hidden="1" customHeight="1" spans="1:256">
      <c r="A14" s="89" t="s">
        <v>2061</v>
      </c>
      <c r="B14" s="83"/>
      <c r="C14" s="83"/>
      <c r="D14" s="83">
        <f t="shared" si="0"/>
        <v>0</v>
      </c>
      <c r="E14" s="90"/>
      <c r="IV14" s="88"/>
    </row>
    <row r="15" s="2" customFormat="1" customHeight="1" spans="1:256">
      <c r="A15" s="92" t="s">
        <v>2062</v>
      </c>
      <c r="B15" s="84">
        <f>B5+B12+B11+B13+B14</f>
        <v>75</v>
      </c>
      <c r="C15" s="84">
        <f>C5+C12+C11+C13+C14</f>
        <v>518</v>
      </c>
      <c r="D15" s="84">
        <f t="shared" si="0"/>
        <v>593</v>
      </c>
      <c r="E15" s="93"/>
      <c r="IV15" s="88"/>
    </row>
    <row r="16" s="2" customFormat="1" customHeight="1" spans="1:256">
      <c r="A16" s="89" t="s">
        <v>2063</v>
      </c>
      <c r="B16" s="83">
        <v>7</v>
      </c>
      <c r="C16" s="83"/>
      <c r="D16" s="83">
        <f t="shared" si="0"/>
        <v>7</v>
      </c>
      <c r="E16" s="90"/>
      <c r="IV16" s="88"/>
    </row>
    <row r="17" s="2" customFormat="1" customHeight="1" spans="1:256">
      <c r="A17" s="89" t="s">
        <v>2064</v>
      </c>
      <c r="B17" s="83">
        <v>1026</v>
      </c>
      <c r="C17" s="83"/>
      <c r="D17" s="83">
        <f t="shared" si="0"/>
        <v>1026</v>
      </c>
      <c r="E17" s="90"/>
      <c r="IV17" s="88"/>
    </row>
    <row r="18" s="2" customFormat="1" customHeight="1" spans="1:256">
      <c r="A18" s="89" t="s">
        <v>2065</v>
      </c>
      <c r="B18" s="83">
        <v>1016</v>
      </c>
      <c r="C18" s="83"/>
      <c r="D18" s="83">
        <f t="shared" si="0"/>
        <v>1016</v>
      </c>
      <c r="E18" s="90"/>
      <c r="IV18" s="88"/>
    </row>
    <row r="19" s="2" customFormat="1" customHeight="1" spans="1:256">
      <c r="A19" s="92" t="s">
        <v>2066</v>
      </c>
      <c r="B19" s="84">
        <f>B15+B16+B17</f>
        <v>1108</v>
      </c>
      <c r="C19" s="84">
        <f>C15+C16+C17</f>
        <v>518</v>
      </c>
      <c r="D19" s="84">
        <f t="shared" si="0"/>
        <v>1626</v>
      </c>
      <c r="E19" s="93"/>
      <c r="IV19" s="88"/>
    </row>
  </sheetData>
  <mergeCells count="1">
    <mergeCell ref="A2:E2"/>
  </mergeCells>
  <printOptions horizontalCentered="1"/>
  <pageMargins left="0.393055555555556" right="0.393055555555556" top="0.590277777777778" bottom="0.590277777777778" header="0.196527777777778" footer="0.196527777777778"/>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Y19"/>
  <sheetViews>
    <sheetView showZeros="0" workbookViewId="0">
      <pane ySplit="5" topLeftCell="A24" activePane="bottomLeft" state="frozen"/>
      <selection/>
      <selection pane="bottomLeft" activeCell="A3" sqref="A3"/>
    </sheetView>
  </sheetViews>
  <sheetFormatPr defaultColWidth="9" defaultRowHeight="30" customHeight="1"/>
  <cols>
    <col min="1" max="1" width="10.625" style="76" customWidth="1"/>
    <col min="2" max="2" width="35.625" style="77" customWidth="1"/>
    <col min="3" max="11" width="10.625" style="77" customWidth="1"/>
    <col min="12" max="12" width="15.625" style="77" customWidth="1"/>
    <col min="13" max="13" width="10.5" style="77" customWidth="1"/>
    <col min="14" max="16383" width="9" style="77"/>
    <col min="16384" max="16384" width="9" style="78"/>
  </cols>
  <sheetData>
    <row r="1" ht="20" customHeight="1" spans="1:1">
      <c r="A1" s="79" t="s">
        <v>2067</v>
      </c>
    </row>
    <row r="2" customHeight="1" spans="1:12">
      <c r="A2" s="80" t="s">
        <v>2068</v>
      </c>
      <c r="B2" s="80"/>
      <c r="C2" s="80"/>
      <c r="D2" s="80"/>
      <c r="E2" s="80"/>
      <c r="F2" s="80"/>
      <c r="G2" s="80"/>
      <c r="H2" s="80"/>
      <c r="I2" s="80"/>
      <c r="J2" s="80"/>
      <c r="K2" s="80"/>
      <c r="L2" s="80"/>
    </row>
    <row r="3" s="72" customFormat="1" ht="20" customHeight="1" spans="1:12">
      <c r="A3" s="81"/>
      <c r="L3" s="85" t="s">
        <v>24</v>
      </c>
    </row>
    <row r="4" s="73" customFormat="1" customHeight="1" spans="1:12">
      <c r="A4" s="38" t="s">
        <v>1644</v>
      </c>
      <c r="B4" s="38" t="s">
        <v>84</v>
      </c>
      <c r="C4" s="38" t="s">
        <v>26</v>
      </c>
      <c r="D4" s="38"/>
      <c r="E4" s="38"/>
      <c r="F4" s="38" t="s">
        <v>27</v>
      </c>
      <c r="G4" s="38"/>
      <c r="H4" s="82" t="s">
        <v>28</v>
      </c>
      <c r="I4" s="82"/>
      <c r="J4" s="82"/>
      <c r="K4" s="82" t="s">
        <v>29</v>
      </c>
      <c r="L4" s="82" t="s">
        <v>30</v>
      </c>
    </row>
    <row r="5" s="73" customFormat="1" customHeight="1" spans="1:12">
      <c r="A5" s="38"/>
      <c r="B5" s="38"/>
      <c r="C5" s="38" t="s">
        <v>85</v>
      </c>
      <c r="D5" s="38" t="s">
        <v>86</v>
      </c>
      <c r="E5" s="38" t="s">
        <v>87</v>
      </c>
      <c r="F5" s="38" t="s">
        <v>1646</v>
      </c>
      <c r="G5" s="38" t="s">
        <v>86</v>
      </c>
      <c r="H5" s="82" t="s">
        <v>85</v>
      </c>
      <c r="I5" s="82" t="s">
        <v>86</v>
      </c>
      <c r="J5" s="82" t="s">
        <v>87</v>
      </c>
      <c r="K5" s="82"/>
      <c r="L5" s="82"/>
    </row>
    <row r="6" s="74" customFormat="1" customHeight="1" spans="1:12">
      <c r="A6" s="53">
        <v>223</v>
      </c>
      <c r="B6" s="43" t="s">
        <v>2069</v>
      </c>
      <c r="C6" s="83">
        <f>C7+C12</f>
        <v>1078</v>
      </c>
      <c r="D6" s="83">
        <f t="shared" ref="C6:G6" si="0">D7+D12</f>
        <v>7</v>
      </c>
      <c r="E6" s="83">
        <f>C6+D6</f>
        <v>1085</v>
      </c>
      <c r="F6" s="83">
        <f t="shared" si="0"/>
        <v>-1074</v>
      </c>
      <c r="G6" s="83">
        <f t="shared" si="0"/>
        <v>-5</v>
      </c>
      <c r="H6" s="83">
        <f>C6+F6</f>
        <v>4</v>
      </c>
      <c r="I6" s="83">
        <f>D6+G6</f>
        <v>2</v>
      </c>
      <c r="J6" s="83">
        <f>H6+I6</f>
        <v>6</v>
      </c>
      <c r="K6" s="83">
        <f>+(J6-E6)/E6*100</f>
        <v>-99.4470046082949</v>
      </c>
      <c r="L6" s="43"/>
    </row>
    <row r="7" s="74" customFormat="1" customHeight="1" spans="1:12">
      <c r="A7" s="53">
        <v>22301</v>
      </c>
      <c r="B7" s="43" t="s">
        <v>2070</v>
      </c>
      <c r="C7" s="83">
        <f>C8+C9</f>
        <v>62</v>
      </c>
      <c r="D7" s="83">
        <f>D8+D9</f>
        <v>7</v>
      </c>
      <c r="E7" s="83">
        <f t="shared" ref="E7:E18" si="1">C7+D7</f>
        <v>69</v>
      </c>
      <c r="F7" s="83">
        <f>F8+F9</f>
        <v>-58</v>
      </c>
      <c r="G7" s="83">
        <f>G8+G9</f>
        <v>-5</v>
      </c>
      <c r="H7" s="83">
        <f t="shared" ref="H7:H18" si="2">C7+F7</f>
        <v>4</v>
      </c>
      <c r="I7" s="83">
        <f t="shared" ref="I7:I18" si="3">D7+G7</f>
        <v>2</v>
      </c>
      <c r="J7" s="83">
        <f t="shared" ref="J7:J18" si="4">H7+I7</f>
        <v>6</v>
      </c>
      <c r="K7" s="83">
        <f t="shared" ref="K7:K19" si="5">+(J7-E7)/E7*100</f>
        <v>-91.304347826087</v>
      </c>
      <c r="L7" s="43"/>
    </row>
    <row r="8" s="74" customFormat="1" customHeight="1" spans="1:12">
      <c r="A8" s="53">
        <v>2230105</v>
      </c>
      <c r="B8" s="43" t="s">
        <v>2071</v>
      </c>
      <c r="C8" s="83">
        <v>10</v>
      </c>
      <c r="D8" s="83">
        <v>7</v>
      </c>
      <c r="E8" s="83">
        <f t="shared" si="1"/>
        <v>17</v>
      </c>
      <c r="F8" s="83">
        <v>-6</v>
      </c>
      <c r="G8" s="83">
        <v>-5</v>
      </c>
      <c r="H8" s="83">
        <f t="shared" si="2"/>
        <v>4</v>
      </c>
      <c r="I8" s="83">
        <f t="shared" si="3"/>
        <v>2</v>
      </c>
      <c r="J8" s="83">
        <f t="shared" si="4"/>
        <v>6</v>
      </c>
      <c r="K8" s="83">
        <f t="shared" si="5"/>
        <v>-64.7058823529412</v>
      </c>
      <c r="L8" s="43"/>
    </row>
    <row r="9" s="74" customFormat="1" customHeight="1" spans="1:12">
      <c r="A9" s="53">
        <v>2230199</v>
      </c>
      <c r="B9" s="43" t="s">
        <v>2072</v>
      </c>
      <c r="C9" s="83">
        <v>52</v>
      </c>
      <c r="D9" s="83"/>
      <c r="E9" s="83">
        <f t="shared" si="1"/>
        <v>52</v>
      </c>
      <c r="F9" s="83">
        <v>-52</v>
      </c>
      <c r="G9" s="83"/>
      <c r="H9" s="83">
        <f t="shared" si="2"/>
        <v>0</v>
      </c>
      <c r="I9" s="83">
        <f t="shared" si="3"/>
        <v>0</v>
      </c>
      <c r="J9" s="83">
        <f t="shared" si="4"/>
        <v>0</v>
      </c>
      <c r="K9" s="83">
        <f t="shared" si="5"/>
        <v>-100</v>
      </c>
      <c r="L9" s="43"/>
    </row>
    <row r="10" s="74" customFormat="1" hidden="1" customHeight="1" spans="1:12">
      <c r="A10" s="53">
        <v>22302</v>
      </c>
      <c r="B10" s="43" t="s">
        <v>2073</v>
      </c>
      <c r="C10" s="83"/>
      <c r="D10" s="83"/>
      <c r="E10" s="83">
        <f t="shared" si="1"/>
        <v>0</v>
      </c>
      <c r="F10" s="83"/>
      <c r="G10" s="83"/>
      <c r="H10" s="83">
        <f t="shared" si="2"/>
        <v>0</v>
      </c>
      <c r="I10" s="83">
        <f t="shared" si="3"/>
        <v>0</v>
      </c>
      <c r="J10" s="83">
        <f t="shared" si="4"/>
        <v>0</v>
      </c>
      <c r="K10" s="83" t="e">
        <f t="shared" si="5"/>
        <v>#DIV/0!</v>
      </c>
      <c r="L10" s="43"/>
    </row>
    <row r="11" s="74" customFormat="1" hidden="1" customHeight="1" spans="1:12">
      <c r="A11" s="53">
        <v>2230299</v>
      </c>
      <c r="B11" s="43" t="s">
        <v>2074</v>
      </c>
      <c r="C11" s="83"/>
      <c r="D11" s="83"/>
      <c r="E11" s="83">
        <f t="shared" si="1"/>
        <v>0</v>
      </c>
      <c r="F11" s="83"/>
      <c r="G11" s="83"/>
      <c r="H11" s="83">
        <f t="shared" si="2"/>
        <v>0</v>
      </c>
      <c r="I11" s="83">
        <f t="shared" si="3"/>
        <v>0</v>
      </c>
      <c r="J11" s="83">
        <f t="shared" si="4"/>
        <v>0</v>
      </c>
      <c r="K11" s="83" t="e">
        <f t="shared" si="5"/>
        <v>#DIV/0!</v>
      </c>
      <c r="L11" s="43"/>
    </row>
    <row r="12" customHeight="1" spans="1:12">
      <c r="A12" s="53">
        <v>22399</v>
      </c>
      <c r="B12" s="43" t="s">
        <v>2075</v>
      </c>
      <c r="C12" s="83">
        <f>C13</f>
        <v>1016</v>
      </c>
      <c r="D12" s="83">
        <f>D13</f>
        <v>0</v>
      </c>
      <c r="E12" s="83">
        <f t="shared" si="1"/>
        <v>1016</v>
      </c>
      <c r="F12" s="83">
        <f>F13</f>
        <v>-1016</v>
      </c>
      <c r="G12" s="83">
        <f>G13</f>
        <v>0</v>
      </c>
      <c r="H12" s="83">
        <f t="shared" si="2"/>
        <v>0</v>
      </c>
      <c r="I12" s="83">
        <f t="shared" si="3"/>
        <v>0</v>
      </c>
      <c r="J12" s="83">
        <f t="shared" si="4"/>
        <v>0</v>
      </c>
      <c r="K12" s="83">
        <f t="shared" si="5"/>
        <v>-100</v>
      </c>
      <c r="L12" s="43"/>
    </row>
    <row r="13" customHeight="1" spans="1:12">
      <c r="A13" s="53">
        <v>2239999</v>
      </c>
      <c r="B13" s="43" t="s">
        <v>2075</v>
      </c>
      <c r="C13" s="83">
        <v>1016</v>
      </c>
      <c r="D13" s="83"/>
      <c r="E13" s="83">
        <f t="shared" si="1"/>
        <v>1016</v>
      </c>
      <c r="F13" s="83">
        <v>-1016</v>
      </c>
      <c r="G13" s="83"/>
      <c r="H13" s="83">
        <f t="shared" si="2"/>
        <v>0</v>
      </c>
      <c r="I13" s="83">
        <f t="shared" si="3"/>
        <v>0</v>
      </c>
      <c r="J13" s="83">
        <f t="shared" si="4"/>
        <v>0</v>
      </c>
      <c r="K13" s="83">
        <f t="shared" si="5"/>
        <v>-100</v>
      </c>
      <c r="L13" s="43"/>
    </row>
    <row r="14" customHeight="1" spans="1:12">
      <c r="A14" s="53">
        <v>230</v>
      </c>
      <c r="B14" s="43" t="s">
        <v>575</v>
      </c>
      <c r="C14" s="83">
        <f>C15+C17</f>
        <v>23</v>
      </c>
      <c r="D14" s="83">
        <f t="shared" ref="C14:G14" si="6">D15+D17</f>
        <v>0</v>
      </c>
      <c r="E14" s="83">
        <f t="shared" si="1"/>
        <v>23</v>
      </c>
      <c r="F14" s="83">
        <f>F15+F17</f>
        <v>1592</v>
      </c>
      <c r="G14" s="83">
        <f t="shared" si="6"/>
        <v>5</v>
      </c>
      <c r="H14" s="83">
        <f t="shared" si="2"/>
        <v>1615</v>
      </c>
      <c r="I14" s="83">
        <f t="shared" si="3"/>
        <v>5</v>
      </c>
      <c r="J14" s="83">
        <f t="shared" si="4"/>
        <v>1620</v>
      </c>
      <c r="K14" s="83">
        <f t="shared" si="5"/>
        <v>6943.47826086957</v>
      </c>
      <c r="L14" s="43"/>
    </row>
    <row r="15" customHeight="1" spans="1:12">
      <c r="A15" s="53">
        <v>23008</v>
      </c>
      <c r="B15" s="43" t="s">
        <v>2076</v>
      </c>
      <c r="C15" s="83">
        <f>C16</f>
        <v>23</v>
      </c>
      <c r="D15" s="83">
        <f>D16</f>
        <v>0</v>
      </c>
      <c r="E15" s="83">
        <f t="shared" si="1"/>
        <v>23</v>
      </c>
      <c r="F15" s="83">
        <f>F16</f>
        <v>877</v>
      </c>
      <c r="G15" s="83">
        <f>G16</f>
        <v>0</v>
      </c>
      <c r="H15" s="83">
        <f t="shared" si="2"/>
        <v>900</v>
      </c>
      <c r="I15" s="83">
        <f t="shared" si="3"/>
        <v>0</v>
      </c>
      <c r="J15" s="83">
        <f t="shared" si="4"/>
        <v>900</v>
      </c>
      <c r="K15" s="83">
        <f t="shared" si="5"/>
        <v>3813.04347826087</v>
      </c>
      <c r="L15" s="43"/>
    </row>
    <row r="16" customHeight="1" spans="1:259">
      <c r="A16" s="53">
        <v>2300803</v>
      </c>
      <c r="B16" s="43" t="s">
        <v>2077</v>
      </c>
      <c r="C16" s="83">
        <v>23</v>
      </c>
      <c r="D16" s="83"/>
      <c r="E16" s="83">
        <f t="shared" si="1"/>
        <v>23</v>
      </c>
      <c r="F16" s="83">
        <v>877</v>
      </c>
      <c r="G16" s="83"/>
      <c r="H16" s="83">
        <f t="shared" si="2"/>
        <v>900</v>
      </c>
      <c r="I16" s="83">
        <f t="shared" si="3"/>
        <v>0</v>
      </c>
      <c r="J16" s="83">
        <f t="shared" si="4"/>
        <v>900</v>
      </c>
      <c r="K16" s="83">
        <f t="shared" si="5"/>
        <v>3813.04347826087</v>
      </c>
      <c r="L16" s="43"/>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row>
    <row r="17" customHeight="1" spans="1:259">
      <c r="A17" s="53">
        <v>23009</v>
      </c>
      <c r="B17" s="43" t="s">
        <v>2078</v>
      </c>
      <c r="C17" s="83">
        <f>C18</f>
        <v>0</v>
      </c>
      <c r="D17" s="83">
        <f>D18</f>
        <v>0</v>
      </c>
      <c r="E17" s="83">
        <f t="shared" si="1"/>
        <v>0</v>
      </c>
      <c r="F17" s="83">
        <f>F18</f>
        <v>715</v>
      </c>
      <c r="G17" s="83">
        <f>G18</f>
        <v>5</v>
      </c>
      <c r="H17" s="83">
        <f t="shared" si="2"/>
        <v>715</v>
      </c>
      <c r="I17" s="83">
        <f t="shared" si="3"/>
        <v>5</v>
      </c>
      <c r="J17" s="83">
        <f t="shared" si="4"/>
        <v>720</v>
      </c>
      <c r="K17" s="83"/>
      <c r="L17" s="43"/>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c r="IV17" s="86"/>
      <c r="IW17" s="86"/>
      <c r="IX17" s="86"/>
      <c r="IY17" s="86"/>
    </row>
    <row r="18" customHeight="1" spans="1:259">
      <c r="A18" s="53">
        <v>2300918</v>
      </c>
      <c r="B18" s="53" t="s">
        <v>2079</v>
      </c>
      <c r="C18" s="83"/>
      <c r="D18" s="83"/>
      <c r="E18" s="83">
        <f t="shared" si="1"/>
        <v>0</v>
      </c>
      <c r="F18" s="83">
        <v>715</v>
      </c>
      <c r="G18" s="83">
        <v>5</v>
      </c>
      <c r="H18" s="83">
        <f t="shared" si="2"/>
        <v>715</v>
      </c>
      <c r="I18" s="83">
        <f t="shared" si="3"/>
        <v>5</v>
      </c>
      <c r="J18" s="83">
        <f t="shared" si="4"/>
        <v>720</v>
      </c>
      <c r="K18" s="83"/>
      <c r="L18" s="43"/>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c r="IT18" s="86"/>
      <c r="IU18" s="86"/>
      <c r="IV18" s="86"/>
      <c r="IW18" s="86"/>
      <c r="IX18" s="86"/>
      <c r="IY18" s="86"/>
    </row>
    <row r="19" s="75" customFormat="1" customHeight="1" spans="1:259">
      <c r="A19" s="55" t="s">
        <v>2080</v>
      </c>
      <c r="B19" s="55"/>
      <c r="C19" s="84">
        <f>C6+C14</f>
        <v>1101</v>
      </c>
      <c r="D19" s="84">
        <f t="shared" ref="D19:J19" si="7">D6+D14</f>
        <v>7</v>
      </c>
      <c r="E19" s="84">
        <f t="shared" si="7"/>
        <v>1108</v>
      </c>
      <c r="F19" s="84">
        <f t="shared" si="7"/>
        <v>518</v>
      </c>
      <c r="G19" s="84">
        <f t="shared" si="7"/>
        <v>0</v>
      </c>
      <c r="H19" s="84">
        <f t="shared" si="7"/>
        <v>1619</v>
      </c>
      <c r="I19" s="84">
        <f t="shared" si="7"/>
        <v>7</v>
      </c>
      <c r="J19" s="84">
        <f t="shared" si="7"/>
        <v>1626</v>
      </c>
      <c r="K19" s="84">
        <f t="shared" si="5"/>
        <v>46.7509025270758</v>
      </c>
      <c r="L19" s="40"/>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c r="IU19" s="87"/>
      <c r="IV19" s="87"/>
      <c r="IW19" s="87"/>
      <c r="IX19" s="87"/>
      <c r="IY19" s="87"/>
    </row>
  </sheetData>
  <mergeCells count="9">
    <mergeCell ref="A2:L2"/>
    <mergeCell ref="C4:E4"/>
    <mergeCell ref="F4:G4"/>
    <mergeCell ref="H4:J4"/>
    <mergeCell ref="A19:B19"/>
    <mergeCell ref="A4:A5"/>
    <mergeCell ref="B4:B5"/>
    <mergeCell ref="K4:K5"/>
    <mergeCell ref="L4:L5"/>
  </mergeCells>
  <printOptions horizontalCentered="1"/>
  <pageMargins left="0.393055555555556" right="0.393055555555556" top="0.590277777777778" bottom="0.590277777777778" header="0.196527777777778" footer="0.196527777777778"/>
  <pageSetup paperSize="9" scale="83"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topLeftCell="A16" workbookViewId="0">
      <selection activeCell="A3" sqref="A3"/>
    </sheetView>
  </sheetViews>
  <sheetFormatPr defaultColWidth="9" defaultRowHeight="30" customHeight="1"/>
  <cols>
    <col min="1" max="1" width="50.625" style="2" customWidth="1"/>
    <col min="2" max="2" width="17.5" style="2" hidden="1" customWidth="1"/>
    <col min="3" max="3" width="13.5" style="2" hidden="1" customWidth="1"/>
    <col min="4" max="6" width="30.625" style="2" customWidth="1"/>
    <col min="7" max="8" width="18.225" style="2" hidden="1" customWidth="1"/>
    <col min="9" max="9" width="30.625" style="4" customWidth="1"/>
    <col min="10" max="16384" width="9" style="2"/>
  </cols>
  <sheetData>
    <row r="1" s="2" customFormat="1" ht="20" customHeight="1" spans="1:9">
      <c r="A1" s="25" t="s">
        <v>2081</v>
      </c>
      <c r="B1" s="25"/>
      <c r="C1" s="25"/>
      <c r="I1" s="4"/>
    </row>
    <row r="2" s="2" customFormat="1" customHeight="1" spans="1:9">
      <c r="A2" s="62" t="s">
        <v>2082</v>
      </c>
      <c r="B2" s="62"/>
      <c r="C2" s="62"/>
      <c r="D2" s="62"/>
      <c r="E2" s="62"/>
      <c r="F2" s="62"/>
      <c r="G2" s="62"/>
      <c r="H2" s="62"/>
      <c r="I2" s="62"/>
    </row>
    <row r="3" s="25" customFormat="1" ht="20" customHeight="1" spans="9:9">
      <c r="I3" s="57" t="s">
        <v>24</v>
      </c>
    </row>
    <row r="4" s="26" customFormat="1" customHeight="1" spans="1:9">
      <c r="A4" s="38" t="s">
        <v>25</v>
      </c>
      <c r="B4" s="39" t="s">
        <v>1516</v>
      </c>
      <c r="C4" s="38" t="s">
        <v>27</v>
      </c>
      <c r="D4" s="38" t="s">
        <v>26</v>
      </c>
      <c r="E4" s="38" t="s">
        <v>27</v>
      </c>
      <c r="F4" s="39" t="s">
        <v>28</v>
      </c>
      <c r="G4" s="39" t="s">
        <v>2083</v>
      </c>
      <c r="H4" s="39" t="s">
        <v>2084</v>
      </c>
      <c r="I4" s="38" t="s">
        <v>30</v>
      </c>
    </row>
    <row r="5" s="28" customFormat="1" customHeight="1" spans="1:9">
      <c r="A5" s="63" t="s">
        <v>2085</v>
      </c>
      <c r="B5" s="52">
        <f t="shared" ref="B5:H5" si="0">SUM(B6,B14)</f>
        <v>34455</v>
      </c>
      <c r="C5" s="52">
        <f t="shared" si="0"/>
        <v>32207</v>
      </c>
      <c r="D5" s="42">
        <f t="shared" si="0"/>
        <v>66662</v>
      </c>
      <c r="E5" s="42">
        <f t="shared" ref="E5:E27" si="1">F5-D5</f>
        <v>-11628</v>
      </c>
      <c r="F5" s="42">
        <f>F20</f>
        <v>55034</v>
      </c>
      <c r="G5" s="40">
        <f t="shared" si="0"/>
        <v>43860</v>
      </c>
      <c r="H5" s="40">
        <f t="shared" si="0"/>
        <v>52500</v>
      </c>
      <c r="I5" s="69"/>
    </row>
    <row r="6" s="2" customFormat="1" customHeight="1" spans="1:9">
      <c r="A6" s="53" t="s">
        <v>2086</v>
      </c>
      <c r="B6" s="64">
        <f t="shared" ref="B6:H6" si="2">SUM(B7:B13)</f>
        <v>11529</v>
      </c>
      <c r="C6" s="64">
        <f t="shared" ref="C6:C15" si="3">D6-B6</f>
        <v>31927</v>
      </c>
      <c r="D6" s="46">
        <f t="shared" si="2"/>
        <v>43456</v>
      </c>
      <c r="E6" s="46">
        <f t="shared" si="1"/>
        <v>-3484</v>
      </c>
      <c r="F6" s="46">
        <f t="shared" si="2"/>
        <v>39972</v>
      </c>
      <c r="G6" s="43">
        <f t="shared" si="2"/>
        <v>34815</v>
      </c>
      <c r="H6" s="43">
        <f t="shared" si="2"/>
        <v>38435</v>
      </c>
      <c r="I6" s="70"/>
    </row>
    <row r="7" s="2" customFormat="1" customHeight="1" spans="1:9">
      <c r="A7" s="53" t="s">
        <v>2087</v>
      </c>
      <c r="B7" s="60">
        <v>1462</v>
      </c>
      <c r="C7" s="64">
        <f t="shared" si="3"/>
        <v>0</v>
      </c>
      <c r="D7" s="46">
        <v>1462</v>
      </c>
      <c r="E7" s="46">
        <f t="shared" si="1"/>
        <v>-202</v>
      </c>
      <c r="F7" s="46">
        <v>1260</v>
      </c>
      <c r="G7" s="43">
        <v>715</v>
      </c>
      <c r="H7" s="43">
        <v>1027</v>
      </c>
      <c r="I7" s="70"/>
    </row>
    <row r="8" s="2" customFormat="1" customHeight="1" spans="1:9">
      <c r="A8" s="53" t="s">
        <v>2088</v>
      </c>
      <c r="B8" s="60">
        <v>9425</v>
      </c>
      <c r="C8" s="64">
        <f t="shared" si="3"/>
        <v>0</v>
      </c>
      <c r="D8" s="46">
        <v>9425</v>
      </c>
      <c r="E8" s="46">
        <f t="shared" si="1"/>
        <v>-1045</v>
      </c>
      <c r="F8" s="46">
        <v>8380</v>
      </c>
      <c r="G8" s="43">
        <v>6797</v>
      </c>
      <c r="H8" s="43">
        <v>8380</v>
      </c>
      <c r="I8" s="70"/>
    </row>
    <row r="9" s="2" customFormat="1" customHeight="1" spans="1:9">
      <c r="A9" s="53" t="s">
        <v>2089</v>
      </c>
      <c r="B9" s="60">
        <v>217</v>
      </c>
      <c r="C9" s="64">
        <f t="shared" si="3"/>
        <v>18</v>
      </c>
      <c r="D9" s="46">
        <v>235</v>
      </c>
      <c r="E9" s="46">
        <f t="shared" si="1"/>
        <v>-8</v>
      </c>
      <c r="F9" s="46">
        <v>227</v>
      </c>
      <c r="G9" s="43">
        <v>120</v>
      </c>
      <c r="H9" s="43">
        <v>227</v>
      </c>
      <c r="I9" s="70"/>
    </row>
    <row r="10" s="2" customFormat="1" customHeight="1" spans="1:9">
      <c r="A10" s="53" t="s">
        <v>2090</v>
      </c>
      <c r="B10" s="60">
        <v>140</v>
      </c>
      <c r="C10" s="64">
        <f t="shared" si="3"/>
        <v>0</v>
      </c>
      <c r="D10" s="46">
        <v>140</v>
      </c>
      <c r="E10" s="46">
        <f t="shared" si="1"/>
        <v>-80</v>
      </c>
      <c r="F10" s="46">
        <v>60</v>
      </c>
      <c r="G10" s="43">
        <v>0</v>
      </c>
      <c r="H10" s="43">
        <v>0</v>
      </c>
      <c r="I10" s="70"/>
    </row>
    <row r="11" s="2" customFormat="1" customHeight="1" spans="1:9">
      <c r="A11" s="53" t="s">
        <v>2091</v>
      </c>
      <c r="B11" s="60">
        <v>274</v>
      </c>
      <c r="C11" s="64">
        <f t="shared" si="3"/>
        <v>31894</v>
      </c>
      <c r="D11" s="46">
        <v>32168</v>
      </c>
      <c r="E11" s="46">
        <f t="shared" si="1"/>
        <v>-2145</v>
      </c>
      <c r="F11" s="46">
        <v>30023</v>
      </c>
      <c r="G11" s="43">
        <v>27169</v>
      </c>
      <c r="H11" s="43">
        <v>28781</v>
      </c>
      <c r="I11" s="70"/>
    </row>
    <row r="12" s="2" customFormat="1" customHeight="1" spans="1:9">
      <c r="A12" s="53" t="s">
        <v>2092</v>
      </c>
      <c r="B12" s="60">
        <v>0</v>
      </c>
      <c r="C12" s="64">
        <f t="shared" si="3"/>
        <v>1</v>
      </c>
      <c r="D12" s="46">
        <v>1</v>
      </c>
      <c r="E12" s="46">
        <f t="shared" si="1"/>
        <v>3</v>
      </c>
      <c r="F12" s="46">
        <v>4</v>
      </c>
      <c r="G12" s="43">
        <v>0</v>
      </c>
      <c r="H12" s="43">
        <v>4</v>
      </c>
      <c r="I12" s="70"/>
    </row>
    <row r="13" s="2" customFormat="1" customHeight="1" spans="1:9">
      <c r="A13" s="53" t="s">
        <v>2093</v>
      </c>
      <c r="B13" s="25">
        <v>11</v>
      </c>
      <c r="C13" s="64">
        <f t="shared" si="3"/>
        <v>14</v>
      </c>
      <c r="D13" s="46">
        <v>25</v>
      </c>
      <c r="E13" s="46">
        <f t="shared" si="1"/>
        <v>-7</v>
      </c>
      <c r="F13" s="46">
        <v>18</v>
      </c>
      <c r="G13" s="43">
        <v>14</v>
      </c>
      <c r="H13" s="43">
        <v>16</v>
      </c>
      <c r="I13" s="70"/>
    </row>
    <row r="14" s="2" customFormat="1" customHeight="1" spans="1:9">
      <c r="A14" s="53" t="s">
        <v>2094</v>
      </c>
      <c r="B14" s="64">
        <f t="shared" ref="B14:H14" si="4">SUM(B15:B19)</f>
        <v>22926</v>
      </c>
      <c r="C14" s="64">
        <f t="shared" si="3"/>
        <v>280</v>
      </c>
      <c r="D14" s="46">
        <f t="shared" si="4"/>
        <v>23206</v>
      </c>
      <c r="E14" s="46">
        <f t="shared" si="1"/>
        <v>-8144</v>
      </c>
      <c r="F14" s="46">
        <f t="shared" si="4"/>
        <v>15062</v>
      </c>
      <c r="G14" s="43">
        <f t="shared" si="4"/>
        <v>9045</v>
      </c>
      <c r="H14" s="43">
        <f t="shared" si="4"/>
        <v>14065</v>
      </c>
      <c r="I14" s="70"/>
    </row>
    <row r="15" s="2" customFormat="1" customHeight="1" spans="1:9">
      <c r="A15" s="53" t="s">
        <v>2095</v>
      </c>
      <c r="B15" s="60">
        <v>11076</v>
      </c>
      <c r="C15" s="64">
        <f t="shared" si="3"/>
        <v>-237</v>
      </c>
      <c r="D15" s="46">
        <v>10839</v>
      </c>
      <c r="E15" s="46">
        <f t="shared" si="1"/>
        <v>37</v>
      </c>
      <c r="F15" s="46">
        <v>10876</v>
      </c>
      <c r="G15" s="43">
        <v>6341</v>
      </c>
      <c r="H15" s="43">
        <v>9923</v>
      </c>
      <c r="I15" s="71"/>
    </row>
    <row r="16" s="2" customFormat="1" customHeight="1" spans="1:9">
      <c r="A16" s="53" t="s">
        <v>2096</v>
      </c>
      <c r="B16" s="60">
        <v>11481</v>
      </c>
      <c r="C16" s="64">
        <v>0</v>
      </c>
      <c r="D16" s="46">
        <v>11481</v>
      </c>
      <c r="E16" s="46">
        <f t="shared" si="1"/>
        <v>-8081</v>
      </c>
      <c r="F16" s="46">
        <v>3400</v>
      </c>
      <c r="G16" s="43">
        <v>2100</v>
      </c>
      <c r="H16" s="43">
        <v>3400</v>
      </c>
      <c r="I16" s="70"/>
    </row>
    <row r="17" s="2" customFormat="1" customHeight="1" spans="1:9">
      <c r="A17" s="53" t="s">
        <v>2097</v>
      </c>
      <c r="B17" s="60">
        <v>319</v>
      </c>
      <c r="C17" s="64">
        <f t="shared" ref="C17:C27" si="5">D17-B17</f>
        <v>-32</v>
      </c>
      <c r="D17" s="46">
        <v>287</v>
      </c>
      <c r="E17" s="46">
        <f t="shared" si="1"/>
        <v>2</v>
      </c>
      <c r="F17" s="46">
        <v>289</v>
      </c>
      <c r="G17" s="43">
        <v>255</v>
      </c>
      <c r="H17" s="43">
        <v>273</v>
      </c>
      <c r="I17" s="70"/>
    </row>
    <row r="18" s="2" customFormat="1" customHeight="1" spans="1:9">
      <c r="A18" s="53" t="s">
        <v>2098</v>
      </c>
      <c r="B18" s="60">
        <v>0</v>
      </c>
      <c r="C18" s="64">
        <f t="shared" si="5"/>
        <v>599</v>
      </c>
      <c r="D18" s="46">
        <v>599</v>
      </c>
      <c r="E18" s="46">
        <f t="shared" si="1"/>
        <v>-102</v>
      </c>
      <c r="F18" s="46">
        <v>497</v>
      </c>
      <c r="G18" s="43">
        <v>349</v>
      </c>
      <c r="H18" s="43">
        <v>469</v>
      </c>
      <c r="I18" s="70"/>
    </row>
    <row r="19" s="2" customFormat="1" customHeight="1" spans="1:9">
      <c r="A19" s="53" t="s">
        <v>2099</v>
      </c>
      <c r="B19" s="60">
        <v>50</v>
      </c>
      <c r="C19" s="64">
        <f t="shared" si="5"/>
        <v>-50</v>
      </c>
      <c r="D19" s="46">
        <v>0</v>
      </c>
      <c r="E19" s="46">
        <f t="shared" si="1"/>
        <v>0</v>
      </c>
      <c r="F19" s="46">
        <v>0</v>
      </c>
      <c r="G19" s="43">
        <v>0</v>
      </c>
      <c r="H19" s="43">
        <v>0</v>
      </c>
      <c r="I19" s="70"/>
    </row>
    <row r="20" s="2" customFormat="1" customHeight="1" spans="1:9">
      <c r="A20" s="55" t="s">
        <v>69</v>
      </c>
      <c r="B20" s="65">
        <f>SUM(B5)</f>
        <v>34455</v>
      </c>
      <c r="C20" s="65">
        <f t="shared" si="5"/>
        <v>32207</v>
      </c>
      <c r="D20" s="42">
        <f>SUM(D5)</f>
        <v>66662</v>
      </c>
      <c r="E20" s="42">
        <f t="shared" si="1"/>
        <v>-11628</v>
      </c>
      <c r="F20" s="42">
        <f>SUM(F6,F14)</f>
        <v>55034</v>
      </c>
      <c r="G20" s="52">
        <f>G5</f>
        <v>43860</v>
      </c>
      <c r="H20" s="52">
        <f>H5</f>
        <v>52500</v>
      </c>
      <c r="I20" s="69"/>
    </row>
    <row r="21" s="28" customFormat="1" customHeight="1" spans="1:9">
      <c r="A21" s="63" t="s">
        <v>1573</v>
      </c>
      <c r="B21" s="52">
        <f t="shared" ref="B21:H21" si="6">SUM(B22,B25,B26)</f>
        <v>35205</v>
      </c>
      <c r="C21" s="65">
        <f t="shared" si="5"/>
        <v>-230</v>
      </c>
      <c r="D21" s="42">
        <f t="shared" si="6"/>
        <v>34975</v>
      </c>
      <c r="E21" s="42">
        <f t="shared" si="1"/>
        <v>0</v>
      </c>
      <c r="F21" s="42">
        <f t="shared" si="6"/>
        <v>34975</v>
      </c>
      <c r="G21" s="40">
        <f t="shared" si="6"/>
        <v>34975</v>
      </c>
      <c r="H21" s="40">
        <f t="shared" si="6"/>
        <v>34975</v>
      </c>
      <c r="I21" s="69"/>
    </row>
    <row r="22" s="2" customFormat="1" customHeight="1" spans="1:9">
      <c r="A22" s="53" t="s">
        <v>2100</v>
      </c>
      <c r="B22" s="60">
        <f>SUM(B23:B24)</f>
        <v>34975</v>
      </c>
      <c r="C22" s="64">
        <f t="shared" si="5"/>
        <v>0</v>
      </c>
      <c r="D22" s="46">
        <v>34975</v>
      </c>
      <c r="E22" s="46">
        <f t="shared" si="1"/>
        <v>0</v>
      </c>
      <c r="F22" s="46">
        <v>34975</v>
      </c>
      <c r="G22" s="60">
        <v>34975</v>
      </c>
      <c r="H22" s="60">
        <v>34975</v>
      </c>
      <c r="I22" s="71"/>
    </row>
    <row r="23" s="2" customFormat="1" customHeight="1" spans="1:9">
      <c r="A23" s="53" t="s">
        <v>2101</v>
      </c>
      <c r="B23" s="66">
        <v>19694</v>
      </c>
      <c r="C23" s="64">
        <f t="shared" si="5"/>
        <v>0</v>
      </c>
      <c r="D23" s="46">
        <v>19694</v>
      </c>
      <c r="E23" s="46">
        <f t="shared" si="1"/>
        <v>0</v>
      </c>
      <c r="F23" s="46">
        <v>19694</v>
      </c>
      <c r="G23" s="60">
        <v>19694</v>
      </c>
      <c r="H23" s="60">
        <v>19694</v>
      </c>
      <c r="I23" s="71"/>
    </row>
    <row r="24" s="2" customFormat="1" customHeight="1" spans="1:9">
      <c r="A24" s="53" t="s">
        <v>2102</v>
      </c>
      <c r="B24" s="66">
        <v>15281</v>
      </c>
      <c r="C24" s="64">
        <f t="shared" si="5"/>
        <v>0</v>
      </c>
      <c r="D24" s="46">
        <v>15281</v>
      </c>
      <c r="E24" s="46">
        <f t="shared" si="1"/>
        <v>0</v>
      </c>
      <c r="F24" s="46">
        <v>15281</v>
      </c>
      <c r="G24" s="60">
        <v>15281</v>
      </c>
      <c r="H24" s="60">
        <v>15281</v>
      </c>
      <c r="I24" s="71"/>
    </row>
    <row r="25" s="2" customFormat="1" customHeight="1" spans="1:9">
      <c r="A25" s="53" t="s">
        <v>2103</v>
      </c>
      <c r="B25" s="60">
        <v>0</v>
      </c>
      <c r="C25" s="64">
        <f t="shared" si="5"/>
        <v>0</v>
      </c>
      <c r="D25" s="46">
        <v>0</v>
      </c>
      <c r="E25" s="46">
        <f t="shared" si="1"/>
        <v>0</v>
      </c>
      <c r="F25" s="46">
        <v>0</v>
      </c>
      <c r="G25" s="43">
        <v>0</v>
      </c>
      <c r="H25" s="43">
        <v>0</v>
      </c>
      <c r="I25" s="70"/>
    </row>
    <row r="26" s="2" customFormat="1" customHeight="1" spans="1:9">
      <c r="A26" s="53" t="s">
        <v>2104</v>
      </c>
      <c r="B26" s="60">
        <v>230</v>
      </c>
      <c r="C26" s="64">
        <f t="shared" si="5"/>
        <v>-230</v>
      </c>
      <c r="D26" s="46">
        <v>0</v>
      </c>
      <c r="E26" s="46">
        <f t="shared" si="1"/>
        <v>0</v>
      </c>
      <c r="F26" s="46">
        <v>0</v>
      </c>
      <c r="G26" s="43">
        <v>0</v>
      </c>
      <c r="H26" s="43">
        <v>0</v>
      </c>
      <c r="I26" s="70"/>
    </row>
    <row r="27" s="2" customFormat="1" customHeight="1" spans="1:9">
      <c r="A27" s="55" t="s">
        <v>2105</v>
      </c>
      <c r="B27" s="67">
        <f t="shared" ref="B27:H27" si="7">B20+B21</f>
        <v>69660</v>
      </c>
      <c r="C27" s="65">
        <f t="shared" si="5"/>
        <v>31977</v>
      </c>
      <c r="D27" s="42">
        <f t="shared" si="7"/>
        <v>101637</v>
      </c>
      <c r="E27" s="42">
        <f t="shared" si="1"/>
        <v>-11628</v>
      </c>
      <c r="F27" s="42">
        <f t="shared" si="7"/>
        <v>90009</v>
      </c>
      <c r="G27" s="52">
        <f t="shared" si="7"/>
        <v>78835</v>
      </c>
      <c r="H27" s="52">
        <f t="shared" si="7"/>
        <v>87475</v>
      </c>
      <c r="I27" s="70"/>
    </row>
    <row r="28" s="2" customFormat="1" customHeight="1" spans="9:9">
      <c r="I28" s="4"/>
    </row>
    <row r="29" s="2" customFormat="1" customHeight="1" spans="9:9">
      <c r="I29" s="61"/>
    </row>
    <row r="31" customHeight="1" spans="1:3">
      <c r="A31" s="68"/>
      <c r="B31" s="68"/>
      <c r="C31" s="68"/>
    </row>
    <row r="32" customHeight="1" spans="1:3">
      <c r="A32" s="68"/>
      <c r="B32" s="68"/>
      <c r="C32" s="68"/>
    </row>
    <row r="33" customHeight="1" spans="1:3">
      <c r="A33" s="68"/>
      <c r="B33" s="68"/>
      <c r="C33" s="68"/>
    </row>
    <row r="34" customHeight="1" spans="1:3">
      <c r="A34" s="68"/>
      <c r="B34" s="68"/>
      <c r="C34" s="68"/>
    </row>
    <row r="35" customHeight="1" spans="1:3">
      <c r="A35" s="68"/>
      <c r="B35" s="68"/>
      <c r="C35" s="68"/>
    </row>
    <row r="36" customHeight="1" spans="1:3">
      <c r="A36" s="68"/>
      <c r="B36" s="68"/>
      <c r="C36" s="68"/>
    </row>
  </sheetData>
  <mergeCells count="1">
    <mergeCell ref="A2:I2"/>
  </mergeCells>
  <printOptions horizontalCentered="1"/>
  <pageMargins left="0.393055555555556" right="0.393055555555556" top="0.590277777777778" bottom="0.590277777777778" header="0.196527777777778" footer="0.196527777777778"/>
  <pageSetup paperSize="9" scale="62"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C9" workbookViewId="0">
      <selection activeCell="C3" sqref="C3"/>
    </sheetView>
  </sheetViews>
  <sheetFormatPr defaultColWidth="9" defaultRowHeight="30" customHeight="1"/>
  <cols>
    <col min="1" max="1" width="11.6166666666667" style="29" hidden="1" customWidth="1"/>
    <col min="2" max="2" width="6" style="30" hidden="1" customWidth="1"/>
    <col min="3" max="3" width="50.625" style="2" customWidth="1"/>
    <col min="4" max="4" width="13.5" style="2" hidden="1" customWidth="1"/>
    <col min="5" max="5" width="15.125" style="2" hidden="1" customWidth="1"/>
    <col min="6" max="8" width="30.625" style="2" customWidth="1"/>
    <col min="9" max="10" width="19.9916666666667" style="2" hidden="1" customWidth="1"/>
    <col min="11" max="11" width="30.625" style="2" customWidth="1"/>
    <col min="12" max="12" width="9" style="2"/>
    <col min="13" max="13" width="12.625" style="2"/>
    <col min="14" max="16384" width="9" style="2"/>
  </cols>
  <sheetData>
    <row r="1" s="2" customFormat="1" ht="20" customHeight="1" spans="1:11">
      <c r="A1" s="31" t="s">
        <v>2106</v>
      </c>
      <c r="B1" s="32"/>
      <c r="C1" s="25" t="s">
        <v>2106</v>
      </c>
      <c r="D1" s="33"/>
      <c r="E1" s="33"/>
      <c r="F1" s="33"/>
      <c r="G1" s="33"/>
      <c r="H1" s="33"/>
      <c r="I1" s="33"/>
      <c r="J1" s="33"/>
      <c r="K1" s="33"/>
    </row>
    <row r="2" s="2" customFormat="1" customHeight="1" spans="1:11">
      <c r="A2" s="34" t="s">
        <v>2107</v>
      </c>
      <c r="B2" s="34"/>
      <c r="C2" s="34"/>
      <c r="D2" s="34"/>
      <c r="E2" s="34"/>
      <c r="F2" s="34"/>
      <c r="G2" s="34"/>
      <c r="H2" s="34"/>
      <c r="I2" s="34"/>
      <c r="J2" s="34"/>
      <c r="K2" s="34"/>
    </row>
    <row r="3" s="25" customFormat="1" ht="20" customHeight="1" spans="1:11">
      <c r="A3" s="35"/>
      <c r="B3" s="36"/>
      <c r="I3" s="57"/>
      <c r="J3" s="57"/>
      <c r="K3" s="57" t="s">
        <v>24</v>
      </c>
    </row>
    <row r="4" s="26" customFormat="1" customHeight="1" spans="1:11">
      <c r="A4" s="37" t="s">
        <v>2108</v>
      </c>
      <c r="B4" s="37"/>
      <c r="C4" s="38" t="s">
        <v>25</v>
      </c>
      <c r="D4" s="38" t="s">
        <v>1516</v>
      </c>
      <c r="E4" s="38" t="s">
        <v>27</v>
      </c>
      <c r="F4" s="38" t="s">
        <v>26</v>
      </c>
      <c r="G4" s="38" t="s">
        <v>27</v>
      </c>
      <c r="H4" s="39" t="s">
        <v>28</v>
      </c>
      <c r="I4" s="38" t="s">
        <v>2083</v>
      </c>
      <c r="J4" s="39" t="s">
        <v>2084</v>
      </c>
      <c r="K4" s="38" t="s">
        <v>30</v>
      </c>
    </row>
    <row r="5" s="27" customFormat="1" customHeight="1" spans="1:11">
      <c r="A5" s="40" t="s">
        <v>2109</v>
      </c>
      <c r="B5" s="40"/>
      <c r="C5" s="40" t="s">
        <v>2110</v>
      </c>
      <c r="D5" s="41">
        <f t="shared" ref="D5:F5" si="0">SUM(D6,D12)</f>
        <v>22952</v>
      </c>
      <c r="E5" s="41">
        <f t="shared" si="0"/>
        <v>844</v>
      </c>
      <c r="F5" s="42">
        <f t="shared" si="0"/>
        <v>23796</v>
      </c>
      <c r="G5" s="42">
        <f t="shared" ref="G5:G22" si="1">H5-F5</f>
        <v>576</v>
      </c>
      <c r="H5" s="42">
        <f t="shared" ref="H5:J5" si="2">SUM(H6,H12)</f>
        <v>24372</v>
      </c>
      <c r="I5" s="58">
        <f t="shared" si="2"/>
        <v>14017</v>
      </c>
      <c r="J5" s="58">
        <f t="shared" si="2"/>
        <v>22326</v>
      </c>
      <c r="K5" s="40"/>
    </row>
    <row r="6" s="4" customFormat="1" customHeight="1" spans="1:11">
      <c r="A6" s="43" t="s">
        <v>2111</v>
      </c>
      <c r="B6" s="43"/>
      <c r="C6" s="43" t="s">
        <v>2112</v>
      </c>
      <c r="D6" s="44">
        <f t="shared" ref="D6:J6" si="3">SUM(D7:D11)</f>
        <v>9837</v>
      </c>
      <c r="E6" s="45">
        <f t="shared" ref="E6:E15" si="4">F6-D6</f>
        <v>356</v>
      </c>
      <c r="F6" s="46">
        <f t="shared" si="3"/>
        <v>10193</v>
      </c>
      <c r="G6" s="46">
        <f t="shared" si="1"/>
        <v>412</v>
      </c>
      <c r="H6" s="46">
        <f t="shared" si="3"/>
        <v>10605</v>
      </c>
      <c r="I6" s="59">
        <f t="shared" si="3"/>
        <v>5808</v>
      </c>
      <c r="J6" s="59">
        <f t="shared" si="3"/>
        <v>9674</v>
      </c>
      <c r="K6" s="43"/>
    </row>
    <row r="7" s="4" customFormat="1" customHeight="1" spans="1:11">
      <c r="A7" s="43" t="s">
        <v>2113</v>
      </c>
      <c r="B7" s="43"/>
      <c r="C7" s="43" t="s">
        <v>2114</v>
      </c>
      <c r="D7" s="44">
        <v>9005</v>
      </c>
      <c r="E7" s="45">
        <f t="shared" si="4"/>
        <v>0</v>
      </c>
      <c r="F7" s="46">
        <v>9005</v>
      </c>
      <c r="G7" s="46">
        <f t="shared" si="1"/>
        <v>108</v>
      </c>
      <c r="H7" s="46">
        <v>9113</v>
      </c>
      <c r="I7" s="59">
        <v>5115</v>
      </c>
      <c r="J7" s="59">
        <v>8302</v>
      </c>
      <c r="K7" s="43"/>
    </row>
    <row r="8" s="4" customFormat="1" customHeight="1" spans="1:11">
      <c r="A8" s="43" t="s">
        <v>2115</v>
      </c>
      <c r="B8" s="43"/>
      <c r="C8" s="43" t="s">
        <v>2116</v>
      </c>
      <c r="D8" s="44">
        <v>710</v>
      </c>
      <c r="E8" s="45">
        <f t="shared" si="4"/>
        <v>348</v>
      </c>
      <c r="F8" s="46">
        <v>1058</v>
      </c>
      <c r="G8" s="46">
        <f t="shared" si="1"/>
        <v>309</v>
      </c>
      <c r="H8" s="46">
        <v>1367</v>
      </c>
      <c r="I8" s="59">
        <v>617</v>
      </c>
      <c r="J8" s="59">
        <v>1253</v>
      </c>
      <c r="K8" s="43"/>
    </row>
    <row r="9" s="4" customFormat="1" customHeight="1" spans="1:11">
      <c r="A9" s="43" t="s">
        <v>2117</v>
      </c>
      <c r="B9" s="43"/>
      <c r="C9" s="43" t="s">
        <v>2118</v>
      </c>
      <c r="D9" s="44">
        <v>122</v>
      </c>
      <c r="E9" s="45">
        <f t="shared" si="4"/>
        <v>7</v>
      </c>
      <c r="F9" s="46">
        <v>129</v>
      </c>
      <c r="G9" s="46">
        <f t="shared" si="1"/>
        <v>-6</v>
      </c>
      <c r="H9" s="46">
        <v>123</v>
      </c>
      <c r="I9" s="59">
        <v>75</v>
      </c>
      <c r="J9" s="59">
        <v>118</v>
      </c>
      <c r="K9" s="43"/>
    </row>
    <row r="10" s="4" customFormat="1" customHeight="1" spans="1:11">
      <c r="A10" s="47"/>
      <c r="B10" s="43"/>
      <c r="C10" s="43" t="s">
        <v>2119</v>
      </c>
      <c r="D10" s="44">
        <v>0</v>
      </c>
      <c r="E10" s="45">
        <f t="shared" si="4"/>
        <v>1</v>
      </c>
      <c r="F10" s="46">
        <v>1</v>
      </c>
      <c r="G10" s="46">
        <f t="shared" si="1"/>
        <v>1</v>
      </c>
      <c r="H10" s="46">
        <v>2</v>
      </c>
      <c r="I10" s="59">
        <v>1</v>
      </c>
      <c r="J10" s="59">
        <v>1</v>
      </c>
      <c r="K10" s="43"/>
    </row>
    <row r="11" s="4" customFormat="1" customHeight="1" spans="1:11">
      <c r="A11" s="47"/>
      <c r="B11" s="43"/>
      <c r="C11" s="43" t="s">
        <v>2120</v>
      </c>
      <c r="D11" s="44">
        <v>0</v>
      </c>
      <c r="E11" s="45">
        <f t="shared" si="4"/>
        <v>0</v>
      </c>
      <c r="F11" s="46">
        <v>0</v>
      </c>
      <c r="G11" s="46">
        <f t="shared" si="1"/>
        <v>0</v>
      </c>
      <c r="H11" s="46">
        <v>0</v>
      </c>
      <c r="I11" s="59"/>
      <c r="J11" s="59"/>
      <c r="K11" s="43"/>
    </row>
    <row r="12" s="4" customFormat="1" customHeight="1" spans="1:11">
      <c r="A12" s="48">
        <v>20911</v>
      </c>
      <c r="B12" s="43"/>
      <c r="C12" s="43" t="s">
        <v>2121</v>
      </c>
      <c r="D12" s="44">
        <f>SUM(D13:D14)</f>
        <v>13115</v>
      </c>
      <c r="E12" s="45">
        <f t="shared" si="4"/>
        <v>488</v>
      </c>
      <c r="F12" s="46">
        <f t="shared" ref="F12:J12" si="5">SUM(F13:F15)</f>
        <v>13603</v>
      </c>
      <c r="G12" s="46">
        <f t="shared" si="1"/>
        <v>164</v>
      </c>
      <c r="H12" s="46">
        <f t="shared" si="5"/>
        <v>13767</v>
      </c>
      <c r="I12" s="59">
        <f t="shared" si="5"/>
        <v>8209</v>
      </c>
      <c r="J12" s="59">
        <f t="shared" si="5"/>
        <v>12652</v>
      </c>
      <c r="K12" s="43"/>
    </row>
    <row r="13" s="4" customFormat="1" customHeight="1" spans="1:11">
      <c r="A13" s="48">
        <v>2091101</v>
      </c>
      <c r="B13" s="43"/>
      <c r="C13" s="43" t="s">
        <v>2122</v>
      </c>
      <c r="D13" s="49">
        <v>13110</v>
      </c>
      <c r="E13" s="45">
        <f t="shared" si="4"/>
        <v>447</v>
      </c>
      <c r="F13" s="46">
        <v>13557</v>
      </c>
      <c r="G13" s="46">
        <f t="shared" si="1"/>
        <v>170</v>
      </c>
      <c r="H13" s="46">
        <v>13727</v>
      </c>
      <c r="I13" s="59">
        <v>8182</v>
      </c>
      <c r="J13" s="59">
        <v>12615</v>
      </c>
      <c r="K13" s="43"/>
    </row>
    <row r="14" s="4" customFormat="1" customHeight="1" spans="1:11">
      <c r="A14" s="48"/>
      <c r="B14" s="43"/>
      <c r="C14" s="43" t="s">
        <v>2119</v>
      </c>
      <c r="D14" s="49">
        <v>5</v>
      </c>
      <c r="E14" s="50">
        <f t="shared" si="4"/>
        <v>18</v>
      </c>
      <c r="F14" s="46">
        <v>23</v>
      </c>
      <c r="G14" s="46">
        <f t="shared" si="1"/>
        <v>-1</v>
      </c>
      <c r="H14" s="46">
        <v>22</v>
      </c>
      <c r="I14" s="59">
        <v>13</v>
      </c>
      <c r="J14" s="59">
        <v>22</v>
      </c>
      <c r="K14" s="43"/>
    </row>
    <row r="15" s="4" customFormat="1" customHeight="1" spans="1:11">
      <c r="A15" s="48"/>
      <c r="B15" s="43"/>
      <c r="C15" s="43" t="s">
        <v>2120</v>
      </c>
      <c r="D15" s="49">
        <v>0</v>
      </c>
      <c r="E15" s="50">
        <f t="shared" si="4"/>
        <v>23</v>
      </c>
      <c r="F15" s="46">
        <v>23</v>
      </c>
      <c r="G15" s="46">
        <f t="shared" si="1"/>
        <v>-5</v>
      </c>
      <c r="H15" s="46">
        <v>18</v>
      </c>
      <c r="I15" s="59">
        <v>14</v>
      </c>
      <c r="J15" s="59">
        <v>15</v>
      </c>
      <c r="K15" s="43"/>
    </row>
    <row r="16" s="28" customFormat="1" customHeight="1" spans="1:11">
      <c r="A16" s="21" t="s">
        <v>1792</v>
      </c>
      <c r="B16" s="40"/>
      <c r="C16" s="40" t="s">
        <v>575</v>
      </c>
      <c r="D16" s="51">
        <v>46708</v>
      </c>
      <c r="E16" s="52">
        <v>32167</v>
      </c>
      <c r="F16" s="42">
        <f t="shared" ref="F16:J16" si="6">SUM(F17:F19)</f>
        <v>77841</v>
      </c>
      <c r="G16" s="42">
        <f t="shared" si="1"/>
        <v>-12204</v>
      </c>
      <c r="H16" s="42">
        <f t="shared" si="6"/>
        <v>65637</v>
      </c>
      <c r="I16" s="56">
        <f t="shared" si="6"/>
        <v>64818</v>
      </c>
      <c r="J16" s="56">
        <f t="shared" si="6"/>
        <v>65149</v>
      </c>
      <c r="K16" s="40"/>
    </row>
    <row r="17" s="2" customFormat="1" customHeight="1" spans="1:11">
      <c r="A17" s="47"/>
      <c r="B17" s="43"/>
      <c r="C17" s="53" t="s">
        <v>2123</v>
      </c>
      <c r="D17" s="54">
        <v>0</v>
      </c>
      <c r="E17" s="45">
        <v>0</v>
      </c>
      <c r="F17" s="46">
        <v>0</v>
      </c>
      <c r="G17" s="46">
        <f t="shared" si="1"/>
        <v>0</v>
      </c>
      <c r="H17" s="46">
        <v>0</v>
      </c>
      <c r="I17" s="45">
        <v>0</v>
      </c>
      <c r="J17" s="45">
        <v>0</v>
      </c>
      <c r="K17" s="43"/>
    </row>
    <row r="18" s="2" customFormat="1" customHeight="1" spans="1:11">
      <c r="A18" s="47"/>
      <c r="B18" s="43"/>
      <c r="C18" s="53" t="s">
        <v>2124</v>
      </c>
      <c r="D18" s="54">
        <v>252</v>
      </c>
      <c r="E18" s="45">
        <f t="shared" ref="E18:E22" si="7">F18-D18</f>
        <v>1116</v>
      </c>
      <c r="F18" s="46">
        <v>1368</v>
      </c>
      <c r="G18" s="46">
        <f t="shared" si="1"/>
        <v>-1260</v>
      </c>
      <c r="H18" s="46">
        <v>108</v>
      </c>
      <c r="I18" s="45">
        <v>76</v>
      </c>
      <c r="J18" s="45">
        <v>108</v>
      </c>
      <c r="K18" s="43"/>
    </row>
    <row r="19" s="2" customFormat="1" customHeight="1" spans="1:11">
      <c r="A19" s="47" t="s">
        <v>2125</v>
      </c>
      <c r="B19" s="43"/>
      <c r="C19" s="43" t="s">
        <v>2126</v>
      </c>
      <c r="D19" s="54">
        <v>46456</v>
      </c>
      <c r="E19" s="45">
        <f t="shared" ref="E19:J19" si="8">SUM(E20:E21)</f>
        <v>30017</v>
      </c>
      <c r="F19" s="46">
        <f>F20+F21</f>
        <v>76473</v>
      </c>
      <c r="G19" s="46">
        <f t="shared" si="1"/>
        <v>-10944</v>
      </c>
      <c r="H19" s="46">
        <f>H20+H21</f>
        <v>65529</v>
      </c>
      <c r="I19" s="60">
        <f t="shared" si="8"/>
        <v>64742</v>
      </c>
      <c r="J19" s="60">
        <f t="shared" si="8"/>
        <v>65041</v>
      </c>
      <c r="K19" s="60"/>
    </row>
    <row r="20" s="2" customFormat="1" customHeight="1" spans="1:11">
      <c r="A20" s="47"/>
      <c r="B20" s="43"/>
      <c r="C20" s="53" t="s">
        <v>2127</v>
      </c>
      <c r="D20" s="54">
        <v>21386</v>
      </c>
      <c r="E20" s="45">
        <f t="shared" si="7"/>
        <v>31571</v>
      </c>
      <c r="F20" s="46">
        <f>19694+43456-10193</f>
        <v>52957</v>
      </c>
      <c r="G20" s="46">
        <f t="shared" si="1"/>
        <v>-3896</v>
      </c>
      <c r="H20" s="46">
        <v>49061</v>
      </c>
      <c r="I20" s="60">
        <v>48701</v>
      </c>
      <c r="J20" s="60">
        <v>48455</v>
      </c>
      <c r="K20" s="60"/>
    </row>
    <row r="21" s="2" customFormat="1" customHeight="1" spans="1:11">
      <c r="A21" s="47"/>
      <c r="B21" s="43"/>
      <c r="C21" s="53" t="s">
        <v>2128</v>
      </c>
      <c r="D21" s="54">
        <v>25070</v>
      </c>
      <c r="E21" s="45">
        <f t="shared" si="7"/>
        <v>-1554</v>
      </c>
      <c r="F21" s="46">
        <f>15281+23206-1368-13603</f>
        <v>23516</v>
      </c>
      <c r="G21" s="46">
        <f t="shared" si="1"/>
        <v>-7048</v>
      </c>
      <c r="H21" s="46">
        <v>16468</v>
      </c>
      <c r="I21" s="60">
        <v>16041</v>
      </c>
      <c r="J21" s="60">
        <v>16586</v>
      </c>
      <c r="K21" s="60"/>
    </row>
    <row r="22" s="28" customFormat="1" customHeight="1" spans="1:11">
      <c r="A22" s="21"/>
      <c r="B22" s="40"/>
      <c r="C22" s="55" t="s">
        <v>2129</v>
      </c>
      <c r="D22" s="52">
        <f t="shared" ref="D22:J22" si="9">D5+D16</f>
        <v>69660</v>
      </c>
      <c r="E22" s="56">
        <f t="shared" si="7"/>
        <v>31977</v>
      </c>
      <c r="F22" s="42">
        <f t="shared" si="9"/>
        <v>101637</v>
      </c>
      <c r="G22" s="42">
        <f t="shared" si="1"/>
        <v>-11628</v>
      </c>
      <c r="H22" s="42">
        <f t="shared" si="9"/>
        <v>90009</v>
      </c>
      <c r="I22" s="52">
        <f t="shared" si="9"/>
        <v>78835</v>
      </c>
      <c r="J22" s="52">
        <f t="shared" si="9"/>
        <v>87475</v>
      </c>
      <c r="K22" s="52"/>
    </row>
    <row r="23" s="2" customFormat="1" customHeight="1" spans="1:2">
      <c r="A23" s="29"/>
      <c r="B23" s="30"/>
    </row>
    <row r="24" s="2" customFormat="1" customHeight="1" spans="2:11">
      <c r="B24" s="30"/>
      <c r="K24" s="61"/>
    </row>
  </sheetData>
  <mergeCells count="2">
    <mergeCell ref="A2:K2"/>
    <mergeCell ref="A4:B4"/>
  </mergeCells>
  <printOptions horizontalCentered="1"/>
  <pageMargins left="0.393055555555556" right="0.393055555555556" top="0.590277777777778" bottom="0.590277777777778" header="0.196527777777778" footer="0.196527777777778"/>
  <pageSetup paperSize="9" scale="75"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tabSelected="1" topLeftCell="A13" workbookViewId="0">
      <selection activeCell="A3" sqref="A3"/>
    </sheetView>
  </sheetViews>
  <sheetFormatPr defaultColWidth="9" defaultRowHeight="30" customHeight="1" outlineLevelCol="4"/>
  <cols>
    <col min="1" max="1" width="26.375" style="4" customWidth="1"/>
    <col min="2" max="2" width="62.875" style="4" customWidth="1"/>
    <col min="3" max="3" width="30.625" style="4" customWidth="1"/>
    <col min="4" max="4" width="39" style="2" customWidth="1"/>
    <col min="5" max="5" width="12.625" style="2"/>
    <col min="6" max="16384" width="9" style="2"/>
  </cols>
  <sheetData>
    <row r="1" s="2" customFormat="1" ht="20" customHeight="1" spans="1:3">
      <c r="A1" s="5" t="s">
        <v>2130</v>
      </c>
      <c r="B1" s="4"/>
      <c r="C1" s="4"/>
    </row>
    <row r="2" s="3" customFormat="1" customHeight="1" spans="1:4">
      <c r="A2" s="6" t="s">
        <v>2131</v>
      </c>
      <c r="B2" s="6"/>
      <c r="C2" s="6"/>
      <c r="D2" s="7"/>
    </row>
    <row r="3" s="3" customFormat="1" ht="20" customHeight="1" spans="1:4">
      <c r="A3" s="8"/>
      <c r="B3" s="8"/>
      <c r="C3" s="8"/>
      <c r="D3" s="9" t="s">
        <v>24</v>
      </c>
    </row>
    <row r="4" s="3" customFormat="1" customHeight="1" spans="1:4">
      <c r="A4" s="10" t="s">
        <v>590</v>
      </c>
      <c r="B4" s="10" t="s">
        <v>591</v>
      </c>
      <c r="C4" s="11" t="s">
        <v>2132</v>
      </c>
      <c r="D4" s="12" t="s">
        <v>30</v>
      </c>
    </row>
    <row r="5" s="3" customFormat="1" customHeight="1" spans="1:4">
      <c r="A5" s="13" t="s">
        <v>2133</v>
      </c>
      <c r="B5" s="13"/>
      <c r="C5" s="14">
        <f>SUM(C6:C9)</f>
        <v>15515.846903</v>
      </c>
      <c r="D5" s="15"/>
    </row>
    <row r="6" s="3" customFormat="1" customHeight="1" spans="1:4">
      <c r="A6" s="16" t="s">
        <v>599</v>
      </c>
      <c r="B6" s="16" t="s">
        <v>2134</v>
      </c>
      <c r="C6" s="17">
        <v>7989.042274</v>
      </c>
      <c r="D6" s="18"/>
    </row>
    <row r="7" s="2" customFormat="1" customHeight="1" spans="1:5">
      <c r="A7" s="16" t="s">
        <v>599</v>
      </c>
      <c r="B7" s="16" t="s">
        <v>2135</v>
      </c>
      <c r="C7" s="17">
        <v>5283.005429</v>
      </c>
      <c r="D7" s="18"/>
      <c r="E7" s="3"/>
    </row>
    <row r="8" s="2" customFormat="1" customHeight="1" spans="1:5">
      <c r="A8" s="16" t="s">
        <v>2136</v>
      </c>
      <c r="B8" s="16" t="s">
        <v>1973</v>
      </c>
      <c r="C8" s="17">
        <v>595.5392</v>
      </c>
      <c r="D8" s="18"/>
      <c r="E8" s="3"/>
    </row>
    <row r="9" s="2" customFormat="1" customHeight="1" spans="1:5">
      <c r="A9" s="16" t="s">
        <v>599</v>
      </c>
      <c r="B9" s="16" t="s">
        <v>2137</v>
      </c>
      <c r="C9" s="17">
        <v>1648.26</v>
      </c>
      <c r="D9" s="18"/>
      <c r="E9" s="3"/>
    </row>
    <row r="10" s="2" customFormat="1" customHeight="1" spans="1:4">
      <c r="A10" s="19" t="s">
        <v>2138</v>
      </c>
      <c r="B10" s="20"/>
      <c r="C10" s="14">
        <f>SUM(C11:C18)</f>
        <v>15516</v>
      </c>
      <c r="D10" s="21"/>
    </row>
    <row r="11" s="3" customFormat="1" customHeight="1" spans="1:4">
      <c r="A11" s="16" t="s">
        <v>664</v>
      </c>
      <c r="B11" s="16" t="s">
        <v>2139</v>
      </c>
      <c r="C11" s="17">
        <v>40</v>
      </c>
      <c r="D11" s="18"/>
    </row>
    <row r="12" s="3" customFormat="1" customHeight="1" spans="1:4">
      <c r="A12" s="16" t="s">
        <v>1055</v>
      </c>
      <c r="B12" s="16" t="s">
        <v>1838</v>
      </c>
      <c r="C12" s="17">
        <v>7720</v>
      </c>
      <c r="D12" s="22" t="s">
        <v>2140</v>
      </c>
    </row>
    <row r="13" s="3" customFormat="1" customHeight="1" spans="1:4">
      <c r="A13" s="16" t="s">
        <v>1395</v>
      </c>
      <c r="B13" s="16" t="s">
        <v>1398</v>
      </c>
      <c r="C13" s="17">
        <v>2675</v>
      </c>
      <c r="D13" s="23"/>
    </row>
    <row r="14" s="3" customFormat="1" customHeight="1" spans="1:4">
      <c r="A14" s="16" t="s">
        <v>1294</v>
      </c>
      <c r="B14" s="16" t="s">
        <v>1984</v>
      </c>
      <c r="C14" s="17">
        <f>613-77</f>
        <v>536</v>
      </c>
      <c r="D14" s="23"/>
    </row>
    <row r="15" s="3" customFormat="1" customHeight="1" spans="1:4">
      <c r="A15" s="16" t="s">
        <v>1294</v>
      </c>
      <c r="B15" s="16" t="s">
        <v>1994</v>
      </c>
      <c r="C15" s="17">
        <v>924</v>
      </c>
      <c r="D15" s="23"/>
    </row>
    <row r="16" s="3" customFormat="1" customHeight="1" spans="1:4">
      <c r="A16" s="16" t="s">
        <v>1294</v>
      </c>
      <c r="B16" s="16" t="s">
        <v>1992</v>
      </c>
      <c r="C16" s="17">
        <v>1574</v>
      </c>
      <c r="D16" s="23"/>
    </row>
    <row r="17" s="3" customFormat="1" customHeight="1" spans="1:4">
      <c r="A17" s="16" t="s">
        <v>1294</v>
      </c>
      <c r="B17" s="16" t="s">
        <v>1990</v>
      </c>
      <c r="C17" s="17">
        <v>1105</v>
      </c>
      <c r="D17" s="23"/>
    </row>
    <row r="18" s="3" customFormat="1" customHeight="1" spans="1:4">
      <c r="A18" s="16" t="s">
        <v>1294</v>
      </c>
      <c r="B18" s="16" t="s">
        <v>2044</v>
      </c>
      <c r="C18" s="17">
        <v>942</v>
      </c>
      <c r="D18" s="24"/>
    </row>
  </sheetData>
  <mergeCells count="4">
    <mergeCell ref="A2:D2"/>
    <mergeCell ref="A5:B5"/>
    <mergeCell ref="A10:B10"/>
    <mergeCell ref="D12:D18"/>
  </mergeCells>
  <printOptions horizontalCentered="1"/>
  <pageMargins left="0.393055555555556" right="0.393055555555556" top="0.590277777777778" bottom="0.590277777777778" header="0.196527777777778" footer="0.196527777777778"/>
  <pageSetup paperSize="9" scale="82"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D28" sqref="D28"/>
    </sheetView>
  </sheetViews>
  <sheetFormatPr defaultColWidth="9" defaultRowHeight="14.25" outlineLevelCol="4"/>
  <cols>
    <col min="2" max="2" width="22" style="1" customWidth="1"/>
    <col min="3" max="3" width="22.125" style="1" customWidth="1"/>
    <col min="4" max="4" width="13" style="1" customWidth="1"/>
    <col min="5" max="5" width="85.875" customWidth="1"/>
  </cols>
  <sheetData>
    <row r="1" spans="1:4">
      <c r="A1" t="s">
        <v>589</v>
      </c>
      <c r="B1" s="1" t="s">
        <v>2141</v>
      </c>
      <c r="C1" s="1" t="s">
        <v>2142</v>
      </c>
      <c r="D1" s="1" t="s">
        <v>2143</v>
      </c>
    </row>
    <row r="2" spans="1:5">
      <c r="A2" t="s">
        <v>598</v>
      </c>
      <c r="B2" s="1">
        <v>10218.05</v>
      </c>
      <c r="C2" s="1">
        <v>10588.68</v>
      </c>
      <c r="D2" s="1">
        <f t="shared" ref="D2:D10" si="0">C2-B2</f>
        <v>370.630000000001</v>
      </c>
      <c r="E2" t="s">
        <v>2144</v>
      </c>
    </row>
    <row r="3" spans="1:4">
      <c r="A3" t="s">
        <v>1475</v>
      </c>
      <c r="B3" s="1">
        <v>50</v>
      </c>
      <c r="C3" s="1">
        <v>50</v>
      </c>
      <c r="D3" s="1">
        <f t="shared" si="0"/>
        <v>0</v>
      </c>
    </row>
    <row r="4" spans="1:4">
      <c r="A4" t="s">
        <v>606</v>
      </c>
      <c r="B4" s="1">
        <v>333.308</v>
      </c>
      <c r="C4" s="1">
        <v>333.308</v>
      </c>
      <c r="D4" s="1">
        <f t="shared" si="0"/>
        <v>0</v>
      </c>
    </row>
    <row r="5" spans="1:4">
      <c r="A5" t="s">
        <v>648</v>
      </c>
      <c r="B5" s="1">
        <v>3247.347002</v>
      </c>
      <c r="C5" s="1">
        <v>3247.347002</v>
      </c>
      <c r="D5" s="1">
        <f t="shared" si="0"/>
        <v>0</v>
      </c>
    </row>
    <row r="6" spans="1:5">
      <c r="A6" t="s">
        <v>613</v>
      </c>
      <c r="B6" s="1">
        <v>3443.71</v>
      </c>
      <c r="C6" s="1">
        <v>3636.84</v>
      </c>
      <c r="D6" s="1">
        <f t="shared" si="0"/>
        <v>193.13</v>
      </c>
      <c r="E6" t="s">
        <v>2144</v>
      </c>
    </row>
    <row r="7" spans="1:5">
      <c r="A7" t="s">
        <v>601</v>
      </c>
      <c r="B7" s="1">
        <v>31357.34</v>
      </c>
      <c r="C7" s="1">
        <v>32788.34</v>
      </c>
      <c r="D7" s="1">
        <f t="shared" si="0"/>
        <v>1431</v>
      </c>
      <c r="E7" t="s">
        <v>2145</v>
      </c>
    </row>
    <row r="8" spans="1:5">
      <c r="A8" t="s">
        <v>603</v>
      </c>
      <c r="B8" s="1">
        <v>51248.3</v>
      </c>
      <c r="C8" s="1">
        <v>50418.3</v>
      </c>
      <c r="D8" s="1">
        <f t="shared" si="0"/>
        <v>-830</v>
      </c>
      <c r="E8" t="s">
        <v>2146</v>
      </c>
    </row>
    <row r="9" spans="1:5">
      <c r="A9" t="s">
        <v>616</v>
      </c>
      <c r="B9" s="1">
        <v>4686.78</v>
      </c>
      <c r="C9" s="1">
        <v>1486.85</v>
      </c>
      <c r="D9" s="1">
        <f t="shared" si="0"/>
        <v>-3199.93</v>
      </c>
      <c r="E9" t="s">
        <v>2147</v>
      </c>
    </row>
    <row r="10" spans="1:5">
      <c r="A10" t="s">
        <v>624</v>
      </c>
      <c r="B10" s="1">
        <v>85183.5</v>
      </c>
      <c r="C10" s="1">
        <v>14451.258663</v>
      </c>
      <c r="D10" s="1">
        <f t="shared" si="0"/>
        <v>-70732.241337</v>
      </c>
      <c r="E10" t="s">
        <v>2148</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opLeftCell="A13" workbookViewId="0">
      <selection activeCell="A2" sqref="A2"/>
    </sheetView>
  </sheetViews>
  <sheetFormatPr defaultColWidth="9" defaultRowHeight="30" customHeight="1"/>
  <cols>
    <col min="1" max="1" width="80.625" style="418" customWidth="1"/>
    <col min="2" max="16384" width="9" style="418"/>
  </cols>
  <sheetData>
    <row r="1" s="421" customFormat="1" customHeight="1" spans="1:9">
      <c r="A1" s="80" t="s">
        <v>3</v>
      </c>
      <c r="B1" s="422"/>
      <c r="C1" s="422"/>
      <c r="D1" s="422"/>
      <c r="E1" s="422"/>
      <c r="F1" s="422"/>
      <c r="G1" s="422"/>
      <c r="H1" s="422"/>
      <c r="I1" s="422"/>
    </row>
    <row r="3" customHeight="1" spans="1:1">
      <c r="A3" s="395" t="s">
        <v>4</v>
      </c>
    </row>
    <row r="4" customHeight="1" spans="1:1">
      <c r="A4" s="418" t="s">
        <v>5</v>
      </c>
    </row>
    <row r="5" customHeight="1" spans="1:1">
      <c r="A5" s="418" t="s">
        <v>6</v>
      </c>
    </row>
    <row r="6" customHeight="1" spans="1:1">
      <c r="A6" s="418" t="s">
        <v>7</v>
      </c>
    </row>
    <row r="7" customHeight="1" spans="1:1">
      <c r="A7" s="418" t="s">
        <v>8</v>
      </c>
    </row>
    <row r="8" customHeight="1" spans="1:1">
      <c r="A8" s="395" t="s">
        <v>9</v>
      </c>
    </row>
    <row r="9" customHeight="1" spans="1:1">
      <c r="A9" s="418" t="s">
        <v>10</v>
      </c>
    </row>
    <row r="10" customHeight="1" spans="1:1">
      <c r="A10" s="418" t="s">
        <v>11</v>
      </c>
    </row>
    <row r="11" customHeight="1" spans="1:1">
      <c r="A11" s="418" t="s">
        <v>12</v>
      </c>
    </row>
    <row r="12" customHeight="1" spans="1:1">
      <c r="A12" s="418" t="s">
        <v>13</v>
      </c>
    </row>
    <row r="13" customHeight="1" spans="1:1">
      <c r="A13" s="395" t="s">
        <v>14</v>
      </c>
    </row>
    <row r="14" customHeight="1" spans="1:1">
      <c r="A14" s="418" t="s">
        <v>15</v>
      </c>
    </row>
    <row r="15" customHeight="1" spans="1:1">
      <c r="A15" s="418" t="s">
        <v>16</v>
      </c>
    </row>
    <row r="16" customHeight="1" spans="1:1">
      <c r="A16" s="395" t="s">
        <v>17</v>
      </c>
    </row>
    <row r="17" customHeight="1" spans="1:1">
      <c r="A17" s="418" t="s">
        <v>18</v>
      </c>
    </row>
    <row r="18" customHeight="1" spans="1:1">
      <c r="A18" s="418" t="s">
        <v>19</v>
      </c>
    </row>
    <row r="19" customHeight="1" spans="1:1">
      <c r="A19" s="395" t="s">
        <v>20</v>
      </c>
    </row>
    <row r="20" customHeight="1" spans="1:1">
      <c r="A20" s="418" t="s">
        <v>21</v>
      </c>
    </row>
  </sheetData>
  <printOptions horizontalCentered="1"/>
  <pageMargins left="0.786805555555556" right="0.786805555555556" top="0.786805555555556" bottom="0.786805555555556" header="0.196527777777778" footer="0.196527777777778"/>
  <pageSetup paperSize="9" scale="78" fitToWidth="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0"/>
  <sheetViews>
    <sheetView showZeros="0" workbookViewId="0">
      <pane xSplit="1" ySplit="6" topLeftCell="B7" activePane="bottomRight" state="frozen"/>
      <selection/>
      <selection pane="topRight"/>
      <selection pane="bottomLeft"/>
      <selection pane="bottomRight" activeCell="I37" sqref="F31:I37"/>
    </sheetView>
  </sheetViews>
  <sheetFormatPr defaultColWidth="9" defaultRowHeight="14.25"/>
  <cols>
    <col min="1" max="1" width="31.625" style="77" customWidth="1"/>
    <col min="2" max="7" width="10.625" style="180" customWidth="1"/>
    <col min="8" max="9" width="8.625" style="396" customWidth="1"/>
    <col min="10" max="10" width="25.625" style="77" customWidth="1"/>
    <col min="11" max="11" width="1.875" style="77" hidden="1" customWidth="1"/>
    <col min="12" max="12" width="9" style="77"/>
    <col min="13" max="13" width="12.625" style="77"/>
    <col min="14" max="16380" width="9" style="77"/>
    <col min="16381" max="16384" width="9" style="86"/>
  </cols>
  <sheetData>
    <row r="1" ht="20" customHeight="1" spans="1:1">
      <c r="A1" s="179" t="s">
        <v>22</v>
      </c>
    </row>
    <row r="2" ht="30" customHeight="1" spans="1:10">
      <c r="A2" s="80" t="s">
        <v>23</v>
      </c>
      <c r="B2" s="397"/>
      <c r="C2" s="397"/>
      <c r="D2" s="397"/>
      <c r="E2" s="397"/>
      <c r="F2" s="397"/>
      <c r="G2" s="397"/>
      <c r="H2" s="398"/>
      <c r="I2" s="398"/>
      <c r="J2" s="80"/>
    </row>
    <row r="3" s="72" customFormat="1" ht="20" customHeight="1" spans="2:10">
      <c r="B3" s="399"/>
      <c r="C3" s="399"/>
      <c r="D3" s="399"/>
      <c r="E3" s="399"/>
      <c r="F3" s="399"/>
      <c r="G3" s="399"/>
      <c r="H3" s="400"/>
      <c r="I3" s="400"/>
      <c r="J3" s="85" t="s">
        <v>24</v>
      </c>
    </row>
    <row r="4" s="318" customFormat="1" ht="25" customHeight="1" spans="1:10">
      <c r="A4" s="39" t="s">
        <v>25</v>
      </c>
      <c r="B4" s="401" t="s">
        <v>26</v>
      </c>
      <c r="C4" s="401"/>
      <c r="D4" s="401" t="s">
        <v>27</v>
      </c>
      <c r="E4" s="401"/>
      <c r="F4" s="401" t="s">
        <v>28</v>
      </c>
      <c r="G4" s="401"/>
      <c r="H4" s="402" t="s">
        <v>29</v>
      </c>
      <c r="I4" s="402"/>
      <c r="J4" s="416" t="s">
        <v>30</v>
      </c>
    </row>
    <row r="5" s="318" customFormat="1" ht="25" customHeight="1" spans="1:10">
      <c r="A5" s="403"/>
      <c r="B5" s="404"/>
      <c r="C5" s="404"/>
      <c r="D5" s="404"/>
      <c r="E5" s="404"/>
      <c r="F5" s="404"/>
      <c r="G5" s="404"/>
      <c r="H5" s="405"/>
      <c r="I5" s="405"/>
      <c r="J5" s="416"/>
    </row>
    <row r="6" s="318" customFormat="1" ht="25" customHeight="1" spans="1:10">
      <c r="A6" s="116"/>
      <c r="B6" s="401" t="s">
        <v>31</v>
      </c>
      <c r="C6" s="406" t="s">
        <v>32</v>
      </c>
      <c r="D6" s="401" t="s">
        <v>31</v>
      </c>
      <c r="E6" s="406" t="s">
        <v>32</v>
      </c>
      <c r="F6" s="401" t="s">
        <v>31</v>
      </c>
      <c r="G6" s="406" t="s">
        <v>32</v>
      </c>
      <c r="H6" s="407" t="s">
        <v>31</v>
      </c>
      <c r="I6" s="417" t="s">
        <v>32</v>
      </c>
      <c r="J6" s="38"/>
    </row>
    <row r="7" ht="25" customHeight="1" spans="1:10">
      <c r="A7" s="408" t="s">
        <v>33</v>
      </c>
      <c r="B7" s="42">
        <f t="shared" ref="B7:G7" si="0">SUM(B8:B23)</f>
        <v>160175</v>
      </c>
      <c r="C7" s="42">
        <f t="shared" si="0"/>
        <v>23165</v>
      </c>
      <c r="D7" s="42">
        <f t="shared" si="0"/>
        <v>-24533.95</v>
      </c>
      <c r="E7" s="42">
        <f t="shared" si="0"/>
        <v>1083.86</v>
      </c>
      <c r="F7" s="42">
        <f t="shared" si="0"/>
        <v>135641.05</v>
      </c>
      <c r="G7" s="42">
        <f>SUM(G8:G23)-1</f>
        <v>24247.86</v>
      </c>
      <c r="H7" s="42">
        <f t="shared" ref="H7:H44" si="1">IF(B7=0,IF(F7=0,0,100),100*(F7/B7-1))</f>
        <v>-15.3169658186359</v>
      </c>
      <c r="I7" s="42">
        <f t="shared" ref="I7:I27" si="2">IF(C7=0,IF(G7=0,0,100),100*(G7/C7-1))</f>
        <v>4.67455212605226</v>
      </c>
      <c r="J7" s="43"/>
    </row>
    <row r="8" ht="25" customHeight="1" spans="1:11">
      <c r="A8" s="429" t="s">
        <v>34</v>
      </c>
      <c r="B8" s="46">
        <v>47187</v>
      </c>
      <c r="C8" s="46">
        <v>3892</v>
      </c>
      <c r="D8" s="46">
        <f t="shared" ref="D8:D23" si="3">F8-B8</f>
        <v>-34179</v>
      </c>
      <c r="E8" s="46">
        <f t="shared" ref="E8:E23" si="4">G8-C8</f>
        <v>-2312</v>
      </c>
      <c r="F8" s="46">
        <f>12485+523</f>
        <v>13008</v>
      </c>
      <c r="G8" s="46">
        <f>1057+523</f>
        <v>1580</v>
      </c>
      <c r="H8" s="46">
        <f t="shared" si="1"/>
        <v>-72.4330853836862</v>
      </c>
      <c r="I8" s="46">
        <f t="shared" si="2"/>
        <v>-59.4039054470709</v>
      </c>
      <c r="J8" s="43" t="s">
        <v>35</v>
      </c>
      <c r="K8" s="418" t="s">
        <v>36</v>
      </c>
    </row>
    <row r="9" ht="25" customHeight="1" spans="1:10">
      <c r="A9" s="429" t="s">
        <v>37</v>
      </c>
      <c r="B9" s="46">
        <v>9</v>
      </c>
      <c r="C9" s="46">
        <v>0</v>
      </c>
      <c r="D9" s="46">
        <f t="shared" si="3"/>
        <v>1</v>
      </c>
      <c r="E9" s="46">
        <f t="shared" si="4"/>
        <v>0</v>
      </c>
      <c r="F9" s="46">
        <v>10</v>
      </c>
      <c r="G9" s="46">
        <v>0</v>
      </c>
      <c r="H9" s="46">
        <f t="shared" si="1"/>
        <v>11.1111111111111</v>
      </c>
      <c r="I9" s="46">
        <f t="shared" si="2"/>
        <v>0</v>
      </c>
      <c r="J9" s="43"/>
    </row>
    <row r="10" ht="25" customHeight="1" spans="1:11">
      <c r="A10" s="429" t="s">
        <v>38</v>
      </c>
      <c r="B10" s="46">
        <v>500</v>
      </c>
      <c r="C10" s="46">
        <v>0</v>
      </c>
      <c r="D10" s="46">
        <f t="shared" si="3"/>
        <v>27</v>
      </c>
      <c r="E10" s="46">
        <f t="shared" si="4"/>
        <v>0</v>
      </c>
      <c r="F10" s="46">
        <f>497+30</f>
        <v>527</v>
      </c>
      <c r="G10" s="46">
        <v>0</v>
      </c>
      <c r="H10" s="46">
        <f t="shared" si="1"/>
        <v>5.4</v>
      </c>
      <c r="I10" s="46">
        <f t="shared" si="2"/>
        <v>0</v>
      </c>
      <c r="J10" s="43"/>
      <c r="K10" s="418" t="s">
        <v>39</v>
      </c>
    </row>
    <row r="11" ht="25" customHeight="1" spans="1:11">
      <c r="A11" s="429" t="s">
        <v>40</v>
      </c>
      <c r="B11" s="46">
        <v>60980</v>
      </c>
      <c r="C11" s="46">
        <v>6098</v>
      </c>
      <c r="D11" s="46">
        <f t="shared" si="3"/>
        <v>470</v>
      </c>
      <c r="E11" s="46">
        <f t="shared" si="4"/>
        <v>-187</v>
      </c>
      <c r="F11" s="46">
        <v>61450</v>
      </c>
      <c r="G11" s="46">
        <f>5911</f>
        <v>5911</v>
      </c>
      <c r="H11" s="46">
        <f t="shared" si="1"/>
        <v>0.770744506395538</v>
      </c>
      <c r="I11" s="46">
        <f t="shared" si="2"/>
        <v>-3.06657920629715</v>
      </c>
      <c r="J11" s="43"/>
      <c r="K11" s="418" t="s">
        <v>36</v>
      </c>
    </row>
    <row r="12" ht="25" customHeight="1" spans="1:11">
      <c r="A12" s="429" t="s">
        <v>41</v>
      </c>
      <c r="B12" s="46">
        <v>9950</v>
      </c>
      <c r="C12" s="46">
        <v>995</v>
      </c>
      <c r="D12" s="46">
        <f t="shared" si="3"/>
        <v>-790</v>
      </c>
      <c r="E12" s="46">
        <f t="shared" si="4"/>
        <v>-79</v>
      </c>
      <c r="F12" s="46">
        <f>G12/0.1</f>
        <v>9160</v>
      </c>
      <c r="G12" s="46">
        <v>916</v>
      </c>
      <c r="H12" s="46">
        <f t="shared" si="1"/>
        <v>-7.93969849246231</v>
      </c>
      <c r="I12" s="46">
        <f t="shared" si="2"/>
        <v>-7.93969849246231</v>
      </c>
      <c r="J12" s="43"/>
      <c r="K12" s="418" t="s">
        <v>36</v>
      </c>
    </row>
    <row r="13" ht="25" customHeight="1" spans="1:11">
      <c r="A13" s="429" t="s">
        <v>42</v>
      </c>
      <c r="B13" s="46">
        <v>500</v>
      </c>
      <c r="C13" s="46">
        <v>500</v>
      </c>
      <c r="D13" s="46">
        <f t="shared" si="3"/>
        <v>120</v>
      </c>
      <c r="E13" s="46">
        <f t="shared" si="4"/>
        <v>120</v>
      </c>
      <c r="F13" s="46">
        <f>G13</f>
        <v>620</v>
      </c>
      <c r="G13" s="46">
        <v>620</v>
      </c>
      <c r="H13" s="46">
        <f t="shared" si="1"/>
        <v>24</v>
      </c>
      <c r="I13" s="46">
        <f t="shared" si="2"/>
        <v>24</v>
      </c>
      <c r="J13" s="43"/>
      <c r="K13" s="418" t="s">
        <v>43</v>
      </c>
    </row>
    <row r="14" ht="25" customHeight="1" spans="1:11">
      <c r="A14" s="429" t="s">
        <v>44</v>
      </c>
      <c r="B14" s="46">
        <v>5600</v>
      </c>
      <c r="C14" s="46">
        <v>2800</v>
      </c>
      <c r="D14" s="46">
        <f t="shared" si="3"/>
        <v>1240</v>
      </c>
      <c r="E14" s="46">
        <f t="shared" si="4"/>
        <v>620</v>
      </c>
      <c r="F14" s="46">
        <f>G14/0.5</f>
        <v>6840</v>
      </c>
      <c r="G14" s="46">
        <v>3420</v>
      </c>
      <c r="H14" s="46">
        <f t="shared" si="1"/>
        <v>22.1428571428572</v>
      </c>
      <c r="I14" s="46">
        <f t="shared" si="2"/>
        <v>22.1428571428572</v>
      </c>
      <c r="J14" s="43"/>
      <c r="K14" s="418" t="s">
        <v>36</v>
      </c>
    </row>
    <row r="15" ht="25" customHeight="1" spans="1:11">
      <c r="A15" s="429" t="s">
        <v>45</v>
      </c>
      <c r="B15" s="46">
        <v>1800</v>
      </c>
      <c r="C15" s="46">
        <v>900</v>
      </c>
      <c r="D15" s="46">
        <f t="shared" si="3"/>
        <v>4466</v>
      </c>
      <c r="E15" s="46">
        <f t="shared" si="4"/>
        <v>2233</v>
      </c>
      <c r="F15" s="46">
        <f>G15/0.5</f>
        <v>6266</v>
      </c>
      <c r="G15" s="46">
        <v>3133</v>
      </c>
      <c r="H15" s="46">
        <f t="shared" si="1"/>
        <v>248.111111111111</v>
      </c>
      <c r="I15" s="46">
        <f t="shared" si="2"/>
        <v>248.111111111111</v>
      </c>
      <c r="J15" s="43"/>
      <c r="K15" s="418" t="s">
        <v>36</v>
      </c>
    </row>
    <row r="16" ht="25" customHeight="1" spans="1:11">
      <c r="A16" s="429" t="s">
        <v>46</v>
      </c>
      <c r="B16" s="46">
        <v>2200</v>
      </c>
      <c r="C16" s="46">
        <v>2200</v>
      </c>
      <c r="D16" s="46">
        <f t="shared" si="3"/>
        <v>556.13</v>
      </c>
      <c r="E16" s="46">
        <f t="shared" si="4"/>
        <v>556.13</v>
      </c>
      <c r="F16" s="46">
        <f>G16</f>
        <v>2756.13</v>
      </c>
      <c r="G16" s="46">
        <v>2756.13</v>
      </c>
      <c r="H16" s="46">
        <f t="shared" si="1"/>
        <v>25.2786363636364</v>
      </c>
      <c r="I16" s="46">
        <f t="shared" si="2"/>
        <v>25.2786363636364</v>
      </c>
      <c r="J16" s="43"/>
      <c r="K16" s="418" t="s">
        <v>43</v>
      </c>
    </row>
    <row r="17" ht="25" customHeight="1" spans="1:11">
      <c r="A17" s="429" t="s">
        <v>47</v>
      </c>
      <c r="B17" s="46">
        <v>800</v>
      </c>
      <c r="C17" s="46">
        <v>0</v>
      </c>
      <c r="D17" s="46">
        <f t="shared" si="3"/>
        <v>3162</v>
      </c>
      <c r="E17" s="46">
        <f t="shared" si="4"/>
        <v>0</v>
      </c>
      <c r="F17" s="46">
        <f>2926+1036</f>
        <v>3962</v>
      </c>
      <c r="G17" s="46">
        <v>0</v>
      </c>
      <c r="H17" s="46">
        <f t="shared" si="1"/>
        <v>395.25</v>
      </c>
      <c r="I17" s="46">
        <f t="shared" si="2"/>
        <v>0</v>
      </c>
      <c r="J17" s="43"/>
      <c r="K17" s="418" t="s">
        <v>39</v>
      </c>
    </row>
    <row r="18" ht="25" customHeight="1" spans="1:11">
      <c r="A18" s="429" t="s">
        <v>48</v>
      </c>
      <c r="B18" s="46">
        <v>22000</v>
      </c>
      <c r="C18" s="46">
        <v>5500</v>
      </c>
      <c r="D18" s="46">
        <f t="shared" si="3"/>
        <v>462.52</v>
      </c>
      <c r="E18" s="46">
        <f t="shared" si="4"/>
        <v>115.63</v>
      </c>
      <c r="F18" s="46">
        <f>G18/0.25</f>
        <v>22462.52</v>
      </c>
      <c r="G18" s="46">
        <v>5615.63</v>
      </c>
      <c r="H18" s="46">
        <f t="shared" si="1"/>
        <v>2.10236363636365</v>
      </c>
      <c r="I18" s="46">
        <f t="shared" si="2"/>
        <v>2.10236363636365</v>
      </c>
      <c r="J18" s="43"/>
      <c r="K18" s="418" t="s">
        <v>36</v>
      </c>
    </row>
    <row r="19" ht="25" customHeight="1" spans="1:11">
      <c r="A19" s="429" t="s">
        <v>49</v>
      </c>
      <c r="B19" s="46">
        <v>3</v>
      </c>
      <c r="C19" s="46">
        <v>0</v>
      </c>
      <c r="D19" s="46">
        <f t="shared" si="3"/>
        <v>0</v>
      </c>
      <c r="E19" s="46">
        <f t="shared" si="4"/>
        <v>0</v>
      </c>
      <c r="F19" s="46">
        <v>3</v>
      </c>
      <c r="G19" s="46">
        <v>0</v>
      </c>
      <c r="H19" s="46">
        <f t="shared" si="1"/>
        <v>0</v>
      </c>
      <c r="I19" s="46">
        <f t="shared" si="2"/>
        <v>0</v>
      </c>
      <c r="J19" s="43"/>
      <c r="K19" s="418" t="s">
        <v>39</v>
      </c>
    </row>
    <row r="20" ht="25" customHeight="1" spans="1:11">
      <c r="A20" s="429" t="s">
        <v>50</v>
      </c>
      <c r="B20" s="46">
        <v>300</v>
      </c>
      <c r="C20" s="46">
        <v>150</v>
      </c>
      <c r="D20" s="46">
        <f t="shared" si="3"/>
        <v>-114</v>
      </c>
      <c r="E20" s="46">
        <f t="shared" si="4"/>
        <v>-57</v>
      </c>
      <c r="F20" s="46">
        <f t="shared" ref="F20:F25" si="5">G20/0.5</f>
        <v>186</v>
      </c>
      <c r="G20" s="46">
        <v>93</v>
      </c>
      <c r="H20" s="46">
        <f t="shared" si="1"/>
        <v>-38</v>
      </c>
      <c r="I20" s="46">
        <f t="shared" si="2"/>
        <v>-38</v>
      </c>
      <c r="J20" s="43"/>
      <c r="K20" s="418" t="s">
        <v>36</v>
      </c>
    </row>
    <row r="21" ht="25" customHeight="1" spans="1:11">
      <c r="A21" s="429" t="s">
        <v>51</v>
      </c>
      <c r="B21" s="46">
        <v>8086</v>
      </c>
      <c r="C21" s="46">
        <v>0</v>
      </c>
      <c r="D21" s="46">
        <f t="shared" si="3"/>
        <v>-394</v>
      </c>
      <c r="E21" s="46">
        <f t="shared" si="4"/>
        <v>0</v>
      </c>
      <c r="F21" s="46">
        <f>6927+765</f>
        <v>7692</v>
      </c>
      <c r="G21" s="46">
        <v>0</v>
      </c>
      <c r="H21" s="46">
        <f t="shared" si="1"/>
        <v>-4.87261934207272</v>
      </c>
      <c r="I21" s="46">
        <f t="shared" si="2"/>
        <v>0</v>
      </c>
      <c r="J21" s="43"/>
      <c r="K21" s="418" t="s">
        <v>39</v>
      </c>
    </row>
    <row r="22" ht="25" customHeight="1" spans="1:11">
      <c r="A22" s="429" t="s">
        <v>52</v>
      </c>
      <c r="B22" s="46">
        <v>260</v>
      </c>
      <c r="C22" s="46">
        <v>130</v>
      </c>
      <c r="D22" s="46">
        <f t="shared" si="3"/>
        <v>51.4</v>
      </c>
      <c r="E22" s="46">
        <f t="shared" si="4"/>
        <v>25.7</v>
      </c>
      <c r="F22" s="46">
        <f t="shared" si="5"/>
        <v>311.4</v>
      </c>
      <c r="G22" s="46">
        <v>155.7</v>
      </c>
      <c r="H22" s="46">
        <f t="shared" si="1"/>
        <v>19.7692307692308</v>
      </c>
      <c r="I22" s="46">
        <f t="shared" si="2"/>
        <v>19.7692307692308</v>
      </c>
      <c r="J22" s="43"/>
      <c r="K22" s="418" t="s">
        <v>36</v>
      </c>
    </row>
    <row r="23" ht="25" customHeight="1" spans="1:10">
      <c r="A23" s="429" t="s">
        <v>53</v>
      </c>
      <c r="B23" s="46">
        <v>0</v>
      </c>
      <c r="C23" s="46">
        <v>0</v>
      </c>
      <c r="D23" s="46">
        <f t="shared" si="3"/>
        <v>387</v>
      </c>
      <c r="E23" s="46">
        <f t="shared" si="4"/>
        <v>48.4</v>
      </c>
      <c r="F23" s="44">
        <v>387</v>
      </c>
      <c r="G23" s="44">
        <v>48.4</v>
      </c>
      <c r="H23" s="46">
        <f t="shared" si="1"/>
        <v>100</v>
      </c>
      <c r="I23" s="46">
        <f t="shared" si="2"/>
        <v>100</v>
      </c>
      <c r="J23" s="43"/>
    </row>
    <row r="24" ht="25" customHeight="1" spans="1:10">
      <c r="A24" s="408" t="s">
        <v>54</v>
      </c>
      <c r="B24" s="42">
        <v>16754.7318295739</v>
      </c>
      <c r="C24" s="42">
        <v>12852</v>
      </c>
      <c r="D24" s="42">
        <f>SUM(D25:D38)</f>
        <v>3029.51959899749</v>
      </c>
      <c r="E24" s="42">
        <f>SUM(E25:E38)</f>
        <v>5521.68</v>
      </c>
      <c r="F24" s="42">
        <f>SUM(F25:F38)+1</f>
        <v>22185.2514285714</v>
      </c>
      <c r="G24" s="42">
        <f>SUM(G25:G38)</f>
        <v>18373.68</v>
      </c>
      <c r="H24" s="42">
        <f t="shared" si="1"/>
        <v>32.4118562698335</v>
      </c>
      <c r="I24" s="42">
        <f t="shared" si="2"/>
        <v>42.9635854341737</v>
      </c>
      <c r="J24" s="53"/>
    </row>
    <row r="25" ht="25" customHeight="1" spans="1:11">
      <c r="A25" s="430" t="s">
        <v>55</v>
      </c>
      <c r="B25" s="46">
        <v>2400</v>
      </c>
      <c r="C25" s="46">
        <v>1200</v>
      </c>
      <c r="D25" s="46">
        <f>F25-B25</f>
        <v>466</v>
      </c>
      <c r="E25" s="46">
        <f>G25-C25</f>
        <v>233</v>
      </c>
      <c r="F25" s="46">
        <f t="shared" si="5"/>
        <v>2866</v>
      </c>
      <c r="G25" s="46">
        <f>1433</f>
        <v>1433</v>
      </c>
      <c r="H25" s="46">
        <f t="shared" si="1"/>
        <v>19.4166666666667</v>
      </c>
      <c r="I25" s="46">
        <f t="shared" si="2"/>
        <v>19.4166666666667</v>
      </c>
      <c r="J25" s="43"/>
      <c r="K25" s="418" t="s">
        <v>36</v>
      </c>
    </row>
    <row r="26" ht="25" customHeight="1" spans="1:11">
      <c r="A26" s="430" t="s">
        <v>56</v>
      </c>
      <c r="B26" s="46">
        <v>2285.71428571429</v>
      </c>
      <c r="C26" s="46">
        <v>800</v>
      </c>
      <c r="D26" s="46">
        <f>F26-B26</f>
        <v>-557.142857142861</v>
      </c>
      <c r="E26" s="46">
        <f>G26-C26</f>
        <v>-195</v>
      </c>
      <c r="F26" s="46">
        <f>G26/0.35</f>
        <v>1728.57142857143</v>
      </c>
      <c r="G26" s="46">
        <f>605</f>
        <v>605</v>
      </c>
      <c r="H26" s="46">
        <f t="shared" si="1"/>
        <v>-24.3750000000001</v>
      </c>
      <c r="I26" s="46">
        <f t="shared" si="2"/>
        <v>-24.375</v>
      </c>
      <c r="J26" s="43"/>
      <c r="K26" s="418" t="s">
        <v>36</v>
      </c>
    </row>
    <row r="27" ht="25" customHeight="1" spans="1:11">
      <c r="A27" s="430" t="s">
        <v>57</v>
      </c>
      <c r="B27" s="46"/>
      <c r="C27" s="46"/>
      <c r="D27" s="46">
        <f>F27-B27</f>
        <v>2200</v>
      </c>
      <c r="E27" s="46">
        <v>2200</v>
      </c>
      <c r="F27" s="46">
        <v>2200</v>
      </c>
      <c r="G27" s="46">
        <v>2200</v>
      </c>
      <c r="H27" s="46">
        <f t="shared" si="1"/>
        <v>100</v>
      </c>
      <c r="I27" s="46">
        <f t="shared" si="2"/>
        <v>100</v>
      </c>
      <c r="J27" s="43"/>
      <c r="K27" s="418"/>
    </row>
    <row r="28" ht="25" customHeight="1" spans="1:11">
      <c r="A28" s="430" t="s">
        <v>58</v>
      </c>
      <c r="B28" s="46"/>
      <c r="C28" s="46"/>
      <c r="D28" s="46"/>
      <c r="E28" s="46">
        <v>2400</v>
      </c>
      <c r="F28" s="46">
        <v>2400</v>
      </c>
      <c r="G28" s="46">
        <v>2400</v>
      </c>
      <c r="H28" s="46"/>
      <c r="I28" s="46"/>
      <c r="J28" s="43"/>
      <c r="K28" s="418"/>
    </row>
    <row r="29" ht="25" customHeight="1" spans="1:11">
      <c r="A29" s="430" t="s">
        <v>59</v>
      </c>
      <c r="B29" s="46">
        <v>62</v>
      </c>
      <c r="C29" s="46">
        <v>62</v>
      </c>
      <c r="D29" s="46">
        <f t="shared" ref="D29:D38" si="6">F29-B29</f>
        <v>-54.91</v>
      </c>
      <c r="E29" s="46">
        <f t="shared" ref="E29:E38" si="7">G29-C29</f>
        <v>-54.91</v>
      </c>
      <c r="F29" s="46">
        <f t="shared" ref="F29:F34" si="8">G29</f>
        <v>7.09</v>
      </c>
      <c r="G29" s="46">
        <v>7.09</v>
      </c>
      <c r="H29" s="46">
        <f t="shared" ref="H29:H45" si="9">IF(B29=0,IF(F29=0,0,100),100*(F29/B29-1))</f>
        <v>-88.5645161290323</v>
      </c>
      <c r="I29" s="46">
        <f t="shared" ref="I29:I50" si="10">IF(C29=0,IF(G29=0,0,100),100*(G29/C29-1))</f>
        <v>-88.5645161290323</v>
      </c>
      <c r="J29" s="43"/>
      <c r="K29" s="418"/>
    </row>
    <row r="30" ht="25" customHeight="1" spans="1:11">
      <c r="A30" s="430" t="s">
        <v>60</v>
      </c>
      <c r="B30" s="46">
        <v>50</v>
      </c>
      <c r="C30" s="46">
        <v>50</v>
      </c>
      <c r="D30" s="46">
        <f t="shared" si="6"/>
        <v>-35</v>
      </c>
      <c r="E30" s="46">
        <f t="shared" si="7"/>
        <v>-35</v>
      </c>
      <c r="F30" s="46">
        <v>15</v>
      </c>
      <c r="G30" s="46">
        <v>15</v>
      </c>
      <c r="H30" s="46">
        <f t="shared" si="9"/>
        <v>-70</v>
      </c>
      <c r="I30" s="46">
        <f t="shared" si="10"/>
        <v>-70</v>
      </c>
      <c r="J30" s="43"/>
      <c r="K30" s="418"/>
    </row>
    <row r="31" ht="25" customHeight="1" spans="1:11">
      <c r="A31" s="430" t="s">
        <v>61</v>
      </c>
      <c r="B31" s="46">
        <v>100</v>
      </c>
      <c r="C31" s="46">
        <v>100</v>
      </c>
      <c r="D31" s="46">
        <f t="shared" si="6"/>
        <v>-5</v>
      </c>
      <c r="E31" s="46">
        <f t="shared" si="7"/>
        <v>-5</v>
      </c>
      <c r="F31" s="46">
        <v>95</v>
      </c>
      <c r="G31" s="46">
        <v>95</v>
      </c>
      <c r="H31" s="46">
        <f t="shared" si="9"/>
        <v>-5</v>
      </c>
      <c r="I31" s="46">
        <f t="shared" si="10"/>
        <v>-5</v>
      </c>
      <c r="J31" s="43"/>
      <c r="K31" s="418"/>
    </row>
    <row r="32" ht="25" customHeight="1" spans="1:10">
      <c r="A32" s="430" t="s">
        <v>62</v>
      </c>
      <c r="B32" s="46">
        <v>1200</v>
      </c>
      <c r="C32" s="46">
        <v>1200</v>
      </c>
      <c r="D32" s="46">
        <f t="shared" si="6"/>
        <v>-249</v>
      </c>
      <c r="E32" s="46">
        <f t="shared" si="7"/>
        <v>-249</v>
      </c>
      <c r="F32" s="46">
        <f t="shared" si="8"/>
        <v>951</v>
      </c>
      <c r="G32" s="46">
        <v>951</v>
      </c>
      <c r="H32" s="46">
        <f t="shared" si="9"/>
        <v>-20.75</v>
      </c>
      <c r="I32" s="46">
        <f t="shared" si="10"/>
        <v>-20.75</v>
      </c>
      <c r="J32" s="43"/>
    </row>
    <row r="33" ht="25" customHeight="1" spans="1:10">
      <c r="A33" s="430" t="s">
        <v>63</v>
      </c>
      <c r="B33" s="46">
        <v>7500</v>
      </c>
      <c r="C33" s="46">
        <v>7500</v>
      </c>
      <c r="D33" s="46">
        <f t="shared" si="6"/>
        <v>-156.41</v>
      </c>
      <c r="E33" s="46">
        <f t="shared" si="7"/>
        <v>-156.41</v>
      </c>
      <c r="F33" s="46">
        <f t="shared" si="8"/>
        <v>7343.59</v>
      </c>
      <c r="G33" s="46">
        <v>7343.59</v>
      </c>
      <c r="H33" s="46">
        <f t="shared" si="9"/>
        <v>-2.08546666666667</v>
      </c>
      <c r="I33" s="46">
        <f t="shared" si="10"/>
        <v>-2.08546666666667</v>
      </c>
      <c r="J33" s="43"/>
    </row>
    <row r="34" ht="25" customHeight="1" spans="1:10">
      <c r="A34" s="430" t="s">
        <v>64</v>
      </c>
      <c r="B34" s="46">
        <v>100</v>
      </c>
      <c r="C34" s="46">
        <v>100</v>
      </c>
      <c r="D34" s="46">
        <f t="shared" si="6"/>
        <v>-100</v>
      </c>
      <c r="E34" s="46">
        <f t="shared" si="7"/>
        <v>-100</v>
      </c>
      <c r="F34" s="46">
        <f t="shared" si="8"/>
        <v>0</v>
      </c>
      <c r="G34" s="46"/>
      <c r="H34" s="46">
        <f t="shared" si="9"/>
        <v>-100</v>
      </c>
      <c r="I34" s="46">
        <f t="shared" si="10"/>
        <v>-100</v>
      </c>
      <c r="J34" s="43"/>
    </row>
    <row r="35" ht="25" customHeight="1" spans="1:10">
      <c r="A35" s="430" t="s">
        <v>65</v>
      </c>
      <c r="B35" s="46">
        <v>2807.01754385965</v>
      </c>
      <c r="C35" s="46">
        <v>1600</v>
      </c>
      <c r="D35" s="46">
        <f t="shared" si="6"/>
        <v>1297.98245614035</v>
      </c>
      <c r="E35" s="46">
        <f t="shared" si="7"/>
        <v>1261</v>
      </c>
      <c r="F35" s="46">
        <v>4105</v>
      </c>
      <c r="G35" s="46">
        <v>2861</v>
      </c>
      <c r="H35" s="46">
        <f t="shared" si="9"/>
        <v>46.240625</v>
      </c>
      <c r="I35" s="46">
        <f t="shared" si="10"/>
        <v>78.8125</v>
      </c>
      <c r="J35" s="43"/>
    </row>
    <row r="36" ht="25" customHeight="1" spans="1:10">
      <c r="A36" s="430" t="s">
        <v>66</v>
      </c>
      <c r="B36" s="46">
        <v>20</v>
      </c>
      <c r="C36" s="46">
        <v>20</v>
      </c>
      <c r="D36" s="46">
        <f t="shared" si="6"/>
        <v>-4</v>
      </c>
      <c r="E36" s="46">
        <f t="shared" si="7"/>
        <v>-4</v>
      </c>
      <c r="F36" s="46">
        <v>16</v>
      </c>
      <c r="G36" s="46">
        <v>16</v>
      </c>
      <c r="H36" s="46">
        <f t="shared" si="9"/>
        <v>-20</v>
      </c>
      <c r="I36" s="46">
        <f t="shared" si="10"/>
        <v>-20</v>
      </c>
      <c r="J36" s="43"/>
    </row>
    <row r="37" ht="25" customHeight="1" spans="1:10">
      <c r="A37" s="430" t="s">
        <v>67</v>
      </c>
      <c r="B37" s="46">
        <v>210</v>
      </c>
      <c r="C37" s="46">
        <v>200</v>
      </c>
      <c r="D37" s="46">
        <f t="shared" si="6"/>
        <v>77</v>
      </c>
      <c r="E37" s="46">
        <f t="shared" si="7"/>
        <v>77</v>
      </c>
      <c r="F37" s="46">
        <v>287</v>
      </c>
      <c r="G37" s="46">
        <v>277</v>
      </c>
      <c r="H37" s="46">
        <f t="shared" si="9"/>
        <v>36.6666666666667</v>
      </c>
      <c r="I37" s="46">
        <f t="shared" si="10"/>
        <v>38.5</v>
      </c>
      <c r="J37" s="43"/>
    </row>
    <row r="38" ht="25" customHeight="1" spans="1:10">
      <c r="A38" s="430" t="s">
        <v>68</v>
      </c>
      <c r="B38" s="46">
        <v>20</v>
      </c>
      <c r="C38" s="46">
        <v>20</v>
      </c>
      <c r="D38" s="46">
        <f t="shared" si="6"/>
        <v>150</v>
      </c>
      <c r="E38" s="46">
        <f t="shared" si="7"/>
        <v>150</v>
      </c>
      <c r="F38" s="46">
        <f>G38</f>
        <v>170</v>
      </c>
      <c r="G38" s="46">
        <f>170</f>
        <v>170</v>
      </c>
      <c r="H38" s="46">
        <f t="shared" si="9"/>
        <v>750</v>
      </c>
      <c r="I38" s="46">
        <f t="shared" si="10"/>
        <v>750</v>
      </c>
      <c r="J38" s="55"/>
    </row>
    <row r="39" s="395" customFormat="1" ht="25" customHeight="1" spans="1:10">
      <c r="A39" s="55" t="s">
        <v>69</v>
      </c>
      <c r="B39" s="42">
        <v>176929.731829574</v>
      </c>
      <c r="C39" s="42">
        <v>36017</v>
      </c>
      <c r="D39" s="42">
        <f t="shared" ref="D39:G39" si="11">+D7+D24</f>
        <v>-21504.4304010025</v>
      </c>
      <c r="E39" s="42">
        <f t="shared" si="11"/>
        <v>6605.54</v>
      </c>
      <c r="F39" s="42">
        <f t="shared" si="11"/>
        <v>157826.301428571</v>
      </c>
      <c r="G39" s="42">
        <f t="shared" si="11"/>
        <v>42621.54</v>
      </c>
      <c r="H39" s="46">
        <f t="shared" si="9"/>
        <v>-10.7971849634655</v>
      </c>
      <c r="I39" s="46">
        <f t="shared" si="10"/>
        <v>18.3372851708915</v>
      </c>
      <c r="J39" s="53"/>
    </row>
    <row r="40" ht="25" customHeight="1" spans="1:10">
      <c r="A40" s="431" t="s">
        <v>70</v>
      </c>
      <c r="B40" s="46">
        <v>165090.714285714</v>
      </c>
      <c r="C40" s="46">
        <v>25385</v>
      </c>
      <c r="D40" s="46">
        <f t="shared" ref="D40:D49" si="12">F40-B40</f>
        <v>-24502.0928571426</v>
      </c>
      <c r="E40" s="46">
        <f t="shared" ref="E40:E49" si="13">G40-C40</f>
        <v>1240.86</v>
      </c>
      <c r="F40" s="46">
        <f>+F7+F25+F26+F36+F37+12355+1-12306</f>
        <v>140588.621428571</v>
      </c>
      <c r="G40" s="46">
        <f>+G7+G25+G26+G36+G37+50-3</f>
        <v>26625.86</v>
      </c>
      <c r="H40" s="46">
        <f t="shared" si="9"/>
        <v>-14.8415935827487</v>
      </c>
      <c r="I40" s="46">
        <f t="shared" si="10"/>
        <v>4.88816230057123</v>
      </c>
      <c r="J40" s="419" t="s">
        <v>35</v>
      </c>
    </row>
    <row r="41" ht="25" customHeight="1" spans="1:10">
      <c r="A41" s="432" t="s">
        <v>71</v>
      </c>
      <c r="B41" s="411">
        <v>11839.0175438596</v>
      </c>
      <c r="C41" s="411">
        <v>10632</v>
      </c>
      <c r="D41" s="411">
        <f t="shared" si="12"/>
        <v>5397.6624561404</v>
      </c>
      <c r="E41" s="411">
        <f t="shared" si="13"/>
        <v>5363.68</v>
      </c>
      <c r="F41" s="411">
        <f>F29+F30+F31+F32+F33+F35+F38-50+F28+F27</f>
        <v>17236.68</v>
      </c>
      <c r="G41" s="411">
        <f>G29+G30+G31+G32+G33+G35+G38+G27-50+3+G28</f>
        <v>15995.68</v>
      </c>
      <c r="H41" s="411">
        <f t="shared" si="9"/>
        <v>45.5921484713057</v>
      </c>
      <c r="I41" s="411">
        <f t="shared" si="10"/>
        <v>50.4484574868322</v>
      </c>
      <c r="J41" s="410"/>
    </row>
    <row r="42" s="395" customFormat="1" ht="25" customHeight="1" spans="1:10">
      <c r="A42" s="408" t="s">
        <v>72</v>
      </c>
      <c r="B42" s="412">
        <v>0</v>
      </c>
      <c r="C42" s="412">
        <v>279946</v>
      </c>
      <c r="D42" s="412"/>
      <c r="E42" s="412">
        <f>SUM(E43:E49)</f>
        <v>-55029</v>
      </c>
      <c r="F42" s="413">
        <v>0</v>
      </c>
      <c r="G42" s="412">
        <f>SUM(G43:G49)</f>
        <v>224917</v>
      </c>
      <c r="H42" s="414">
        <f t="shared" si="9"/>
        <v>0</v>
      </c>
      <c r="I42" s="412">
        <f t="shared" si="10"/>
        <v>-19.6570052795896</v>
      </c>
      <c r="J42" s="420"/>
    </row>
    <row r="43" ht="25" customHeight="1" spans="1:10">
      <c r="A43" s="430" t="s">
        <v>73</v>
      </c>
      <c r="B43" s="46">
        <v>0</v>
      </c>
      <c r="C43" s="46">
        <v>48497</v>
      </c>
      <c r="D43" s="46">
        <f t="shared" si="12"/>
        <v>0</v>
      </c>
      <c r="E43" s="46">
        <f t="shared" si="13"/>
        <v>3217</v>
      </c>
      <c r="F43" s="44">
        <v>0</v>
      </c>
      <c r="G43" s="46">
        <v>51714</v>
      </c>
      <c r="H43" s="415">
        <f t="shared" si="9"/>
        <v>0</v>
      </c>
      <c r="I43" s="46">
        <f t="shared" si="10"/>
        <v>6.63340000412396</v>
      </c>
      <c r="J43" s="59"/>
    </row>
    <row r="44" ht="25" customHeight="1" spans="1:10">
      <c r="A44" s="430" t="s">
        <v>74</v>
      </c>
      <c r="B44" s="46">
        <v>0</v>
      </c>
      <c r="C44" s="46">
        <v>78498</v>
      </c>
      <c r="D44" s="46">
        <f t="shared" si="12"/>
        <v>0</v>
      </c>
      <c r="E44" s="46">
        <f t="shared" si="13"/>
        <v>7299</v>
      </c>
      <c r="F44" s="44">
        <v>0</v>
      </c>
      <c r="G44" s="46">
        <v>85797</v>
      </c>
      <c r="H44" s="415">
        <f t="shared" si="9"/>
        <v>0</v>
      </c>
      <c r="I44" s="46">
        <f t="shared" si="10"/>
        <v>9.29832607200183</v>
      </c>
      <c r="J44" s="59"/>
    </row>
    <row r="45" ht="25" customHeight="1" spans="1:10">
      <c r="A45" s="430" t="s">
        <v>75</v>
      </c>
      <c r="B45" s="46">
        <v>0</v>
      </c>
      <c r="C45" s="46">
        <v>7500</v>
      </c>
      <c r="D45" s="46">
        <f t="shared" si="12"/>
        <v>0</v>
      </c>
      <c r="E45" s="46">
        <f t="shared" si="13"/>
        <v>0</v>
      </c>
      <c r="F45" s="44">
        <v>0</v>
      </c>
      <c r="G45" s="46">
        <v>7500</v>
      </c>
      <c r="H45" s="415">
        <f t="shared" si="9"/>
        <v>0</v>
      </c>
      <c r="I45" s="46">
        <f t="shared" si="10"/>
        <v>0</v>
      </c>
      <c r="J45" s="59"/>
    </row>
    <row r="46" ht="25" customHeight="1" spans="1:10">
      <c r="A46" s="430" t="s">
        <v>76</v>
      </c>
      <c r="B46" s="46"/>
      <c r="C46" s="46">
        <v>10143</v>
      </c>
      <c r="D46" s="46">
        <f t="shared" si="12"/>
        <v>0</v>
      </c>
      <c r="E46" s="46">
        <f t="shared" si="13"/>
        <v>0</v>
      </c>
      <c r="F46" s="44"/>
      <c r="G46" s="46">
        <v>10143</v>
      </c>
      <c r="H46" s="415"/>
      <c r="I46" s="46">
        <f t="shared" si="10"/>
        <v>0</v>
      </c>
      <c r="J46" s="59"/>
    </row>
    <row r="47" ht="25" customHeight="1" spans="1:10">
      <c r="A47" s="430" t="s">
        <v>77</v>
      </c>
      <c r="B47" s="46">
        <v>0</v>
      </c>
      <c r="C47" s="46">
        <v>38343</v>
      </c>
      <c r="D47" s="46">
        <f t="shared" si="12"/>
        <v>0</v>
      </c>
      <c r="E47" s="46">
        <f t="shared" si="13"/>
        <v>0</v>
      </c>
      <c r="F47" s="44">
        <v>0</v>
      </c>
      <c r="G47" s="46">
        <v>38343</v>
      </c>
      <c r="H47" s="415">
        <f t="shared" ref="H47:H50" si="14">IF(B47=0,IF(F47=0,0,100),100*(F47/B47-1))</f>
        <v>0</v>
      </c>
      <c r="I47" s="46">
        <f t="shared" si="10"/>
        <v>0</v>
      </c>
      <c r="J47" s="59"/>
    </row>
    <row r="48" ht="25" customHeight="1" spans="1:10">
      <c r="A48" s="430" t="s">
        <v>78</v>
      </c>
      <c r="B48" s="46">
        <v>0</v>
      </c>
      <c r="C48" s="46">
        <v>540</v>
      </c>
      <c r="D48" s="46">
        <f t="shared" si="12"/>
        <v>0</v>
      </c>
      <c r="E48" s="46">
        <f t="shared" si="13"/>
        <v>0</v>
      </c>
      <c r="F48" s="44">
        <v>0</v>
      </c>
      <c r="G48" s="46">
        <v>540</v>
      </c>
      <c r="H48" s="415">
        <f t="shared" si="14"/>
        <v>0</v>
      </c>
      <c r="I48" s="46">
        <f t="shared" si="10"/>
        <v>0</v>
      </c>
      <c r="J48" s="59"/>
    </row>
    <row r="49" ht="25" customHeight="1" spans="1:10">
      <c r="A49" s="430" t="s">
        <v>79</v>
      </c>
      <c r="B49" s="46">
        <v>0</v>
      </c>
      <c r="C49" s="46">
        <v>96425</v>
      </c>
      <c r="D49" s="46">
        <f t="shared" si="12"/>
        <v>0</v>
      </c>
      <c r="E49" s="46">
        <f t="shared" si="13"/>
        <v>-65545</v>
      </c>
      <c r="F49" s="44">
        <v>0</v>
      </c>
      <c r="G49" s="46">
        <v>30880</v>
      </c>
      <c r="H49" s="415">
        <f t="shared" si="14"/>
        <v>0</v>
      </c>
      <c r="I49" s="46">
        <f t="shared" si="10"/>
        <v>-67.9751101892663</v>
      </c>
      <c r="J49" s="59"/>
    </row>
    <row r="50" s="73" customFormat="1" ht="25" customHeight="1" spans="1:10">
      <c r="A50" s="55" t="s">
        <v>80</v>
      </c>
      <c r="B50" s="42">
        <f t="shared" ref="B50:F50" si="15">B42+B39</f>
        <v>176929.731829574</v>
      </c>
      <c r="C50" s="42">
        <f t="shared" ref="C50:G50" si="16">+C39+C42</f>
        <v>315963</v>
      </c>
      <c r="D50" s="42">
        <f t="shared" si="15"/>
        <v>-21504.4304010025</v>
      </c>
      <c r="E50" s="42">
        <f t="shared" si="16"/>
        <v>-48423.46</v>
      </c>
      <c r="F50" s="42">
        <f>F42+F39</f>
        <v>157826.301428571</v>
      </c>
      <c r="G50" s="42">
        <f t="shared" si="16"/>
        <v>267538.54</v>
      </c>
      <c r="H50" s="42">
        <f t="shared" si="14"/>
        <v>-10.7971849634655</v>
      </c>
      <c r="I50" s="42">
        <f t="shared" si="10"/>
        <v>-15.3259907014429</v>
      </c>
      <c r="J50" s="55"/>
    </row>
  </sheetData>
  <mergeCells count="7">
    <mergeCell ref="A2:J2"/>
    <mergeCell ref="A4:A6"/>
    <mergeCell ref="J4:J6"/>
    <mergeCell ref="B4:C5"/>
    <mergeCell ref="D4:E5"/>
    <mergeCell ref="F4:G5"/>
    <mergeCell ref="H4:I5"/>
  </mergeCells>
  <printOptions horizontalCentered="1"/>
  <pageMargins left="0.393055555555556" right="0.393055555555556" top="0.590277777777778" bottom="0.590277777777778" header="0.196527777777778" footer="0.196527777777778"/>
  <pageSetup paperSize="9" scale="94"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64"/>
  <sheetViews>
    <sheetView showGridLines="0" showZeros="0" view="pageBreakPreview" zoomScaleNormal="100" workbookViewId="0">
      <pane ySplit="5" topLeftCell="A147" activePane="bottomLeft" state="frozen"/>
      <selection/>
      <selection pane="bottomLeft" activeCell="A3" sqref="A3"/>
    </sheetView>
  </sheetViews>
  <sheetFormatPr defaultColWidth="9" defaultRowHeight="25" customHeight="1"/>
  <cols>
    <col min="1" max="1" width="12.625" style="367" customWidth="1"/>
    <col min="2" max="2" width="38.625" style="368" customWidth="1"/>
    <col min="3" max="5" width="10.625" style="369" customWidth="1"/>
    <col min="6" max="6" width="10.625" style="5" customWidth="1"/>
    <col min="7" max="7" width="10.625" style="5" hidden="1" customWidth="1"/>
    <col min="8" max="14" width="10.625" style="5" customWidth="1"/>
    <col min="15" max="15" width="57.625" style="5" customWidth="1"/>
    <col min="16" max="16384" width="9" style="5"/>
  </cols>
  <sheetData>
    <row r="1" s="5" customFormat="1" customHeight="1" spans="1:11">
      <c r="A1" s="370" t="s">
        <v>81</v>
      </c>
      <c r="B1" s="371"/>
      <c r="C1" s="372"/>
      <c r="D1" s="372"/>
      <c r="E1" s="372"/>
      <c r="F1" s="372"/>
      <c r="G1" s="372"/>
      <c r="H1" s="372"/>
      <c r="I1" s="372"/>
      <c r="J1" s="382"/>
      <c r="K1" s="372"/>
    </row>
    <row r="2" s="2" customFormat="1" ht="30" customHeight="1" spans="1:15">
      <c r="A2" s="373" t="s">
        <v>82</v>
      </c>
      <c r="B2" s="373"/>
      <c r="C2" s="373"/>
      <c r="D2" s="373"/>
      <c r="E2" s="373"/>
      <c r="F2" s="373"/>
      <c r="G2" s="373"/>
      <c r="H2" s="373"/>
      <c r="I2" s="373"/>
      <c r="J2" s="373"/>
      <c r="K2" s="373"/>
      <c r="L2" s="373"/>
      <c r="M2" s="373"/>
      <c r="N2" s="373"/>
      <c r="O2" s="373"/>
    </row>
    <row r="3" s="5" customFormat="1" customHeight="1" spans="1:15">
      <c r="A3" s="374"/>
      <c r="B3" s="374"/>
      <c r="C3" s="375"/>
      <c r="D3" s="375"/>
      <c r="E3" s="375"/>
      <c r="F3" s="375"/>
      <c r="G3" s="375"/>
      <c r="H3" s="375"/>
      <c r="I3" s="375"/>
      <c r="J3" s="375"/>
      <c r="K3" s="375"/>
      <c r="L3" s="383"/>
      <c r="M3" s="384"/>
      <c r="O3" s="57" t="s">
        <v>24</v>
      </c>
    </row>
    <row r="4" s="5" customFormat="1" customHeight="1" spans="1:15">
      <c r="A4" s="144" t="s">
        <v>83</v>
      </c>
      <c r="B4" s="144" t="s">
        <v>84</v>
      </c>
      <c r="C4" s="144" t="s">
        <v>26</v>
      </c>
      <c r="D4" s="144"/>
      <c r="E4" s="144"/>
      <c r="F4" s="265" t="s">
        <v>27</v>
      </c>
      <c r="G4" s="265"/>
      <c r="H4" s="265"/>
      <c r="I4" s="265"/>
      <c r="J4" s="265"/>
      <c r="K4" s="265" t="s">
        <v>28</v>
      </c>
      <c r="L4" s="265"/>
      <c r="M4" s="265"/>
      <c r="N4" s="376" t="s">
        <v>29</v>
      </c>
      <c r="O4" s="385" t="s">
        <v>30</v>
      </c>
    </row>
    <row r="5" s="5" customFormat="1" ht="30" customHeight="1" spans="1:15">
      <c r="A5" s="144"/>
      <c r="B5" s="144"/>
      <c r="C5" s="265" t="s">
        <v>85</v>
      </c>
      <c r="D5" s="265" t="s">
        <v>86</v>
      </c>
      <c r="E5" s="265" t="s">
        <v>87</v>
      </c>
      <c r="F5" s="376" t="s">
        <v>88</v>
      </c>
      <c r="G5" s="376" t="s">
        <v>89</v>
      </c>
      <c r="H5" s="144" t="s">
        <v>90</v>
      </c>
      <c r="I5" s="376" t="s">
        <v>91</v>
      </c>
      <c r="J5" s="265" t="s">
        <v>86</v>
      </c>
      <c r="K5" s="265" t="s">
        <v>85</v>
      </c>
      <c r="L5" s="265" t="s">
        <v>86</v>
      </c>
      <c r="M5" s="265" t="s">
        <v>87</v>
      </c>
      <c r="N5" s="376"/>
      <c r="O5" s="386"/>
    </row>
    <row r="6" s="366" customFormat="1" customHeight="1" spans="1:15">
      <c r="A6" s="377">
        <v>201</v>
      </c>
      <c r="B6" s="378" t="s">
        <v>92</v>
      </c>
      <c r="C6" s="379">
        <f t="shared" ref="C6:M6" si="0">C7+C13+C18+C21+C27+C34+C39+C41+C47+C52+C56+C59+C61+C63+C67+C72+C74+C78+C81+C85+C89+C95</f>
        <v>25061.68</v>
      </c>
      <c r="D6" s="379">
        <f t="shared" si="0"/>
        <v>4705.92</v>
      </c>
      <c r="E6" s="379">
        <f t="shared" si="0"/>
        <v>29767.6</v>
      </c>
      <c r="F6" s="379">
        <f t="shared" si="0"/>
        <v>-6744.411603</v>
      </c>
      <c r="G6" s="379">
        <f t="shared" si="0"/>
        <v>0</v>
      </c>
      <c r="H6" s="379">
        <f t="shared" si="0"/>
        <v>-113.188708</v>
      </c>
      <c r="I6" s="379">
        <f t="shared" si="0"/>
        <v>1349.2557</v>
      </c>
      <c r="J6" s="379">
        <f t="shared" si="0"/>
        <v>-267.03</v>
      </c>
      <c r="K6" s="379">
        <f t="shared" si="0"/>
        <v>19553.335389</v>
      </c>
      <c r="L6" s="379">
        <f t="shared" si="0"/>
        <v>4438.89</v>
      </c>
      <c r="M6" s="379">
        <f t="shared" si="0"/>
        <v>23992.225389</v>
      </c>
      <c r="N6" s="379">
        <f t="shared" ref="N6:N69" si="1">(M6-E6)/E6*100</f>
        <v>-19.4015460131149</v>
      </c>
      <c r="O6" s="387">
        <f>O7+O13+O18+O21+O27+O34+O39+O41+O47+O52+O56+O59+O61+O63+O67+O74+O78+O81+O85+O89+O95</f>
        <v>0</v>
      </c>
    </row>
    <row r="7" s="5" customFormat="1" customHeight="1" spans="1:15">
      <c r="A7" s="380">
        <v>20101</v>
      </c>
      <c r="B7" s="151" t="s">
        <v>93</v>
      </c>
      <c r="C7" s="83">
        <f t="shared" ref="C7:M7" si="2">SUM(C8:C12)</f>
        <v>865.91</v>
      </c>
      <c r="D7" s="83">
        <f t="shared" si="2"/>
        <v>107.325</v>
      </c>
      <c r="E7" s="83">
        <f t="shared" si="2"/>
        <v>973.235</v>
      </c>
      <c r="F7" s="83">
        <f t="shared" si="2"/>
        <v>-47.357082</v>
      </c>
      <c r="G7" s="381">
        <f t="shared" si="2"/>
        <v>0</v>
      </c>
      <c r="H7" s="83">
        <f t="shared" si="2"/>
        <v>-55.67719</v>
      </c>
      <c r="I7" s="83">
        <f t="shared" si="2"/>
        <v>96.6</v>
      </c>
      <c r="J7" s="83">
        <f t="shared" si="2"/>
        <v>-104.795</v>
      </c>
      <c r="K7" s="83">
        <f t="shared" si="2"/>
        <v>859.475728</v>
      </c>
      <c r="L7" s="83">
        <f t="shared" si="2"/>
        <v>2.53</v>
      </c>
      <c r="M7" s="83">
        <f t="shared" si="2"/>
        <v>862.005728</v>
      </c>
      <c r="N7" s="83">
        <f t="shared" si="1"/>
        <v>-11.4288195554003</v>
      </c>
      <c r="O7" s="388"/>
    </row>
    <row r="8" s="5" customFormat="1" customHeight="1" spans="1:15">
      <c r="A8" s="380">
        <v>2010101</v>
      </c>
      <c r="B8" s="151" t="s">
        <v>94</v>
      </c>
      <c r="C8" s="83">
        <v>600.88</v>
      </c>
      <c r="D8" s="83">
        <v>0</v>
      </c>
      <c r="E8" s="83">
        <f t="shared" ref="E8:E12" si="3">C8+D8</f>
        <v>600.88</v>
      </c>
      <c r="F8" s="83">
        <v>-0.84</v>
      </c>
      <c r="G8" s="83"/>
      <c r="H8" s="83">
        <v>0</v>
      </c>
      <c r="I8" s="83">
        <v>96.6</v>
      </c>
      <c r="J8" s="83">
        <f t="shared" ref="J8:J12" si="4">L8-D8</f>
        <v>0</v>
      </c>
      <c r="K8" s="83">
        <f t="shared" ref="K8:K12" si="5">C8+F8+G8+H8+I8</f>
        <v>696.64</v>
      </c>
      <c r="L8" s="83"/>
      <c r="M8" s="83">
        <f t="shared" ref="M8:M12" si="6">K8+L8</f>
        <v>696.64</v>
      </c>
      <c r="N8" s="83">
        <f t="shared" si="1"/>
        <v>15.9366262814539</v>
      </c>
      <c r="O8" s="220" t="s">
        <v>95</v>
      </c>
    </row>
    <row r="9" s="5" customFormat="1" customHeight="1" spans="1:15">
      <c r="A9" s="380">
        <v>2010104</v>
      </c>
      <c r="B9" s="151" t="s">
        <v>96</v>
      </c>
      <c r="C9" s="83">
        <v>16</v>
      </c>
      <c r="D9" s="83">
        <v>0</v>
      </c>
      <c r="E9" s="83">
        <f t="shared" si="3"/>
        <v>16</v>
      </c>
      <c r="F9" s="83">
        <v>-0.11275</v>
      </c>
      <c r="G9" s="83"/>
      <c r="H9" s="83">
        <v>0</v>
      </c>
      <c r="I9" s="83">
        <v>0</v>
      </c>
      <c r="J9" s="83">
        <f t="shared" si="4"/>
        <v>0</v>
      </c>
      <c r="K9" s="83">
        <f t="shared" si="5"/>
        <v>15.88725</v>
      </c>
      <c r="L9" s="83"/>
      <c r="M9" s="83">
        <f t="shared" si="6"/>
        <v>15.88725</v>
      </c>
      <c r="N9" s="83">
        <f t="shared" si="1"/>
        <v>-0.704687500000001</v>
      </c>
      <c r="O9" s="220"/>
    </row>
    <row r="10" s="5" customFormat="1" customHeight="1" spans="1:15">
      <c r="A10" s="380">
        <v>2010106</v>
      </c>
      <c r="B10" s="151" t="s">
        <v>97</v>
      </c>
      <c r="C10" s="83">
        <v>2</v>
      </c>
      <c r="D10" s="83">
        <v>0</v>
      </c>
      <c r="E10" s="83">
        <f t="shared" si="3"/>
        <v>2</v>
      </c>
      <c r="F10" s="83">
        <v>-1.319352</v>
      </c>
      <c r="G10" s="83"/>
      <c r="H10" s="83">
        <v>0</v>
      </c>
      <c r="I10" s="83">
        <v>0</v>
      </c>
      <c r="J10" s="83">
        <f t="shared" si="4"/>
        <v>0</v>
      </c>
      <c r="K10" s="83">
        <f t="shared" si="5"/>
        <v>0.680648</v>
      </c>
      <c r="L10" s="83"/>
      <c r="M10" s="83">
        <f t="shared" si="6"/>
        <v>0.680648</v>
      </c>
      <c r="N10" s="83">
        <f t="shared" si="1"/>
        <v>-65.9676</v>
      </c>
      <c r="O10" s="220"/>
    </row>
    <row r="11" s="5" customFormat="1" customHeight="1" spans="1:15">
      <c r="A11" s="380">
        <v>2010108</v>
      </c>
      <c r="B11" s="151" t="s">
        <v>98</v>
      </c>
      <c r="C11" s="83">
        <v>50.2</v>
      </c>
      <c r="D11" s="83">
        <v>0</v>
      </c>
      <c r="E11" s="83">
        <f t="shared" si="3"/>
        <v>50.2</v>
      </c>
      <c r="F11" s="83">
        <v>-9.89798</v>
      </c>
      <c r="G11" s="83"/>
      <c r="H11" s="83">
        <v>0</v>
      </c>
      <c r="I11" s="83">
        <v>0</v>
      </c>
      <c r="J11" s="83">
        <f t="shared" si="4"/>
        <v>0</v>
      </c>
      <c r="K11" s="83">
        <f t="shared" si="5"/>
        <v>40.30202</v>
      </c>
      <c r="L11" s="83"/>
      <c r="M11" s="83">
        <f t="shared" si="6"/>
        <v>40.30202</v>
      </c>
      <c r="N11" s="83">
        <f t="shared" si="1"/>
        <v>-19.7170916334661</v>
      </c>
      <c r="O11" s="220" t="s">
        <v>99</v>
      </c>
    </row>
    <row r="12" s="5" customFormat="1" customHeight="1" spans="1:15">
      <c r="A12" s="380">
        <v>2010199</v>
      </c>
      <c r="B12" s="151" t="s">
        <v>100</v>
      </c>
      <c r="C12" s="83">
        <v>196.83</v>
      </c>
      <c r="D12" s="83">
        <v>107.325</v>
      </c>
      <c r="E12" s="83">
        <f t="shared" si="3"/>
        <v>304.155</v>
      </c>
      <c r="F12" s="83">
        <v>-35.187</v>
      </c>
      <c r="G12" s="83"/>
      <c r="H12" s="83">
        <v>-55.67719</v>
      </c>
      <c r="I12" s="83">
        <v>0</v>
      </c>
      <c r="J12" s="83">
        <f t="shared" si="4"/>
        <v>-104.795</v>
      </c>
      <c r="K12" s="83">
        <f t="shared" si="5"/>
        <v>105.96581</v>
      </c>
      <c r="L12" s="83">
        <v>2.53</v>
      </c>
      <c r="M12" s="83">
        <f t="shared" si="6"/>
        <v>108.49581</v>
      </c>
      <c r="N12" s="83">
        <f t="shared" si="1"/>
        <v>-64.3287764462198</v>
      </c>
      <c r="O12" s="220" t="s">
        <v>101</v>
      </c>
    </row>
    <row r="13" s="5" customFormat="1" customHeight="1" spans="1:15">
      <c r="A13" s="380">
        <v>20102</v>
      </c>
      <c r="B13" s="151" t="s">
        <v>102</v>
      </c>
      <c r="C13" s="83">
        <f t="shared" ref="C13:M13" si="7">SUM(C14:C17)</f>
        <v>513.66</v>
      </c>
      <c r="D13" s="83">
        <f t="shared" si="7"/>
        <v>1</v>
      </c>
      <c r="E13" s="83">
        <f t="shared" si="7"/>
        <v>514.66</v>
      </c>
      <c r="F13" s="83">
        <f t="shared" si="7"/>
        <v>-80.711965</v>
      </c>
      <c r="G13" s="381">
        <f t="shared" si="7"/>
        <v>0</v>
      </c>
      <c r="H13" s="83">
        <f t="shared" si="7"/>
        <v>0</v>
      </c>
      <c r="I13" s="83">
        <f t="shared" si="7"/>
        <v>58.12</v>
      </c>
      <c r="J13" s="83">
        <f t="shared" si="7"/>
        <v>-1</v>
      </c>
      <c r="K13" s="83">
        <f t="shared" si="7"/>
        <v>491.068035</v>
      </c>
      <c r="L13" s="83">
        <f t="shared" si="7"/>
        <v>0</v>
      </c>
      <c r="M13" s="83">
        <f t="shared" si="7"/>
        <v>491.068035</v>
      </c>
      <c r="N13" s="83">
        <f t="shared" si="1"/>
        <v>-4.58399040143008</v>
      </c>
      <c r="O13" s="388"/>
    </row>
    <row r="14" s="5" customFormat="1" customHeight="1" spans="1:15">
      <c r="A14" s="380">
        <v>2010201</v>
      </c>
      <c r="B14" s="151" t="s">
        <v>94</v>
      </c>
      <c r="C14" s="83">
        <v>423.66</v>
      </c>
      <c r="D14" s="83">
        <v>0</v>
      </c>
      <c r="E14" s="83">
        <f t="shared" ref="E14:E17" si="8">C14+D14</f>
        <v>423.66</v>
      </c>
      <c r="F14" s="83">
        <v>-16.788925</v>
      </c>
      <c r="G14" s="83"/>
      <c r="H14" s="83">
        <v>0</v>
      </c>
      <c r="I14" s="83">
        <v>58.12</v>
      </c>
      <c r="J14" s="83">
        <f t="shared" ref="J14:J17" si="9">L14-D14</f>
        <v>0</v>
      </c>
      <c r="K14" s="83">
        <f t="shared" ref="K14:K17" si="10">C14+F14+G14+H14+I14</f>
        <v>464.991075</v>
      </c>
      <c r="L14" s="83"/>
      <c r="M14" s="83">
        <f t="shared" ref="M14:M17" si="11">K14+L14</f>
        <v>464.991075</v>
      </c>
      <c r="N14" s="83">
        <f t="shared" si="1"/>
        <v>9.75571802860784</v>
      </c>
      <c r="O14" s="220" t="s">
        <v>103</v>
      </c>
    </row>
    <row r="15" s="5" customFormat="1" customHeight="1" spans="1:15">
      <c r="A15" s="380">
        <v>2010204</v>
      </c>
      <c r="B15" s="151" t="s">
        <v>104</v>
      </c>
      <c r="C15" s="83">
        <v>22</v>
      </c>
      <c r="D15" s="83">
        <v>0</v>
      </c>
      <c r="E15" s="83">
        <f t="shared" si="8"/>
        <v>22</v>
      </c>
      <c r="F15" s="83">
        <v>-15.99624</v>
      </c>
      <c r="G15" s="83"/>
      <c r="H15" s="83">
        <v>0</v>
      </c>
      <c r="I15" s="83">
        <v>0</v>
      </c>
      <c r="J15" s="83">
        <f t="shared" si="9"/>
        <v>0</v>
      </c>
      <c r="K15" s="83">
        <f t="shared" si="10"/>
        <v>6.00376</v>
      </c>
      <c r="L15" s="83"/>
      <c r="M15" s="83">
        <f t="shared" si="11"/>
        <v>6.00376</v>
      </c>
      <c r="N15" s="83">
        <f t="shared" si="1"/>
        <v>-72.7101818181818</v>
      </c>
      <c r="O15" s="220" t="s">
        <v>105</v>
      </c>
    </row>
    <row r="16" s="5" customFormat="1" customHeight="1" spans="1:15">
      <c r="A16" s="380">
        <v>2010206</v>
      </c>
      <c r="B16" s="151" t="s">
        <v>106</v>
      </c>
      <c r="C16" s="83">
        <v>6</v>
      </c>
      <c r="D16" s="83">
        <v>0</v>
      </c>
      <c r="E16" s="83">
        <f t="shared" si="8"/>
        <v>6</v>
      </c>
      <c r="F16" s="83">
        <v>-3.7292</v>
      </c>
      <c r="G16" s="83">
        <v>0</v>
      </c>
      <c r="H16" s="83">
        <v>0</v>
      </c>
      <c r="I16" s="83">
        <v>0</v>
      </c>
      <c r="J16" s="83">
        <f t="shared" si="9"/>
        <v>0</v>
      </c>
      <c r="K16" s="83">
        <f t="shared" si="10"/>
        <v>2.2708</v>
      </c>
      <c r="L16" s="83"/>
      <c r="M16" s="83">
        <f t="shared" si="11"/>
        <v>2.2708</v>
      </c>
      <c r="N16" s="83">
        <f t="shared" si="1"/>
        <v>-62.1533333333333</v>
      </c>
      <c r="O16" s="220" t="s">
        <v>107</v>
      </c>
    </row>
    <row r="17" s="5" customFormat="1" customHeight="1" spans="1:15">
      <c r="A17" s="380">
        <v>2010299</v>
      </c>
      <c r="B17" s="151" t="s">
        <v>108</v>
      </c>
      <c r="C17" s="83">
        <v>62</v>
      </c>
      <c r="D17" s="83">
        <v>1</v>
      </c>
      <c r="E17" s="83">
        <f t="shared" si="8"/>
        <v>63</v>
      </c>
      <c r="F17" s="83">
        <v>-44.1976</v>
      </c>
      <c r="G17" s="83"/>
      <c r="H17" s="83">
        <v>0</v>
      </c>
      <c r="I17" s="83">
        <v>0</v>
      </c>
      <c r="J17" s="83">
        <f t="shared" si="9"/>
        <v>-1</v>
      </c>
      <c r="K17" s="83">
        <f t="shared" si="10"/>
        <v>17.8024</v>
      </c>
      <c r="L17" s="83"/>
      <c r="M17" s="83">
        <f t="shared" si="11"/>
        <v>17.8024</v>
      </c>
      <c r="N17" s="83">
        <f t="shared" si="1"/>
        <v>-71.7422222222222</v>
      </c>
      <c r="O17" s="220" t="s">
        <v>109</v>
      </c>
    </row>
    <row r="18" s="5" customFormat="1" customHeight="1" spans="1:15">
      <c r="A18" s="380">
        <v>20103</v>
      </c>
      <c r="B18" s="151" t="s">
        <v>110</v>
      </c>
      <c r="C18" s="83">
        <f t="shared" ref="C18:M18" si="12">SUM(C19:C20)</f>
        <v>3242.08</v>
      </c>
      <c r="D18" s="83">
        <f t="shared" si="12"/>
        <v>0</v>
      </c>
      <c r="E18" s="83">
        <f t="shared" si="12"/>
        <v>3242.08</v>
      </c>
      <c r="F18" s="83">
        <f t="shared" si="12"/>
        <v>-547.46561</v>
      </c>
      <c r="G18" s="381">
        <f t="shared" si="12"/>
        <v>0</v>
      </c>
      <c r="H18" s="83">
        <f t="shared" si="12"/>
        <v>0</v>
      </c>
      <c r="I18" s="83">
        <f t="shared" si="12"/>
        <v>163.05</v>
      </c>
      <c r="J18" s="83">
        <f t="shared" si="12"/>
        <v>0</v>
      </c>
      <c r="K18" s="83">
        <f t="shared" si="12"/>
        <v>2857.66439</v>
      </c>
      <c r="L18" s="83">
        <f t="shared" si="12"/>
        <v>0</v>
      </c>
      <c r="M18" s="83">
        <f t="shared" si="12"/>
        <v>2857.66439</v>
      </c>
      <c r="N18" s="83">
        <f t="shared" si="1"/>
        <v>-11.857067376499</v>
      </c>
      <c r="O18" s="388"/>
    </row>
    <row r="19" s="5" customFormat="1" customHeight="1" spans="1:15">
      <c r="A19" s="380">
        <v>2010301</v>
      </c>
      <c r="B19" s="151" t="s">
        <v>94</v>
      </c>
      <c r="C19" s="83">
        <v>1830.09</v>
      </c>
      <c r="D19" s="83">
        <v>0</v>
      </c>
      <c r="E19" s="83">
        <f t="shared" ref="E19:E26" si="13">C19+D19</f>
        <v>1830.09</v>
      </c>
      <c r="F19" s="83">
        <v>-70.59</v>
      </c>
      <c r="G19" s="83">
        <v>0</v>
      </c>
      <c r="H19" s="83">
        <v>0</v>
      </c>
      <c r="I19" s="83">
        <v>171.29</v>
      </c>
      <c r="J19" s="83">
        <f t="shared" ref="J19:J26" si="14">L19-D19</f>
        <v>0</v>
      </c>
      <c r="K19" s="83">
        <f t="shared" ref="K19:K26" si="15">C19+F19+G19+H19+I19</f>
        <v>1930.79</v>
      </c>
      <c r="L19" s="83"/>
      <c r="M19" s="83">
        <f t="shared" ref="M19:M26" si="16">K19+L19</f>
        <v>1930.79</v>
      </c>
      <c r="N19" s="83">
        <f t="shared" si="1"/>
        <v>5.50246162757023</v>
      </c>
      <c r="O19" s="220" t="s">
        <v>111</v>
      </c>
    </row>
    <row r="20" s="5" customFormat="1" customHeight="1" spans="1:15">
      <c r="A20" s="380">
        <v>2010399</v>
      </c>
      <c r="B20" s="151" t="s">
        <v>112</v>
      </c>
      <c r="C20" s="83">
        <v>1411.99</v>
      </c>
      <c r="D20" s="83">
        <v>0</v>
      </c>
      <c r="E20" s="83">
        <f t="shared" si="13"/>
        <v>1411.99</v>
      </c>
      <c r="F20" s="83">
        <v>-476.87561</v>
      </c>
      <c r="G20" s="83">
        <v>0</v>
      </c>
      <c r="H20" s="83">
        <v>0</v>
      </c>
      <c r="I20" s="83">
        <v>-8.24</v>
      </c>
      <c r="J20" s="83">
        <f t="shared" si="14"/>
        <v>0</v>
      </c>
      <c r="K20" s="83">
        <f t="shared" si="15"/>
        <v>926.87439</v>
      </c>
      <c r="L20" s="83"/>
      <c r="M20" s="83">
        <f t="shared" si="16"/>
        <v>926.87439</v>
      </c>
      <c r="N20" s="83">
        <f t="shared" si="1"/>
        <v>-34.3568729240292</v>
      </c>
      <c r="O20" s="220" t="s">
        <v>113</v>
      </c>
    </row>
    <row r="21" s="5" customFormat="1" customHeight="1" spans="1:15">
      <c r="A21" s="380">
        <v>20104</v>
      </c>
      <c r="B21" s="151" t="s">
        <v>114</v>
      </c>
      <c r="C21" s="83">
        <f t="shared" ref="C21:M21" si="17">SUM(C22:C26)</f>
        <v>1186.9</v>
      </c>
      <c r="D21" s="83">
        <f t="shared" si="17"/>
        <v>2167</v>
      </c>
      <c r="E21" s="83">
        <f t="shared" si="17"/>
        <v>3353.9</v>
      </c>
      <c r="F21" s="83">
        <f t="shared" si="17"/>
        <v>-282.91</v>
      </c>
      <c r="G21" s="381">
        <f t="shared" si="17"/>
        <v>0</v>
      </c>
      <c r="H21" s="83">
        <f t="shared" si="17"/>
        <v>0</v>
      </c>
      <c r="I21" s="83">
        <f t="shared" si="17"/>
        <v>59.64</v>
      </c>
      <c r="J21" s="83">
        <f t="shared" si="17"/>
        <v>-0.0900000000000001</v>
      </c>
      <c r="K21" s="83">
        <f t="shared" si="17"/>
        <v>963.63</v>
      </c>
      <c r="L21" s="83">
        <f t="shared" si="17"/>
        <v>2166.91</v>
      </c>
      <c r="M21" s="83">
        <f t="shared" si="17"/>
        <v>3130.54</v>
      </c>
      <c r="N21" s="83">
        <f t="shared" si="1"/>
        <v>-6.65970959181848</v>
      </c>
      <c r="O21" s="388"/>
    </row>
    <row r="22" s="5" customFormat="1" customHeight="1" spans="1:15">
      <c r="A22" s="380">
        <v>2010401</v>
      </c>
      <c r="B22" s="151" t="s">
        <v>94</v>
      </c>
      <c r="C22" s="83">
        <v>258.21</v>
      </c>
      <c r="D22" s="83">
        <v>0</v>
      </c>
      <c r="E22" s="83">
        <f t="shared" si="13"/>
        <v>258.21</v>
      </c>
      <c r="F22" s="83">
        <v>-13.47</v>
      </c>
      <c r="G22" s="83"/>
      <c r="H22" s="83">
        <v>0</v>
      </c>
      <c r="I22" s="83">
        <v>36.5</v>
      </c>
      <c r="J22" s="83">
        <f t="shared" si="14"/>
        <v>0</v>
      </c>
      <c r="K22" s="83">
        <f t="shared" si="15"/>
        <v>281.24</v>
      </c>
      <c r="L22" s="83"/>
      <c r="M22" s="83">
        <f t="shared" si="16"/>
        <v>281.24</v>
      </c>
      <c r="N22" s="83">
        <f t="shared" si="1"/>
        <v>8.91909685914567</v>
      </c>
      <c r="O22" s="220" t="s">
        <v>115</v>
      </c>
    </row>
    <row r="23" s="5" customFormat="1" customHeight="1" spans="1:15">
      <c r="A23" s="380">
        <v>2010402</v>
      </c>
      <c r="B23" s="151" t="s">
        <v>116</v>
      </c>
      <c r="C23" s="83">
        <v>1</v>
      </c>
      <c r="D23" s="83">
        <v>0</v>
      </c>
      <c r="E23" s="83">
        <f t="shared" si="13"/>
        <v>1</v>
      </c>
      <c r="F23" s="83">
        <v>0</v>
      </c>
      <c r="G23" s="83"/>
      <c r="H23" s="83">
        <v>0</v>
      </c>
      <c r="I23" s="83">
        <v>0</v>
      </c>
      <c r="J23" s="83">
        <f t="shared" si="14"/>
        <v>0</v>
      </c>
      <c r="K23" s="83">
        <f t="shared" si="15"/>
        <v>1</v>
      </c>
      <c r="L23" s="83"/>
      <c r="M23" s="83">
        <f t="shared" si="16"/>
        <v>1</v>
      </c>
      <c r="N23" s="83">
        <f t="shared" si="1"/>
        <v>0</v>
      </c>
      <c r="O23" s="220"/>
    </row>
    <row r="24" s="5" customFormat="1" customHeight="1" spans="1:15">
      <c r="A24" s="380">
        <v>2010404</v>
      </c>
      <c r="B24" s="151" t="s">
        <v>117</v>
      </c>
      <c r="C24" s="83">
        <v>3</v>
      </c>
      <c r="D24" s="83">
        <v>0</v>
      </c>
      <c r="E24" s="83">
        <f t="shared" si="13"/>
        <v>3</v>
      </c>
      <c r="F24" s="83">
        <v>-0.03</v>
      </c>
      <c r="G24" s="83"/>
      <c r="H24" s="83">
        <v>0</v>
      </c>
      <c r="I24" s="83">
        <v>0</v>
      </c>
      <c r="J24" s="83">
        <f t="shared" si="14"/>
        <v>0</v>
      </c>
      <c r="K24" s="83">
        <f t="shared" si="15"/>
        <v>2.97</v>
      </c>
      <c r="L24" s="83"/>
      <c r="M24" s="83">
        <f t="shared" si="16"/>
        <v>2.97</v>
      </c>
      <c r="N24" s="83">
        <f t="shared" si="1"/>
        <v>-0.999999999999993</v>
      </c>
      <c r="O24" s="220"/>
    </row>
    <row r="25" s="5" customFormat="1" customHeight="1" spans="1:15">
      <c r="A25" s="380">
        <v>2010408</v>
      </c>
      <c r="B25" s="151" t="s">
        <v>118</v>
      </c>
      <c r="C25" s="83"/>
      <c r="D25" s="83">
        <v>2</v>
      </c>
      <c r="E25" s="83">
        <f t="shared" si="13"/>
        <v>2</v>
      </c>
      <c r="F25" s="83"/>
      <c r="G25" s="83"/>
      <c r="H25" s="83"/>
      <c r="I25" s="83"/>
      <c r="J25" s="83">
        <f t="shared" si="14"/>
        <v>-0.0900000000000001</v>
      </c>
      <c r="K25" s="83">
        <f t="shared" si="15"/>
        <v>0</v>
      </c>
      <c r="L25" s="83">
        <v>1.91</v>
      </c>
      <c r="M25" s="83">
        <f t="shared" si="16"/>
        <v>1.91</v>
      </c>
      <c r="N25" s="83">
        <f t="shared" si="1"/>
        <v>-4.5</v>
      </c>
      <c r="O25" s="220"/>
    </row>
    <row r="26" s="5" customFormat="1" customHeight="1" spans="1:15">
      <c r="A26" s="380">
        <v>2010499</v>
      </c>
      <c r="B26" s="151" t="s">
        <v>119</v>
      </c>
      <c r="C26" s="83">
        <v>924.69</v>
      </c>
      <c r="D26" s="83">
        <v>2165</v>
      </c>
      <c r="E26" s="83">
        <f t="shared" si="13"/>
        <v>3089.69</v>
      </c>
      <c r="F26" s="83">
        <v>-269.41</v>
      </c>
      <c r="G26" s="83"/>
      <c r="H26" s="83">
        <v>0</v>
      </c>
      <c r="I26" s="83">
        <v>23.14</v>
      </c>
      <c r="J26" s="83">
        <f t="shared" si="14"/>
        <v>0</v>
      </c>
      <c r="K26" s="83">
        <f t="shared" si="15"/>
        <v>678.42</v>
      </c>
      <c r="L26" s="83">
        <v>2165</v>
      </c>
      <c r="M26" s="83">
        <f t="shared" si="16"/>
        <v>2843.42</v>
      </c>
      <c r="N26" s="83">
        <f t="shared" si="1"/>
        <v>-7.97070256239299</v>
      </c>
      <c r="O26" s="220" t="s">
        <v>120</v>
      </c>
    </row>
    <row r="27" s="5" customFormat="1" customHeight="1" spans="1:15">
      <c r="A27" s="380">
        <v>20105</v>
      </c>
      <c r="B27" s="151" t="s">
        <v>121</v>
      </c>
      <c r="C27" s="83">
        <f t="shared" ref="C27:M27" si="18">SUM(C28:C33)</f>
        <v>323.14</v>
      </c>
      <c r="D27" s="83">
        <f t="shared" si="18"/>
        <v>40</v>
      </c>
      <c r="E27" s="83">
        <f t="shared" si="18"/>
        <v>363.14</v>
      </c>
      <c r="F27" s="83">
        <f t="shared" si="18"/>
        <v>-21.55025</v>
      </c>
      <c r="G27" s="381">
        <f t="shared" si="18"/>
        <v>0</v>
      </c>
      <c r="H27" s="83">
        <f t="shared" si="18"/>
        <v>-35</v>
      </c>
      <c r="I27" s="83">
        <f t="shared" si="18"/>
        <v>33.4057</v>
      </c>
      <c r="J27" s="83">
        <f t="shared" si="18"/>
        <v>-27.25</v>
      </c>
      <c r="K27" s="83">
        <f t="shared" si="18"/>
        <v>299.99545</v>
      </c>
      <c r="L27" s="83">
        <f t="shared" si="18"/>
        <v>12.75</v>
      </c>
      <c r="M27" s="83">
        <f t="shared" si="18"/>
        <v>312.74545</v>
      </c>
      <c r="N27" s="83">
        <f t="shared" si="1"/>
        <v>-13.8774439610068</v>
      </c>
      <c r="O27" s="388"/>
    </row>
    <row r="28" s="5" customFormat="1" customHeight="1" spans="1:15">
      <c r="A28" s="380">
        <v>2010501</v>
      </c>
      <c r="B28" s="151" t="s">
        <v>94</v>
      </c>
      <c r="C28" s="83">
        <v>201.33</v>
      </c>
      <c r="D28" s="83">
        <v>0</v>
      </c>
      <c r="E28" s="83">
        <f t="shared" ref="E28:E33" si="19">C28+D28</f>
        <v>201.33</v>
      </c>
      <c r="F28" s="83">
        <v>-10.6118</v>
      </c>
      <c r="G28" s="83"/>
      <c r="H28" s="83">
        <v>0</v>
      </c>
      <c r="I28" s="83">
        <v>25.6822</v>
      </c>
      <c r="J28" s="83">
        <f t="shared" ref="J28:J33" si="20">L28-D28</f>
        <v>0</v>
      </c>
      <c r="K28" s="83">
        <f t="shared" ref="K28:K33" si="21">C28+F28+G28+H28+I28</f>
        <v>216.4004</v>
      </c>
      <c r="L28" s="83"/>
      <c r="M28" s="83">
        <f t="shared" ref="M28:M33" si="22">K28+L28</f>
        <v>216.4004</v>
      </c>
      <c r="N28" s="83">
        <f t="shared" si="1"/>
        <v>7.48542194407192</v>
      </c>
      <c r="O28" s="220" t="s">
        <v>115</v>
      </c>
    </row>
    <row r="29" s="5" customFormat="1" customHeight="1" spans="1:15">
      <c r="A29" s="380">
        <v>2010502</v>
      </c>
      <c r="B29" s="151" t="s">
        <v>116</v>
      </c>
      <c r="C29" s="83">
        <v>10</v>
      </c>
      <c r="D29" s="83">
        <v>0</v>
      </c>
      <c r="E29" s="83">
        <f t="shared" si="19"/>
        <v>10</v>
      </c>
      <c r="F29" s="83">
        <v>0</v>
      </c>
      <c r="G29" s="83"/>
      <c r="H29" s="83">
        <v>0</v>
      </c>
      <c r="I29" s="83">
        <v>0</v>
      </c>
      <c r="J29" s="83">
        <f t="shared" si="20"/>
        <v>0</v>
      </c>
      <c r="K29" s="83">
        <f t="shared" si="21"/>
        <v>10</v>
      </c>
      <c r="L29" s="83"/>
      <c r="M29" s="83">
        <f t="shared" si="22"/>
        <v>10</v>
      </c>
      <c r="N29" s="83">
        <f t="shared" si="1"/>
        <v>0</v>
      </c>
      <c r="O29" s="220"/>
    </row>
    <row r="30" s="5" customFormat="1" customHeight="1" spans="1:15">
      <c r="A30" s="380">
        <v>2010507</v>
      </c>
      <c r="B30" s="151" t="s">
        <v>122</v>
      </c>
      <c r="C30" s="83">
        <v>10</v>
      </c>
      <c r="D30" s="83">
        <v>0</v>
      </c>
      <c r="E30" s="83">
        <f t="shared" si="19"/>
        <v>10</v>
      </c>
      <c r="F30" s="83">
        <v>-10</v>
      </c>
      <c r="G30" s="83"/>
      <c r="H30" s="83">
        <v>0</v>
      </c>
      <c r="I30" s="83">
        <v>0</v>
      </c>
      <c r="J30" s="83">
        <f t="shared" si="20"/>
        <v>0</v>
      </c>
      <c r="K30" s="83">
        <f t="shared" si="21"/>
        <v>0</v>
      </c>
      <c r="L30" s="83"/>
      <c r="M30" s="83">
        <f t="shared" si="22"/>
        <v>0</v>
      </c>
      <c r="N30" s="83">
        <f t="shared" si="1"/>
        <v>-100</v>
      </c>
      <c r="O30" s="220" t="s">
        <v>123</v>
      </c>
    </row>
    <row r="31" s="5" customFormat="1" customHeight="1" spans="1:15">
      <c r="A31" s="380">
        <v>2010508</v>
      </c>
      <c r="B31" s="151" t="s">
        <v>124</v>
      </c>
      <c r="C31" s="83">
        <v>22</v>
      </c>
      <c r="D31" s="83">
        <v>0</v>
      </c>
      <c r="E31" s="83">
        <f t="shared" si="19"/>
        <v>22</v>
      </c>
      <c r="F31" s="83">
        <v>0</v>
      </c>
      <c r="G31" s="83"/>
      <c r="H31" s="83">
        <v>0</v>
      </c>
      <c r="I31" s="83">
        <v>0</v>
      </c>
      <c r="J31" s="83">
        <f t="shared" si="20"/>
        <v>0</v>
      </c>
      <c r="K31" s="83">
        <f t="shared" si="21"/>
        <v>22</v>
      </c>
      <c r="L31" s="83"/>
      <c r="M31" s="83">
        <f t="shared" si="22"/>
        <v>22</v>
      </c>
      <c r="N31" s="83">
        <f t="shared" si="1"/>
        <v>0</v>
      </c>
      <c r="O31" s="220"/>
    </row>
    <row r="32" s="5" customFormat="1" customHeight="1" spans="1:15">
      <c r="A32" s="380">
        <v>2010550</v>
      </c>
      <c r="B32" s="151" t="s">
        <v>125</v>
      </c>
      <c r="C32" s="83">
        <v>42.89</v>
      </c>
      <c r="D32" s="83">
        <v>0</v>
      </c>
      <c r="E32" s="83">
        <f t="shared" si="19"/>
        <v>42.89</v>
      </c>
      <c r="F32" s="83">
        <v>-0.93845</v>
      </c>
      <c r="G32" s="83">
        <v>0</v>
      </c>
      <c r="H32" s="83">
        <v>0</v>
      </c>
      <c r="I32" s="83">
        <v>7.7235</v>
      </c>
      <c r="J32" s="83">
        <f t="shared" si="20"/>
        <v>0</v>
      </c>
      <c r="K32" s="83">
        <f t="shared" si="21"/>
        <v>49.67505</v>
      </c>
      <c r="L32" s="83"/>
      <c r="M32" s="83">
        <f t="shared" si="22"/>
        <v>49.67505</v>
      </c>
      <c r="N32" s="83">
        <f t="shared" si="1"/>
        <v>15.8196549312194</v>
      </c>
      <c r="O32" s="220" t="s">
        <v>95</v>
      </c>
    </row>
    <row r="33" s="5" customFormat="1" customHeight="1" spans="1:15">
      <c r="A33" s="380">
        <v>2010599</v>
      </c>
      <c r="B33" s="151" t="s">
        <v>126</v>
      </c>
      <c r="C33" s="83">
        <v>36.92</v>
      </c>
      <c r="D33" s="83">
        <v>40</v>
      </c>
      <c r="E33" s="83">
        <f t="shared" si="19"/>
        <v>76.92</v>
      </c>
      <c r="F33" s="83">
        <v>0</v>
      </c>
      <c r="G33" s="83">
        <v>0</v>
      </c>
      <c r="H33" s="83">
        <v>-35</v>
      </c>
      <c r="I33" s="83">
        <v>0</v>
      </c>
      <c r="J33" s="83">
        <f t="shared" si="20"/>
        <v>-27.25</v>
      </c>
      <c r="K33" s="83">
        <f t="shared" si="21"/>
        <v>1.92</v>
      </c>
      <c r="L33" s="83">
        <v>12.75</v>
      </c>
      <c r="M33" s="83">
        <f t="shared" si="22"/>
        <v>14.67</v>
      </c>
      <c r="N33" s="83">
        <f t="shared" si="1"/>
        <v>-80.9282371294852</v>
      </c>
      <c r="O33" s="220" t="s">
        <v>127</v>
      </c>
    </row>
    <row r="34" s="5" customFormat="1" customHeight="1" spans="1:15">
      <c r="A34" s="380">
        <v>20106</v>
      </c>
      <c r="B34" s="151" t="s">
        <v>128</v>
      </c>
      <c r="C34" s="83">
        <f t="shared" ref="C34:M34" si="23">SUM(C35:C38)</f>
        <v>1984.87</v>
      </c>
      <c r="D34" s="83">
        <f t="shared" si="23"/>
        <v>33</v>
      </c>
      <c r="E34" s="83">
        <f t="shared" si="23"/>
        <v>2017.87</v>
      </c>
      <c r="F34" s="83">
        <f t="shared" si="23"/>
        <v>-752.690526</v>
      </c>
      <c r="G34" s="381">
        <f t="shared" si="23"/>
        <v>0</v>
      </c>
      <c r="H34" s="83">
        <f t="shared" si="23"/>
        <v>-0.962518</v>
      </c>
      <c r="I34" s="83">
        <f t="shared" si="23"/>
        <v>63.98</v>
      </c>
      <c r="J34" s="83">
        <f t="shared" si="23"/>
        <v>-28</v>
      </c>
      <c r="K34" s="83">
        <f t="shared" si="23"/>
        <v>1295.196956</v>
      </c>
      <c r="L34" s="83">
        <f t="shared" si="23"/>
        <v>5</v>
      </c>
      <c r="M34" s="83">
        <f t="shared" si="23"/>
        <v>1300.196956</v>
      </c>
      <c r="N34" s="83">
        <f t="shared" si="1"/>
        <v>-35.565871141352</v>
      </c>
      <c r="O34" s="388"/>
    </row>
    <row r="35" s="5" customFormat="1" customHeight="1" spans="1:15">
      <c r="A35" s="380">
        <v>2010601</v>
      </c>
      <c r="B35" s="151" t="s">
        <v>94</v>
      </c>
      <c r="C35" s="83">
        <v>609.82</v>
      </c>
      <c r="D35" s="83">
        <v>0</v>
      </c>
      <c r="E35" s="83">
        <f t="shared" ref="E35:E38" si="24">C35+D35</f>
        <v>609.82</v>
      </c>
      <c r="F35" s="83">
        <v>-9.56</v>
      </c>
      <c r="G35" s="83">
        <v>0</v>
      </c>
      <c r="H35" s="83">
        <v>0</v>
      </c>
      <c r="I35" s="83">
        <v>63.98</v>
      </c>
      <c r="J35" s="83">
        <f t="shared" ref="J35:J38" si="25">L35-D35</f>
        <v>0</v>
      </c>
      <c r="K35" s="83">
        <f t="shared" ref="K35:K38" si="26">C35+F35+G35+H35+I35</f>
        <v>664.24</v>
      </c>
      <c r="L35" s="83"/>
      <c r="M35" s="83">
        <f t="shared" ref="M35:M38" si="27">K35+L35</f>
        <v>664.24</v>
      </c>
      <c r="N35" s="83">
        <f t="shared" si="1"/>
        <v>8.92394477058805</v>
      </c>
      <c r="O35" s="220" t="s">
        <v>115</v>
      </c>
    </row>
    <row r="36" s="5" customFormat="1" customHeight="1" spans="1:15">
      <c r="A36" s="380">
        <v>2010607</v>
      </c>
      <c r="B36" s="151" t="s">
        <v>129</v>
      </c>
      <c r="C36" s="83">
        <v>114</v>
      </c>
      <c r="D36" s="83">
        <v>0</v>
      </c>
      <c r="E36" s="83">
        <f t="shared" si="24"/>
        <v>114</v>
      </c>
      <c r="F36" s="83">
        <v>-20.36</v>
      </c>
      <c r="G36" s="83">
        <v>0</v>
      </c>
      <c r="H36" s="83">
        <v>0</v>
      </c>
      <c r="I36" s="83">
        <v>0</v>
      </c>
      <c r="J36" s="83">
        <f t="shared" si="25"/>
        <v>0</v>
      </c>
      <c r="K36" s="83">
        <f t="shared" si="26"/>
        <v>93.64</v>
      </c>
      <c r="L36" s="83"/>
      <c r="M36" s="83">
        <f t="shared" si="27"/>
        <v>93.64</v>
      </c>
      <c r="N36" s="83">
        <f t="shared" si="1"/>
        <v>-17.859649122807</v>
      </c>
      <c r="O36" s="220" t="s">
        <v>130</v>
      </c>
    </row>
    <row r="37" s="5" customFormat="1" customHeight="1" spans="1:15">
      <c r="A37" s="380">
        <v>2010608</v>
      </c>
      <c r="B37" s="151" t="s">
        <v>131</v>
      </c>
      <c r="C37" s="83">
        <v>900</v>
      </c>
      <c r="D37" s="83">
        <v>0</v>
      </c>
      <c r="E37" s="83">
        <f t="shared" si="24"/>
        <v>900</v>
      </c>
      <c r="F37" s="83">
        <v>-573.12</v>
      </c>
      <c r="G37" s="83">
        <v>0</v>
      </c>
      <c r="H37" s="83">
        <v>0</v>
      </c>
      <c r="I37" s="83">
        <v>0</v>
      </c>
      <c r="J37" s="83">
        <f t="shared" si="25"/>
        <v>0</v>
      </c>
      <c r="K37" s="83">
        <f t="shared" si="26"/>
        <v>326.88</v>
      </c>
      <c r="L37" s="83"/>
      <c r="M37" s="83">
        <f t="shared" si="27"/>
        <v>326.88</v>
      </c>
      <c r="N37" s="83">
        <f t="shared" si="1"/>
        <v>-63.68</v>
      </c>
      <c r="O37" s="220" t="s">
        <v>132</v>
      </c>
    </row>
    <row r="38" s="5" customFormat="1" customHeight="1" spans="1:15">
      <c r="A38" s="380">
        <v>2010699</v>
      </c>
      <c r="B38" s="151" t="s">
        <v>133</v>
      </c>
      <c r="C38" s="83">
        <v>361.05</v>
      </c>
      <c r="D38" s="83">
        <v>33</v>
      </c>
      <c r="E38" s="83">
        <f t="shared" si="24"/>
        <v>394.05</v>
      </c>
      <c r="F38" s="83">
        <v>-149.650526</v>
      </c>
      <c r="G38" s="83">
        <v>0</v>
      </c>
      <c r="H38" s="83">
        <v>-0.962518</v>
      </c>
      <c r="I38" s="83">
        <v>0</v>
      </c>
      <c r="J38" s="83">
        <f t="shared" si="25"/>
        <v>-28</v>
      </c>
      <c r="K38" s="83">
        <f t="shared" si="26"/>
        <v>210.436956</v>
      </c>
      <c r="L38" s="83">
        <v>5</v>
      </c>
      <c r="M38" s="83">
        <f t="shared" si="27"/>
        <v>215.436956</v>
      </c>
      <c r="N38" s="83">
        <f t="shared" si="1"/>
        <v>-45.3275076766908</v>
      </c>
      <c r="O38" s="220" t="s">
        <v>134</v>
      </c>
    </row>
    <row r="39" s="5" customFormat="1" customHeight="1" spans="1:15">
      <c r="A39" s="380">
        <v>20107</v>
      </c>
      <c r="B39" s="151" t="s">
        <v>135</v>
      </c>
      <c r="C39" s="83">
        <f t="shared" ref="C39:M39" si="28">SUM(C40)</f>
        <v>5725</v>
      </c>
      <c r="D39" s="83">
        <f t="shared" si="28"/>
        <v>20.7</v>
      </c>
      <c r="E39" s="83">
        <f t="shared" si="28"/>
        <v>5745.7</v>
      </c>
      <c r="F39" s="83">
        <f t="shared" si="28"/>
        <v>-2695.7</v>
      </c>
      <c r="G39" s="381">
        <f t="shared" si="28"/>
        <v>0</v>
      </c>
      <c r="H39" s="83">
        <f t="shared" si="28"/>
        <v>0</v>
      </c>
      <c r="I39" s="83">
        <f t="shared" si="28"/>
        <v>0</v>
      </c>
      <c r="J39" s="83">
        <f t="shared" si="28"/>
        <v>0</v>
      </c>
      <c r="K39" s="83">
        <f t="shared" si="28"/>
        <v>3029.3</v>
      </c>
      <c r="L39" s="83">
        <f t="shared" si="28"/>
        <v>20.7</v>
      </c>
      <c r="M39" s="83">
        <f t="shared" si="28"/>
        <v>3050</v>
      </c>
      <c r="N39" s="83">
        <f t="shared" si="1"/>
        <v>-46.9168247559044</v>
      </c>
      <c r="O39" s="220"/>
    </row>
    <row r="40" s="5" customFormat="1" customHeight="1" spans="1:15">
      <c r="A40" s="380">
        <v>2010799</v>
      </c>
      <c r="B40" s="151" t="s">
        <v>135</v>
      </c>
      <c r="C40" s="83">
        <v>5725</v>
      </c>
      <c r="D40" s="83">
        <v>20.7</v>
      </c>
      <c r="E40" s="83">
        <f t="shared" ref="E40:E46" si="29">C40+D40</f>
        <v>5745.7</v>
      </c>
      <c r="F40" s="83">
        <v>-2695.7</v>
      </c>
      <c r="G40" s="83"/>
      <c r="H40" s="83">
        <v>0</v>
      </c>
      <c r="I40" s="83">
        <v>0</v>
      </c>
      <c r="J40" s="83">
        <f t="shared" ref="J40:J46" si="30">L40-D40</f>
        <v>0</v>
      </c>
      <c r="K40" s="83">
        <f t="shared" ref="K40:K46" si="31">C40+F40+G40+H40+I40</f>
        <v>3029.3</v>
      </c>
      <c r="L40" s="83">
        <v>20.7</v>
      </c>
      <c r="M40" s="83">
        <f t="shared" ref="M40:M46" si="32">K40+L40</f>
        <v>3050</v>
      </c>
      <c r="N40" s="83">
        <f t="shared" si="1"/>
        <v>-46.9168247559044</v>
      </c>
      <c r="O40" s="220" t="s">
        <v>136</v>
      </c>
    </row>
    <row r="41" s="5" customFormat="1" customHeight="1" spans="1:15">
      <c r="A41" s="380">
        <v>20108</v>
      </c>
      <c r="B41" s="151" t="s">
        <v>137</v>
      </c>
      <c r="C41" s="83">
        <f t="shared" ref="C41:M41" si="33">SUM(C42:C46)</f>
        <v>326.01</v>
      </c>
      <c r="D41" s="83">
        <f t="shared" si="33"/>
        <v>0</v>
      </c>
      <c r="E41" s="83">
        <f t="shared" si="33"/>
        <v>326.01</v>
      </c>
      <c r="F41" s="83">
        <f t="shared" si="33"/>
        <v>-48.645312</v>
      </c>
      <c r="G41" s="381">
        <f t="shared" si="33"/>
        <v>0</v>
      </c>
      <c r="H41" s="83">
        <f t="shared" si="33"/>
        <v>0</v>
      </c>
      <c r="I41" s="83">
        <f t="shared" si="33"/>
        <v>25.77</v>
      </c>
      <c r="J41" s="83">
        <f t="shared" si="33"/>
        <v>0</v>
      </c>
      <c r="K41" s="83">
        <f t="shared" si="33"/>
        <v>303.134688</v>
      </c>
      <c r="L41" s="83">
        <f t="shared" si="33"/>
        <v>0</v>
      </c>
      <c r="M41" s="83">
        <f t="shared" si="33"/>
        <v>303.134688</v>
      </c>
      <c r="N41" s="83">
        <f t="shared" si="1"/>
        <v>-7.01675163338548</v>
      </c>
      <c r="O41" s="388"/>
    </row>
    <row r="42" s="5" customFormat="1" customHeight="1" spans="1:15">
      <c r="A42" s="380">
        <v>2010801</v>
      </c>
      <c r="B42" s="151" t="s">
        <v>94</v>
      </c>
      <c r="C42" s="83">
        <v>196.79</v>
      </c>
      <c r="D42" s="83">
        <v>0</v>
      </c>
      <c r="E42" s="83">
        <f t="shared" si="29"/>
        <v>196.79</v>
      </c>
      <c r="F42" s="83">
        <v>-11.46</v>
      </c>
      <c r="G42" s="83"/>
      <c r="H42" s="83">
        <v>0</v>
      </c>
      <c r="I42" s="83">
        <v>15.88</v>
      </c>
      <c r="J42" s="83">
        <f t="shared" si="30"/>
        <v>0</v>
      </c>
      <c r="K42" s="83">
        <f t="shared" si="31"/>
        <v>201.21</v>
      </c>
      <c r="L42" s="83"/>
      <c r="M42" s="83">
        <f t="shared" si="32"/>
        <v>201.21</v>
      </c>
      <c r="N42" s="83">
        <f t="shared" si="1"/>
        <v>2.24604908786015</v>
      </c>
      <c r="O42" s="220" t="s">
        <v>138</v>
      </c>
    </row>
    <row r="43" s="5" customFormat="1" customHeight="1" spans="1:15">
      <c r="A43" s="380">
        <v>2010804</v>
      </c>
      <c r="B43" s="151" t="s">
        <v>139</v>
      </c>
      <c r="C43" s="83">
        <v>64.59</v>
      </c>
      <c r="D43" s="83">
        <v>0</v>
      </c>
      <c r="E43" s="83">
        <f t="shared" si="29"/>
        <v>64.59</v>
      </c>
      <c r="F43" s="83">
        <v>-16.485312</v>
      </c>
      <c r="G43" s="83"/>
      <c r="H43" s="83">
        <v>0</v>
      </c>
      <c r="I43" s="83">
        <v>0</v>
      </c>
      <c r="J43" s="83">
        <f t="shared" si="30"/>
        <v>0</v>
      </c>
      <c r="K43" s="83">
        <f t="shared" si="31"/>
        <v>48.104688</v>
      </c>
      <c r="L43" s="83"/>
      <c r="M43" s="83">
        <f t="shared" si="32"/>
        <v>48.104688</v>
      </c>
      <c r="N43" s="83">
        <f t="shared" si="1"/>
        <v>-25.5230097538319</v>
      </c>
      <c r="O43" s="220" t="s">
        <v>140</v>
      </c>
    </row>
    <row r="44" s="5" customFormat="1" customHeight="1" spans="1:15">
      <c r="A44" s="380">
        <v>2010806</v>
      </c>
      <c r="B44" s="151" t="s">
        <v>129</v>
      </c>
      <c r="C44" s="83">
        <v>2</v>
      </c>
      <c r="D44" s="83">
        <v>0</v>
      </c>
      <c r="E44" s="83">
        <f t="shared" si="29"/>
        <v>2</v>
      </c>
      <c r="F44" s="83">
        <v>-0.28</v>
      </c>
      <c r="G44" s="83"/>
      <c r="H44" s="83">
        <v>0</v>
      </c>
      <c r="I44" s="83">
        <v>0</v>
      </c>
      <c r="J44" s="83">
        <f t="shared" si="30"/>
        <v>0</v>
      </c>
      <c r="K44" s="83">
        <f t="shared" si="31"/>
        <v>1.72</v>
      </c>
      <c r="L44" s="83"/>
      <c r="M44" s="83">
        <f t="shared" si="32"/>
        <v>1.72</v>
      </c>
      <c r="N44" s="83">
        <f t="shared" si="1"/>
        <v>-14</v>
      </c>
      <c r="O44" s="220"/>
    </row>
    <row r="45" s="5" customFormat="1" customHeight="1" spans="1:15">
      <c r="A45" s="380">
        <v>2010850</v>
      </c>
      <c r="B45" s="151" t="s">
        <v>125</v>
      </c>
      <c r="C45" s="83">
        <v>44.63</v>
      </c>
      <c r="D45" s="83">
        <v>0</v>
      </c>
      <c r="E45" s="83">
        <f t="shared" si="29"/>
        <v>44.63</v>
      </c>
      <c r="F45" s="83">
        <v>-2.42</v>
      </c>
      <c r="G45" s="83">
        <v>0</v>
      </c>
      <c r="H45" s="83">
        <v>0</v>
      </c>
      <c r="I45" s="83">
        <v>9.89</v>
      </c>
      <c r="J45" s="83">
        <f t="shared" si="30"/>
        <v>0</v>
      </c>
      <c r="K45" s="83">
        <f t="shared" si="31"/>
        <v>52.1</v>
      </c>
      <c r="L45" s="83"/>
      <c r="M45" s="83">
        <f t="shared" si="32"/>
        <v>52.1</v>
      </c>
      <c r="N45" s="83">
        <f t="shared" si="1"/>
        <v>16.7376204346852</v>
      </c>
      <c r="O45" s="220" t="s">
        <v>115</v>
      </c>
    </row>
    <row r="46" s="5" customFormat="1" customHeight="1" spans="1:15">
      <c r="A46" s="380">
        <v>2010899</v>
      </c>
      <c r="B46" s="151" t="s">
        <v>141</v>
      </c>
      <c r="C46" s="83">
        <v>18</v>
      </c>
      <c r="D46" s="83">
        <v>0</v>
      </c>
      <c r="E46" s="83">
        <f t="shared" si="29"/>
        <v>18</v>
      </c>
      <c r="F46" s="83">
        <v>-18</v>
      </c>
      <c r="G46" s="83">
        <v>0</v>
      </c>
      <c r="H46" s="83">
        <v>0</v>
      </c>
      <c r="I46" s="83">
        <v>0</v>
      </c>
      <c r="J46" s="83">
        <f t="shared" si="30"/>
        <v>0</v>
      </c>
      <c r="K46" s="83">
        <f t="shared" si="31"/>
        <v>0</v>
      </c>
      <c r="L46" s="83"/>
      <c r="M46" s="83">
        <f t="shared" si="32"/>
        <v>0</v>
      </c>
      <c r="N46" s="83">
        <f t="shared" si="1"/>
        <v>-100</v>
      </c>
      <c r="O46" s="220" t="s">
        <v>142</v>
      </c>
    </row>
    <row r="47" s="5" customFormat="1" customHeight="1" spans="1:15">
      <c r="A47" s="380">
        <v>20111</v>
      </c>
      <c r="B47" s="151" t="s">
        <v>143</v>
      </c>
      <c r="C47" s="83">
        <f t="shared" ref="C47:M47" si="34">SUM(C48:C51)</f>
        <v>1001.82</v>
      </c>
      <c r="D47" s="83">
        <f t="shared" si="34"/>
        <v>10</v>
      </c>
      <c r="E47" s="83">
        <f t="shared" si="34"/>
        <v>1011.82</v>
      </c>
      <c r="F47" s="83">
        <f t="shared" si="34"/>
        <v>-18.124752</v>
      </c>
      <c r="G47" s="381">
        <f t="shared" si="34"/>
        <v>0</v>
      </c>
      <c r="H47" s="83">
        <f t="shared" si="34"/>
        <v>0</v>
      </c>
      <c r="I47" s="83">
        <f t="shared" si="34"/>
        <v>141.76</v>
      </c>
      <c r="J47" s="83">
        <f t="shared" si="34"/>
        <v>-10</v>
      </c>
      <c r="K47" s="83">
        <f t="shared" si="34"/>
        <v>1125.455248</v>
      </c>
      <c r="L47" s="83">
        <f t="shared" si="34"/>
        <v>0</v>
      </c>
      <c r="M47" s="83">
        <f t="shared" si="34"/>
        <v>1125.455248</v>
      </c>
      <c r="N47" s="83">
        <f t="shared" si="1"/>
        <v>11.2307770156747</v>
      </c>
      <c r="O47" s="388"/>
    </row>
    <row r="48" s="5" customFormat="1" customHeight="1" spans="1:15">
      <c r="A48" s="380">
        <v>2011001</v>
      </c>
      <c r="B48" s="151" t="s">
        <v>94</v>
      </c>
      <c r="C48" s="83">
        <v>881.08</v>
      </c>
      <c r="D48" s="83">
        <v>0</v>
      </c>
      <c r="E48" s="83">
        <f t="shared" ref="E48:E51" si="35">C48+D48</f>
        <v>881.08</v>
      </c>
      <c r="F48" s="83">
        <v>-6.78</v>
      </c>
      <c r="G48" s="83">
        <v>0</v>
      </c>
      <c r="H48" s="83">
        <v>0</v>
      </c>
      <c r="I48" s="83">
        <v>141.76</v>
      </c>
      <c r="J48" s="83">
        <f t="shared" ref="J48:J51" si="36">L48-D48</f>
        <v>0</v>
      </c>
      <c r="K48" s="83">
        <f t="shared" ref="K48:K51" si="37">C48+F48+G48+H48+I48</f>
        <v>1016.06</v>
      </c>
      <c r="L48" s="83"/>
      <c r="M48" s="83">
        <f t="shared" ref="M48:M51" si="38">K48+L48</f>
        <v>1016.06</v>
      </c>
      <c r="N48" s="83">
        <f t="shared" si="1"/>
        <v>15.3198347482635</v>
      </c>
      <c r="O48" s="220" t="s">
        <v>115</v>
      </c>
    </row>
    <row r="49" s="5" customFormat="1" customHeight="1" spans="1:15">
      <c r="A49" s="380" t="s">
        <v>144</v>
      </c>
      <c r="B49" s="151" t="s">
        <v>145</v>
      </c>
      <c r="C49" s="83">
        <v>10</v>
      </c>
      <c r="D49" s="83"/>
      <c r="E49" s="83">
        <f t="shared" si="35"/>
        <v>10</v>
      </c>
      <c r="F49" s="83">
        <v>-3</v>
      </c>
      <c r="G49" s="83"/>
      <c r="H49" s="83">
        <v>0</v>
      </c>
      <c r="I49" s="83">
        <v>0</v>
      </c>
      <c r="J49" s="83">
        <f t="shared" si="36"/>
        <v>0</v>
      </c>
      <c r="K49" s="83">
        <f t="shared" si="37"/>
        <v>7</v>
      </c>
      <c r="L49" s="83"/>
      <c r="M49" s="83">
        <f t="shared" si="38"/>
        <v>7</v>
      </c>
      <c r="N49" s="83">
        <f t="shared" si="1"/>
        <v>-30</v>
      </c>
      <c r="O49" s="220" t="s">
        <v>146</v>
      </c>
    </row>
    <row r="50" s="5" customFormat="1" customHeight="1" spans="1:15">
      <c r="A50" s="380" t="s">
        <v>147</v>
      </c>
      <c r="B50" s="151" t="s">
        <v>148</v>
      </c>
      <c r="C50" s="83">
        <v>19</v>
      </c>
      <c r="D50" s="83"/>
      <c r="E50" s="83">
        <f t="shared" si="35"/>
        <v>19</v>
      </c>
      <c r="F50" s="83">
        <v>0</v>
      </c>
      <c r="G50" s="83"/>
      <c r="H50" s="83">
        <v>0</v>
      </c>
      <c r="I50" s="83">
        <v>0</v>
      </c>
      <c r="J50" s="83">
        <f t="shared" si="36"/>
        <v>0</v>
      </c>
      <c r="K50" s="83">
        <f t="shared" si="37"/>
        <v>19</v>
      </c>
      <c r="L50" s="83"/>
      <c r="M50" s="83">
        <f t="shared" si="38"/>
        <v>19</v>
      </c>
      <c r="N50" s="83">
        <f t="shared" si="1"/>
        <v>0</v>
      </c>
      <c r="O50" s="220"/>
    </row>
    <row r="51" s="5" customFormat="1" customHeight="1" spans="1:15">
      <c r="A51" s="380">
        <v>2011199</v>
      </c>
      <c r="B51" s="151" t="s">
        <v>149</v>
      </c>
      <c r="C51" s="83">
        <v>91.74</v>
      </c>
      <c r="D51" s="83">
        <v>10</v>
      </c>
      <c r="E51" s="83">
        <f t="shared" si="35"/>
        <v>101.74</v>
      </c>
      <c r="F51" s="83">
        <v>-8.344752</v>
      </c>
      <c r="G51" s="83">
        <v>0</v>
      </c>
      <c r="H51" s="83">
        <v>0</v>
      </c>
      <c r="I51" s="83">
        <v>0</v>
      </c>
      <c r="J51" s="83">
        <f t="shared" si="36"/>
        <v>-10</v>
      </c>
      <c r="K51" s="83">
        <f t="shared" si="37"/>
        <v>83.395248</v>
      </c>
      <c r="L51" s="83"/>
      <c r="M51" s="83">
        <f t="shared" si="38"/>
        <v>83.395248</v>
      </c>
      <c r="N51" s="83">
        <f t="shared" si="1"/>
        <v>-18.0310123845095</v>
      </c>
      <c r="O51" s="220" t="s">
        <v>150</v>
      </c>
    </row>
    <row r="52" s="5" customFormat="1" customHeight="1" spans="1:15">
      <c r="A52" s="380">
        <v>20113</v>
      </c>
      <c r="B52" s="151" t="s">
        <v>151</v>
      </c>
      <c r="C52" s="83">
        <f t="shared" ref="C52:M52" si="39">SUM(C53:C55)</f>
        <v>860.51</v>
      </c>
      <c r="D52" s="83">
        <f t="shared" si="39"/>
        <v>0</v>
      </c>
      <c r="E52" s="83">
        <f t="shared" si="39"/>
        <v>860.51</v>
      </c>
      <c r="F52" s="83">
        <f t="shared" si="39"/>
        <v>-103.990789</v>
      </c>
      <c r="G52" s="381">
        <f t="shared" si="39"/>
        <v>0</v>
      </c>
      <c r="H52" s="83">
        <f t="shared" si="39"/>
        <v>0</v>
      </c>
      <c r="I52" s="83">
        <f t="shared" si="39"/>
        <v>127.63</v>
      </c>
      <c r="J52" s="83">
        <f t="shared" si="39"/>
        <v>0</v>
      </c>
      <c r="K52" s="83">
        <f t="shared" si="39"/>
        <v>884.149211</v>
      </c>
      <c r="L52" s="83">
        <f t="shared" si="39"/>
        <v>0</v>
      </c>
      <c r="M52" s="83">
        <f t="shared" si="39"/>
        <v>884.149211</v>
      </c>
      <c r="N52" s="83">
        <f t="shared" si="1"/>
        <v>2.74711636122764</v>
      </c>
      <c r="O52" s="388"/>
    </row>
    <row r="53" s="5" customFormat="1" customHeight="1" spans="1:15">
      <c r="A53" s="380">
        <v>2011301</v>
      </c>
      <c r="B53" s="151" t="s">
        <v>94</v>
      </c>
      <c r="C53" s="83">
        <v>327.96</v>
      </c>
      <c r="D53" s="83">
        <v>0</v>
      </c>
      <c r="E53" s="83">
        <f t="shared" ref="E53:E55" si="40">C53+D53</f>
        <v>327.96</v>
      </c>
      <c r="F53" s="83">
        <v>-22.37</v>
      </c>
      <c r="G53" s="83">
        <v>0</v>
      </c>
      <c r="H53" s="83">
        <v>0</v>
      </c>
      <c r="I53" s="83">
        <v>66.38</v>
      </c>
      <c r="J53" s="83">
        <f t="shared" ref="J53:J55" si="41">L53-D53</f>
        <v>0</v>
      </c>
      <c r="K53" s="83">
        <f t="shared" ref="K53:K55" si="42">C53+F53+G53+H53+I53</f>
        <v>371.97</v>
      </c>
      <c r="L53" s="83"/>
      <c r="M53" s="83">
        <f t="shared" ref="M53:M55" si="43">K53+L53</f>
        <v>371.97</v>
      </c>
      <c r="N53" s="83">
        <f t="shared" si="1"/>
        <v>13.4193194291987</v>
      </c>
      <c r="O53" s="220" t="s">
        <v>115</v>
      </c>
    </row>
    <row r="54" s="5" customFormat="1" customHeight="1" spans="1:15">
      <c r="A54" s="380">
        <v>2011308</v>
      </c>
      <c r="B54" s="151" t="s">
        <v>152</v>
      </c>
      <c r="C54" s="83">
        <v>34</v>
      </c>
      <c r="D54" s="83">
        <v>0</v>
      </c>
      <c r="E54" s="83">
        <f t="shared" si="40"/>
        <v>34</v>
      </c>
      <c r="F54" s="83">
        <v>-10</v>
      </c>
      <c r="G54" s="83">
        <v>0</v>
      </c>
      <c r="H54" s="83">
        <v>0</v>
      </c>
      <c r="I54" s="83">
        <v>0</v>
      </c>
      <c r="J54" s="83">
        <f t="shared" si="41"/>
        <v>0</v>
      </c>
      <c r="K54" s="83">
        <f t="shared" si="42"/>
        <v>24</v>
      </c>
      <c r="L54" s="83"/>
      <c r="M54" s="83">
        <f t="shared" si="43"/>
        <v>24</v>
      </c>
      <c r="N54" s="83">
        <f t="shared" si="1"/>
        <v>-29.4117647058824</v>
      </c>
      <c r="O54" s="220" t="s">
        <v>153</v>
      </c>
    </row>
    <row r="55" s="5" customFormat="1" customHeight="1" spans="1:15">
      <c r="A55" s="380">
        <v>2011399</v>
      </c>
      <c r="B55" s="151" t="s">
        <v>154</v>
      </c>
      <c r="C55" s="83">
        <v>498.55</v>
      </c>
      <c r="D55" s="83">
        <v>0</v>
      </c>
      <c r="E55" s="83">
        <f t="shared" si="40"/>
        <v>498.55</v>
      </c>
      <c r="F55" s="83">
        <v>-71.620789</v>
      </c>
      <c r="G55" s="83">
        <v>0</v>
      </c>
      <c r="H55" s="83">
        <v>0</v>
      </c>
      <c r="I55" s="83">
        <v>61.25</v>
      </c>
      <c r="J55" s="83">
        <f t="shared" si="41"/>
        <v>0</v>
      </c>
      <c r="K55" s="83">
        <f t="shared" si="42"/>
        <v>488.179211</v>
      </c>
      <c r="L55" s="83"/>
      <c r="M55" s="83">
        <f t="shared" si="43"/>
        <v>488.179211</v>
      </c>
      <c r="N55" s="83">
        <f t="shared" si="1"/>
        <v>-2.08019035202086</v>
      </c>
      <c r="O55" s="220" t="s">
        <v>115</v>
      </c>
    </row>
    <row r="56" s="5" customFormat="1" customHeight="1" spans="1:15">
      <c r="A56" s="380">
        <v>20114</v>
      </c>
      <c r="B56" s="151" t="s">
        <v>155</v>
      </c>
      <c r="C56" s="83">
        <f t="shared" ref="C56:M56" si="44">SUM(C57:C58)</f>
        <v>70.22</v>
      </c>
      <c r="D56" s="83">
        <f t="shared" si="44"/>
        <v>51</v>
      </c>
      <c r="E56" s="83">
        <f t="shared" si="44"/>
        <v>121.22</v>
      </c>
      <c r="F56" s="83">
        <f t="shared" si="44"/>
        <v>-15</v>
      </c>
      <c r="G56" s="381">
        <f t="shared" si="44"/>
        <v>0</v>
      </c>
      <c r="H56" s="83">
        <f t="shared" si="44"/>
        <v>-5</v>
      </c>
      <c r="I56" s="83">
        <f t="shared" si="44"/>
        <v>0</v>
      </c>
      <c r="J56" s="83">
        <f t="shared" si="44"/>
        <v>-16</v>
      </c>
      <c r="K56" s="83">
        <f t="shared" si="44"/>
        <v>50.22</v>
      </c>
      <c r="L56" s="83">
        <f t="shared" si="44"/>
        <v>35</v>
      </c>
      <c r="M56" s="83">
        <f t="shared" si="44"/>
        <v>85.22</v>
      </c>
      <c r="N56" s="83">
        <f t="shared" si="1"/>
        <v>-29.6980696254743</v>
      </c>
      <c r="O56" s="388"/>
    </row>
    <row r="57" s="5" customFormat="1" customHeight="1" spans="1:15">
      <c r="A57" s="380">
        <v>2011409</v>
      </c>
      <c r="B57" s="151" t="s">
        <v>156</v>
      </c>
      <c r="C57" s="83"/>
      <c r="D57" s="83">
        <v>35</v>
      </c>
      <c r="E57" s="83">
        <f t="shared" ref="E57:E60" si="45">C57+D57</f>
        <v>35</v>
      </c>
      <c r="F57" s="83"/>
      <c r="G57" s="83"/>
      <c r="H57" s="83"/>
      <c r="I57" s="83"/>
      <c r="J57" s="83">
        <f t="shared" ref="J57:J60" si="46">L57-D57</f>
        <v>0</v>
      </c>
      <c r="K57" s="83">
        <f t="shared" ref="K57:K60" si="47">C57+F57+G57+H57+I57</f>
        <v>0</v>
      </c>
      <c r="L57" s="83">
        <v>35</v>
      </c>
      <c r="M57" s="83">
        <f t="shared" ref="M57:M60" si="48">K57+L57</f>
        <v>35</v>
      </c>
      <c r="N57" s="83">
        <f t="shared" si="1"/>
        <v>0</v>
      </c>
      <c r="O57" s="220"/>
    </row>
    <row r="58" s="5" customFormat="1" customHeight="1" spans="1:15">
      <c r="A58" s="380">
        <v>2011499</v>
      </c>
      <c r="B58" s="151" t="s">
        <v>157</v>
      </c>
      <c r="C58" s="83">
        <v>70.22</v>
      </c>
      <c r="D58" s="83">
        <v>16</v>
      </c>
      <c r="E58" s="83">
        <f t="shared" si="45"/>
        <v>86.22</v>
      </c>
      <c r="F58" s="83">
        <v>-15</v>
      </c>
      <c r="G58" s="83">
        <v>0</v>
      </c>
      <c r="H58" s="83">
        <v>-5</v>
      </c>
      <c r="I58" s="83">
        <v>0</v>
      </c>
      <c r="J58" s="83">
        <f t="shared" si="46"/>
        <v>-16</v>
      </c>
      <c r="K58" s="83">
        <f t="shared" si="47"/>
        <v>50.22</v>
      </c>
      <c r="L58" s="83"/>
      <c r="M58" s="83">
        <f t="shared" si="48"/>
        <v>50.22</v>
      </c>
      <c r="N58" s="83">
        <f t="shared" si="1"/>
        <v>-41.7536534446764</v>
      </c>
      <c r="O58" s="220" t="s">
        <v>158</v>
      </c>
    </row>
    <row r="59" s="5" customFormat="1" customHeight="1" spans="1:15">
      <c r="A59" s="380">
        <v>20125</v>
      </c>
      <c r="B59" s="151" t="s">
        <v>159</v>
      </c>
      <c r="C59" s="83">
        <f t="shared" ref="C59:M59" si="49">SUM(C60:C60)</f>
        <v>38.98</v>
      </c>
      <c r="D59" s="83">
        <f t="shared" si="49"/>
        <v>0</v>
      </c>
      <c r="E59" s="83">
        <f t="shared" si="49"/>
        <v>38.98</v>
      </c>
      <c r="F59" s="83">
        <f t="shared" si="49"/>
        <v>-38.98</v>
      </c>
      <c r="G59" s="381">
        <f t="shared" si="49"/>
        <v>0</v>
      </c>
      <c r="H59" s="83">
        <f t="shared" si="49"/>
        <v>0</v>
      </c>
      <c r="I59" s="83">
        <f t="shared" si="49"/>
        <v>0</v>
      </c>
      <c r="J59" s="83">
        <f t="shared" si="49"/>
        <v>0</v>
      </c>
      <c r="K59" s="83">
        <f t="shared" si="49"/>
        <v>0</v>
      </c>
      <c r="L59" s="83">
        <f t="shared" si="49"/>
        <v>0</v>
      </c>
      <c r="M59" s="83">
        <f t="shared" si="49"/>
        <v>0</v>
      </c>
      <c r="N59" s="83">
        <f t="shared" si="1"/>
        <v>-100</v>
      </c>
      <c r="O59" s="388"/>
    </row>
    <row r="60" s="5" customFormat="1" customHeight="1" spans="1:15">
      <c r="A60" s="380">
        <v>2012504</v>
      </c>
      <c r="B60" s="151" t="s">
        <v>160</v>
      </c>
      <c r="C60" s="83">
        <v>38.98</v>
      </c>
      <c r="D60" s="83">
        <v>0</v>
      </c>
      <c r="E60" s="83">
        <f t="shared" si="45"/>
        <v>38.98</v>
      </c>
      <c r="F60" s="83">
        <v>-38.98</v>
      </c>
      <c r="G60" s="83">
        <v>0</v>
      </c>
      <c r="H60" s="83">
        <v>0</v>
      </c>
      <c r="I60" s="83">
        <v>0</v>
      </c>
      <c r="J60" s="83">
        <f t="shared" si="46"/>
        <v>0</v>
      </c>
      <c r="K60" s="83">
        <f t="shared" si="47"/>
        <v>0</v>
      </c>
      <c r="L60" s="83"/>
      <c r="M60" s="83">
        <f t="shared" si="48"/>
        <v>0</v>
      </c>
      <c r="N60" s="83">
        <f t="shared" si="1"/>
        <v>-100</v>
      </c>
      <c r="O60" s="220" t="s">
        <v>161</v>
      </c>
    </row>
    <row r="61" s="5" customFormat="1" customHeight="1" spans="1:15">
      <c r="A61" s="380">
        <v>20126</v>
      </c>
      <c r="B61" s="151" t="s">
        <v>162</v>
      </c>
      <c r="C61" s="83">
        <f t="shared" ref="C61:M61" si="50">SUM(C62)</f>
        <v>215.84</v>
      </c>
      <c r="D61" s="83">
        <f t="shared" si="50"/>
        <v>0</v>
      </c>
      <c r="E61" s="83">
        <f t="shared" si="50"/>
        <v>215.84</v>
      </c>
      <c r="F61" s="83">
        <f t="shared" si="50"/>
        <v>-34.815973</v>
      </c>
      <c r="G61" s="381">
        <f t="shared" si="50"/>
        <v>0</v>
      </c>
      <c r="H61" s="83">
        <f t="shared" si="50"/>
        <v>0</v>
      </c>
      <c r="I61" s="83">
        <f t="shared" si="50"/>
        <v>0</v>
      </c>
      <c r="J61" s="83">
        <f t="shared" si="50"/>
        <v>0</v>
      </c>
      <c r="K61" s="83">
        <f t="shared" si="50"/>
        <v>181.024027</v>
      </c>
      <c r="L61" s="83">
        <f t="shared" si="50"/>
        <v>0</v>
      </c>
      <c r="M61" s="83">
        <f t="shared" si="50"/>
        <v>181.024027</v>
      </c>
      <c r="N61" s="83">
        <f t="shared" si="1"/>
        <v>-16.1304545033358</v>
      </c>
      <c r="O61" s="220"/>
    </row>
    <row r="62" s="5" customFormat="1" customHeight="1" spans="1:15">
      <c r="A62" s="380">
        <v>2012604</v>
      </c>
      <c r="B62" s="151" t="s">
        <v>163</v>
      </c>
      <c r="C62" s="83">
        <v>215.84</v>
      </c>
      <c r="D62" s="83">
        <v>0</v>
      </c>
      <c r="E62" s="83">
        <f t="shared" ref="E62:E66" si="51">C62+D62</f>
        <v>215.84</v>
      </c>
      <c r="F62" s="83">
        <v>-34.815973</v>
      </c>
      <c r="G62" s="83">
        <v>0</v>
      </c>
      <c r="H62" s="83">
        <v>0</v>
      </c>
      <c r="I62" s="83">
        <v>0</v>
      </c>
      <c r="J62" s="83">
        <f t="shared" ref="J62:J66" si="52">L62-D62</f>
        <v>0</v>
      </c>
      <c r="K62" s="83">
        <f t="shared" ref="K62:K66" si="53">C62+F62+G62+H62+I62</f>
        <v>181.024027</v>
      </c>
      <c r="L62" s="83"/>
      <c r="M62" s="83">
        <f t="shared" ref="M62:M66" si="54">K62+L62</f>
        <v>181.024027</v>
      </c>
      <c r="N62" s="83">
        <f t="shared" si="1"/>
        <v>-16.1304545033358</v>
      </c>
      <c r="O62" s="220" t="s">
        <v>164</v>
      </c>
    </row>
    <row r="63" s="5" customFormat="1" customHeight="1" spans="1:15">
      <c r="A63" s="380">
        <v>20128</v>
      </c>
      <c r="B63" s="151" t="s">
        <v>165</v>
      </c>
      <c r="C63" s="83">
        <f t="shared" ref="C63:M63" si="55">SUM(C64:C66)</f>
        <v>98.26</v>
      </c>
      <c r="D63" s="83">
        <f t="shared" si="55"/>
        <v>0</v>
      </c>
      <c r="E63" s="83">
        <f t="shared" si="55"/>
        <v>98.26</v>
      </c>
      <c r="F63" s="83">
        <f t="shared" si="55"/>
        <v>-22.46</v>
      </c>
      <c r="G63" s="381">
        <f t="shared" si="55"/>
        <v>0</v>
      </c>
      <c r="H63" s="83">
        <f t="shared" si="55"/>
        <v>0</v>
      </c>
      <c r="I63" s="83">
        <f t="shared" si="55"/>
        <v>5.56</v>
      </c>
      <c r="J63" s="83">
        <f t="shared" si="55"/>
        <v>0</v>
      </c>
      <c r="K63" s="83">
        <f t="shared" si="55"/>
        <v>81.36</v>
      </c>
      <c r="L63" s="83">
        <f t="shared" si="55"/>
        <v>0</v>
      </c>
      <c r="M63" s="83">
        <f t="shared" si="55"/>
        <v>81.36</v>
      </c>
      <c r="N63" s="83">
        <f t="shared" si="1"/>
        <v>-17.1992672501526</v>
      </c>
      <c r="O63" s="220"/>
    </row>
    <row r="64" s="5" customFormat="1" customHeight="1" spans="1:15">
      <c r="A64" s="380">
        <v>2012801</v>
      </c>
      <c r="B64" s="151" t="s">
        <v>94</v>
      </c>
      <c r="C64" s="83">
        <v>95.26</v>
      </c>
      <c r="D64" s="83">
        <v>0</v>
      </c>
      <c r="E64" s="83">
        <f t="shared" si="51"/>
        <v>95.26</v>
      </c>
      <c r="F64" s="83">
        <v>-21.46</v>
      </c>
      <c r="G64" s="83">
        <v>0</v>
      </c>
      <c r="H64" s="83">
        <v>0</v>
      </c>
      <c r="I64" s="83">
        <v>5.56</v>
      </c>
      <c r="J64" s="83">
        <f t="shared" si="52"/>
        <v>0</v>
      </c>
      <c r="K64" s="83">
        <f t="shared" si="53"/>
        <v>79.36</v>
      </c>
      <c r="L64" s="83"/>
      <c r="M64" s="83">
        <f t="shared" si="54"/>
        <v>79.36</v>
      </c>
      <c r="N64" s="83">
        <f t="shared" si="1"/>
        <v>-16.6911610329624</v>
      </c>
      <c r="O64" s="220" t="s">
        <v>115</v>
      </c>
    </row>
    <row r="65" s="5" customFormat="1" customHeight="1" spans="1:15">
      <c r="A65" s="380">
        <v>2012802</v>
      </c>
      <c r="B65" s="151" t="s">
        <v>116</v>
      </c>
      <c r="C65" s="83">
        <v>2</v>
      </c>
      <c r="D65" s="83">
        <v>0</v>
      </c>
      <c r="E65" s="83">
        <f t="shared" si="51"/>
        <v>2</v>
      </c>
      <c r="F65" s="83">
        <v>0</v>
      </c>
      <c r="G65" s="83">
        <v>0</v>
      </c>
      <c r="H65" s="83">
        <v>0</v>
      </c>
      <c r="I65" s="83">
        <v>0</v>
      </c>
      <c r="J65" s="83">
        <f t="shared" si="52"/>
        <v>0</v>
      </c>
      <c r="K65" s="83">
        <f t="shared" si="53"/>
        <v>2</v>
      </c>
      <c r="L65" s="83"/>
      <c r="M65" s="83">
        <f t="shared" si="54"/>
        <v>2</v>
      </c>
      <c r="N65" s="83">
        <f t="shared" si="1"/>
        <v>0</v>
      </c>
      <c r="O65" s="220">
        <v>0</v>
      </c>
    </row>
    <row r="66" s="5" customFormat="1" customHeight="1" spans="1:15">
      <c r="A66" s="380">
        <v>2012899</v>
      </c>
      <c r="B66" s="151" t="s">
        <v>166</v>
      </c>
      <c r="C66" s="83">
        <v>1</v>
      </c>
      <c r="D66" s="83">
        <v>0</v>
      </c>
      <c r="E66" s="83">
        <f t="shared" si="51"/>
        <v>1</v>
      </c>
      <c r="F66" s="83">
        <v>-1</v>
      </c>
      <c r="G66" s="83">
        <v>0</v>
      </c>
      <c r="H66" s="83">
        <v>0</v>
      </c>
      <c r="I66" s="83">
        <v>0</v>
      </c>
      <c r="J66" s="83">
        <f t="shared" si="52"/>
        <v>0</v>
      </c>
      <c r="K66" s="83">
        <f t="shared" si="53"/>
        <v>0</v>
      </c>
      <c r="L66" s="83"/>
      <c r="M66" s="83">
        <f t="shared" si="54"/>
        <v>0</v>
      </c>
      <c r="N66" s="83">
        <f t="shared" si="1"/>
        <v>-100</v>
      </c>
      <c r="O66" s="220" t="s">
        <v>167</v>
      </c>
    </row>
    <row r="67" s="5" customFormat="1" customHeight="1" spans="1:15">
      <c r="A67" s="380">
        <v>20129</v>
      </c>
      <c r="B67" s="151" t="s">
        <v>168</v>
      </c>
      <c r="C67" s="83">
        <f t="shared" ref="C67:M67" si="56">SUM(C68:C71)</f>
        <v>724.44</v>
      </c>
      <c r="D67" s="83">
        <f t="shared" si="56"/>
        <v>7.6</v>
      </c>
      <c r="E67" s="83">
        <f t="shared" si="56"/>
        <v>732.04</v>
      </c>
      <c r="F67" s="83">
        <f t="shared" si="56"/>
        <v>-330.768892</v>
      </c>
      <c r="G67" s="381">
        <f t="shared" si="56"/>
        <v>0</v>
      </c>
      <c r="H67" s="83">
        <f t="shared" si="56"/>
        <v>0</v>
      </c>
      <c r="I67" s="83">
        <f t="shared" si="56"/>
        <v>31.25</v>
      </c>
      <c r="J67" s="83">
        <f t="shared" si="56"/>
        <v>-2.42</v>
      </c>
      <c r="K67" s="83">
        <f t="shared" si="56"/>
        <v>424.921108</v>
      </c>
      <c r="L67" s="83">
        <f t="shared" si="56"/>
        <v>5.18</v>
      </c>
      <c r="M67" s="83">
        <f t="shared" si="56"/>
        <v>430.101108</v>
      </c>
      <c r="N67" s="83">
        <f t="shared" si="1"/>
        <v>-41.2462286213868</v>
      </c>
      <c r="O67" s="388"/>
    </row>
    <row r="68" s="5" customFormat="1" customHeight="1" spans="1:15">
      <c r="A68" s="380">
        <v>2012901</v>
      </c>
      <c r="B68" s="151" t="s">
        <v>94</v>
      </c>
      <c r="C68" s="83">
        <v>351.82</v>
      </c>
      <c r="D68" s="83">
        <v>0</v>
      </c>
      <c r="E68" s="83">
        <f t="shared" ref="E68:E71" si="57">C68+D68</f>
        <v>351.82</v>
      </c>
      <c r="F68" s="83">
        <v>-115.82</v>
      </c>
      <c r="G68" s="83">
        <v>0</v>
      </c>
      <c r="H68" s="83">
        <v>0</v>
      </c>
      <c r="I68" s="83">
        <v>31.25</v>
      </c>
      <c r="J68" s="83">
        <f t="shared" ref="J68:J71" si="58">L68-D68</f>
        <v>0</v>
      </c>
      <c r="K68" s="83">
        <f t="shared" ref="K68:K71" si="59">C68+F68+G68+H68+I68</f>
        <v>267.25</v>
      </c>
      <c r="L68" s="83"/>
      <c r="M68" s="83">
        <f t="shared" ref="M68:M71" si="60">K68+L68</f>
        <v>267.25</v>
      </c>
      <c r="N68" s="83">
        <f t="shared" si="1"/>
        <v>-24.037860269456</v>
      </c>
      <c r="O68" s="220" t="s">
        <v>115</v>
      </c>
    </row>
    <row r="69" s="5" customFormat="1" customHeight="1" spans="1:15">
      <c r="A69" s="380">
        <v>2012902</v>
      </c>
      <c r="B69" s="151" t="s">
        <v>116</v>
      </c>
      <c r="C69" s="83">
        <v>38.8</v>
      </c>
      <c r="D69" s="83">
        <v>0</v>
      </c>
      <c r="E69" s="83">
        <f t="shared" si="57"/>
        <v>38.8</v>
      </c>
      <c r="F69" s="83">
        <v>-2.478892</v>
      </c>
      <c r="G69" s="83">
        <v>0</v>
      </c>
      <c r="H69" s="83">
        <v>0</v>
      </c>
      <c r="I69" s="83">
        <v>0</v>
      </c>
      <c r="J69" s="83">
        <f t="shared" si="58"/>
        <v>0</v>
      </c>
      <c r="K69" s="83">
        <f t="shared" si="59"/>
        <v>36.321108</v>
      </c>
      <c r="L69" s="83"/>
      <c r="M69" s="83">
        <f t="shared" si="60"/>
        <v>36.321108</v>
      </c>
      <c r="N69" s="83">
        <f t="shared" si="1"/>
        <v>-6.3888969072165</v>
      </c>
      <c r="O69" s="220" t="s">
        <v>138</v>
      </c>
    </row>
    <row r="70" s="5" customFormat="1" customHeight="1" spans="1:15">
      <c r="A70" s="380">
        <v>2012906</v>
      </c>
      <c r="B70" s="151" t="s">
        <v>169</v>
      </c>
      <c r="C70" s="83">
        <v>333.82</v>
      </c>
      <c r="D70" s="83">
        <v>0</v>
      </c>
      <c r="E70" s="83">
        <f t="shared" si="57"/>
        <v>333.82</v>
      </c>
      <c r="F70" s="83">
        <v>-212.47</v>
      </c>
      <c r="G70" s="83">
        <v>0</v>
      </c>
      <c r="H70" s="83">
        <v>0</v>
      </c>
      <c r="I70" s="83">
        <v>0</v>
      </c>
      <c r="J70" s="83">
        <f t="shared" si="58"/>
        <v>0</v>
      </c>
      <c r="K70" s="83">
        <f t="shared" si="59"/>
        <v>121.35</v>
      </c>
      <c r="L70" s="83"/>
      <c r="M70" s="83">
        <f t="shared" si="60"/>
        <v>121.35</v>
      </c>
      <c r="N70" s="83">
        <f t="shared" ref="N70:N133" si="61">(M70-E70)/E70*100</f>
        <v>-63.6480738122341</v>
      </c>
      <c r="O70" s="220" t="s">
        <v>170</v>
      </c>
    </row>
    <row r="71" s="5" customFormat="1" customHeight="1" spans="1:15">
      <c r="A71" s="380">
        <v>2012999</v>
      </c>
      <c r="B71" s="151" t="s">
        <v>171</v>
      </c>
      <c r="C71" s="83"/>
      <c r="D71" s="83">
        <v>7.6</v>
      </c>
      <c r="E71" s="83">
        <f t="shared" si="57"/>
        <v>7.6</v>
      </c>
      <c r="F71" s="83"/>
      <c r="G71" s="83"/>
      <c r="H71" s="83"/>
      <c r="I71" s="83"/>
      <c r="J71" s="83">
        <f t="shared" si="58"/>
        <v>-2.42</v>
      </c>
      <c r="K71" s="83">
        <f t="shared" si="59"/>
        <v>0</v>
      </c>
      <c r="L71" s="83">
        <v>5.18</v>
      </c>
      <c r="M71" s="83">
        <f t="shared" si="60"/>
        <v>5.18</v>
      </c>
      <c r="N71" s="83">
        <f t="shared" si="61"/>
        <v>-31.8421052631579</v>
      </c>
      <c r="O71" s="220"/>
    </row>
    <row r="72" s="5" customFormat="1" customHeight="1" spans="1:15">
      <c r="A72" s="380">
        <v>20131</v>
      </c>
      <c r="B72" s="151" t="s">
        <v>172</v>
      </c>
      <c r="C72" s="83">
        <f t="shared" ref="C72:M72" si="62">SUM(C73)</f>
        <v>0</v>
      </c>
      <c r="D72" s="83">
        <f t="shared" si="62"/>
        <v>0</v>
      </c>
      <c r="E72" s="83">
        <f t="shared" si="62"/>
        <v>0</v>
      </c>
      <c r="F72" s="83">
        <f t="shared" si="62"/>
        <v>0</v>
      </c>
      <c r="G72" s="381">
        <f t="shared" si="62"/>
        <v>0</v>
      </c>
      <c r="H72" s="83">
        <f t="shared" si="62"/>
        <v>0</v>
      </c>
      <c r="I72" s="83">
        <f t="shared" si="62"/>
        <v>0</v>
      </c>
      <c r="J72" s="83">
        <f t="shared" si="62"/>
        <v>6.9</v>
      </c>
      <c r="K72" s="83">
        <f t="shared" si="62"/>
        <v>0</v>
      </c>
      <c r="L72" s="83">
        <f t="shared" si="62"/>
        <v>6.9</v>
      </c>
      <c r="M72" s="83">
        <f t="shared" si="62"/>
        <v>6.9</v>
      </c>
      <c r="N72" s="83"/>
      <c r="O72" s="388"/>
    </row>
    <row r="73" s="5" customFormat="1" customHeight="1" spans="1:15">
      <c r="A73" s="380">
        <v>2013199</v>
      </c>
      <c r="B73" s="151" t="s">
        <v>173</v>
      </c>
      <c r="C73" s="83"/>
      <c r="D73" s="83"/>
      <c r="E73" s="83">
        <f t="shared" ref="E73:E77" si="63">C73+D73</f>
        <v>0</v>
      </c>
      <c r="F73" s="83"/>
      <c r="G73" s="83"/>
      <c r="H73" s="83"/>
      <c r="I73" s="83"/>
      <c r="J73" s="83">
        <f t="shared" ref="J73:J77" si="64">L73-D73</f>
        <v>6.9</v>
      </c>
      <c r="K73" s="83">
        <f t="shared" ref="K73:K77" si="65">C73+F73+G73+H73+I73</f>
        <v>0</v>
      </c>
      <c r="L73" s="83">
        <v>6.9</v>
      </c>
      <c r="M73" s="83">
        <f t="shared" ref="M73:M77" si="66">K73+L73</f>
        <v>6.9</v>
      </c>
      <c r="N73" s="83"/>
      <c r="O73" s="220"/>
    </row>
    <row r="74" s="5" customFormat="1" customHeight="1" spans="1:15">
      <c r="A74" s="380">
        <v>20132</v>
      </c>
      <c r="B74" s="151" t="s">
        <v>174</v>
      </c>
      <c r="C74" s="83">
        <f t="shared" ref="C74:M74" si="67">SUM(C75:C77)</f>
        <v>4319.54</v>
      </c>
      <c r="D74" s="83">
        <f t="shared" si="67"/>
        <v>2176.355</v>
      </c>
      <c r="E74" s="83">
        <f t="shared" si="67"/>
        <v>6495.895</v>
      </c>
      <c r="F74" s="83">
        <f t="shared" si="67"/>
        <v>-1273.471054</v>
      </c>
      <c r="G74" s="381">
        <f t="shared" si="67"/>
        <v>0</v>
      </c>
      <c r="H74" s="83">
        <f t="shared" si="67"/>
        <v>-16.549</v>
      </c>
      <c r="I74" s="83">
        <f t="shared" si="67"/>
        <v>75.95</v>
      </c>
      <c r="J74" s="83">
        <f t="shared" si="67"/>
        <v>-80.625</v>
      </c>
      <c r="K74" s="83">
        <f t="shared" si="67"/>
        <v>3105.469946</v>
      </c>
      <c r="L74" s="83">
        <f t="shared" si="67"/>
        <v>2095.73</v>
      </c>
      <c r="M74" s="83">
        <f t="shared" si="67"/>
        <v>5201.199946</v>
      </c>
      <c r="N74" s="83">
        <f t="shared" si="61"/>
        <v>-19.9309726219405</v>
      </c>
      <c r="O74" s="388"/>
    </row>
    <row r="75" s="5" customFormat="1" customHeight="1" spans="1:15">
      <c r="A75" s="380">
        <v>2013201</v>
      </c>
      <c r="B75" s="151" t="s">
        <v>94</v>
      </c>
      <c r="C75" s="83">
        <v>289.56</v>
      </c>
      <c r="D75" s="83">
        <v>0</v>
      </c>
      <c r="E75" s="83">
        <f t="shared" si="63"/>
        <v>289.56</v>
      </c>
      <c r="F75" s="83">
        <v>-3.6</v>
      </c>
      <c r="G75" s="83">
        <v>0</v>
      </c>
      <c r="H75" s="83">
        <v>0</v>
      </c>
      <c r="I75" s="83">
        <v>64.39</v>
      </c>
      <c r="J75" s="83">
        <f t="shared" si="64"/>
        <v>0</v>
      </c>
      <c r="K75" s="83">
        <f t="shared" si="65"/>
        <v>350.35</v>
      </c>
      <c r="L75" s="83"/>
      <c r="M75" s="83">
        <f t="shared" si="66"/>
        <v>350.35</v>
      </c>
      <c r="N75" s="83">
        <f t="shared" si="61"/>
        <v>20.993921812405</v>
      </c>
      <c r="O75" s="220" t="s">
        <v>115</v>
      </c>
    </row>
    <row r="76" s="5" customFormat="1" customHeight="1" spans="1:15">
      <c r="A76" s="380">
        <v>2013250</v>
      </c>
      <c r="B76" s="151" t="s">
        <v>125</v>
      </c>
      <c r="C76" s="83">
        <v>0</v>
      </c>
      <c r="D76" s="83"/>
      <c r="E76" s="83">
        <f t="shared" si="63"/>
        <v>0</v>
      </c>
      <c r="F76" s="83">
        <v>0</v>
      </c>
      <c r="G76" s="83">
        <v>0</v>
      </c>
      <c r="H76" s="83">
        <v>0</v>
      </c>
      <c r="I76" s="83">
        <v>0.84</v>
      </c>
      <c r="J76" s="83">
        <f t="shared" si="64"/>
        <v>0</v>
      </c>
      <c r="K76" s="83">
        <f t="shared" si="65"/>
        <v>0.84</v>
      </c>
      <c r="L76" s="83"/>
      <c r="M76" s="83">
        <f t="shared" si="66"/>
        <v>0.84</v>
      </c>
      <c r="N76" s="83"/>
      <c r="O76" s="220" t="s">
        <v>95</v>
      </c>
    </row>
    <row r="77" s="5" customFormat="1" customHeight="1" spans="1:15">
      <c r="A77" s="380">
        <v>2013299</v>
      </c>
      <c r="B77" s="151" t="s">
        <v>175</v>
      </c>
      <c r="C77" s="83">
        <v>4029.98</v>
      </c>
      <c r="D77" s="83">
        <v>2176.355</v>
      </c>
      <c r="E77" s="83">
        <f t="shared" si="63"/>
        <v>6206.335</v>
      </c>
      <c r="F77" s="83">
        <v>-1269.871054</v>
      </c>
      <c r="G77" s="83">
        <v>0</v>
      </c>
      <c r="H77" s="83">
        <v>-16.549</v>
      </c>
      <c r="I77" s="83">
        <v>10.72</v>
      </c>
      <c r="J77" s="83">
        <f t="shared" si="64"/>
        <v>-80.625</v>
      </c>
      <c r="K77" s="83">
        <f t="shared" si="65"/>
        <v>2754.279946</v>
      </c>
      <c r="L77" s="83">
        <v>2095.73</v>
      </c>
      <c r="M77" s="83">
        <f t="shared" si="66"/>
        <v>4850.009946</v>
      </c>
      <c r="N77" s="83">
        <f t="shared" si="61"/>
        <v>-21.8538808169395</v>
      </c>
      <c r="O77" s="220" t="s">
        <v>176</v>
      </c>
    </row>
    <row r="78" s="5" customFormat="1" customHeight="1" spans="1:15">
      <c r="A78" s="380">
        <v>20133</v>
      </c>
      <c r="B78" s="151" t="s">
        <v>177</v>
      </c>
      <c r="C78" s="83">
        <f t="shared" ref="C78:M78" si="68">SUM(C79:C80)</f>
        <v>241.94</v>
      </c>
      <c r="D78" s="83">
        <f t="shared" si="68"/>
        <v>0</v>
      </c>
      <c r="E78" s="83">
        <f t="shared" si="68"/>
        <v>241.94</v>
      </c>
      <c r="F78" s="83">
        <f t="shared" si="68"/>
        <v>-20.19</v>
      </c>
      <c r="G78" s="381">
        <f t="shared" si="68"/>
        <v>0</v>
      </c>
      <c r="H78" s="83">
        <f t="shared" si="68"/>
        <v>0</v>
      </c>
      <c r="I78" s="83">
        <f t="shared" si="68"/>
        <v>39.48</v>
      </c>
      <c r="J78" s="83">
        <f t="shared" si="68"/>
        <v>0</v>
      </c>
      <c r="K78" s="83">
        <f t="shared" si="68"/>
        <v>261.23</v>
      </c>
      <c r="L78" s="83">
        <f t="shared" si="68"/>
        <v>0</v>
      </c>
      <c r="M78" s="83">
        <f t="shared" si="68"/>
        <v>261.23</v>
      </c>
      <c r="N78" s="83">
        <f t="shared" si="61"/>
        <v>7.97305116971151</v>
      </c>
      <c r="O78" s="220"/>
    </row>
    <row r="79" s="5" customFormat="1" customHeight="1" spans="1:15">
      <c r="A79" s="380">
        <v>2013301</v>
      </c>
      <c r="B79" s="151" t="s">
        <v>94</v>
      </c>
      <c r="C79" s="83">
        <v>232.94</v>
      </c>
      <c r="D79" s="83">
        <v>0</v>
      </c>
      <c r="E79" s="83">
        <f t="shared" ref="E79:E84" si="69">C79+D79</f>
        <v>232.94</v>
      </c>
      <c r="F79" s="83">
        <v>-20.19</v>
      </c>
      <c r="G79" s="83">
        <v>0</v>
      </c>
      <c r="H79" s="83">
        <v>0</v>
      </c>
      <c r="I79" s="83">
        <v>39.48</v>
      </c>
      <c r="J79" s="83">
        <f t="shared" ref="J79:J84" si="70">L79-D79</f>
        <v>0</v>
      </c>
      <c r="K79" s="83">
        <f t="shared" ref="K79:K84" si="71">C79+F79+G79+H79+I79</f>
        <v>252.23</v>
      </c>
      <c r="L79" s="83"/>
      <c r="M79" s="83">
        <f t="shared" ref="M79:M84" si="72">K79+L79</f>
        <v>252.23</v>
      </c>
      <c r="N79" s="83">
        <f t="shared" si="61"/>
        <v>8.28110242981025</v>
      </c>
      <c r="O79" s="220" t="s">
        <v>115</v>
      </c>
    </row>
    <row r="80" s="5" customFormat="1" customHeight="1" spans="1:15">
      <c r="A80" s="380">
        <v>2013399</v>
      </c>
      <c r="B80" s="151" t="s">
        <v>178</v>
      </c>
      <c r="C80" s="83">
        <v>9</v>
      </c>
      <c r="D80" s="83">
        <v>0</v>
      </c>
      <c r="E80" s="83">
        <f t="shared" si="69"/>
        <v>9</v>
      </c>
      <c r="F80" s="83">
        <v>0</v>
      </c>
      <c r="G80" s="83">
        <v>0</v>
      </c>
      <c r="H80" s="83">
        <v>0</v>
      </c>
      <c r="I80" s="83">
        <v>0</v>
      </c>
      <c r="J80" s="83">
        <f t="shared" si="70"/>
        <v>0</v>
      </c>
      <c r="K80" s="83">
        <f t="shared" si="71"/>
        <v>9</v>
      </c>
      <c r="L80" s="83"/>
      <c r="M80" s="83">
        <f t="shared" si="72"/>
        <v>9</v>
      </c>
      <c r="N80" s="83">
        <f t="shared" si="61"/>
        <v>0</v>
      </c>
      <c r="O80" s="220">
        <v>0</v>
      </c>
    </row>
    <row r="81" s="5" customFormat="1" customHeight="1" spans="1:15">
      <c r="A81" s="380">
        <v>20134</v>
      </c>
      <c r="B81" s="151" t="s">
        <v>179</v>
      </c>
      <c r="C81" s="83">
        <f t="shared" ref="C81:M81" si="73">SUM(C82:C84)</f>
        <v>247.97</v>
      </c>
      <c r="D81" s="83">
        <f t="shared" si="73"/>
        <v>0</v>
      </c>
      <c r="E81" s="83">
        <f t="shared" si="73"/>
        <v>247.97</v>
      </c>
      <c r="F81" s="83">
        <f t="shared" si="73"/>
        <v>-32.8481</v>
      </c>
      <c r="G81" s="381">
        <f t="shared" si="73"/>
        <v>0</v>
      </c>
      <c r="H81" s="83">
        <f t="shared" si="73"/>
        <v>0</v>
      </c>
      <c r="I81" s="83">
        <f t="shared" si="73"/>
        <v>17.48</v>
      </c>
      <c r="J81" s="83">
        <f t="shared" si="73"/>
        <v>0</v>
      </c>
      <c r="K81" s="83">
        <f t="shared" si="73"/>
        <v>232.6019</v>
      </c>
      <c r="L81" s="83">
        <f t="shared" si="73"/>
        <v>0</v>
      </c>
      <c r="M81" s="83">
        <f t="shared" si="73"/>
        <v>232.6019</v>
      </c>
      <c r="N81" s="83">
        <f t="shared" si="61"/>
        <v>-6.1975642214784</v>
      </c>
      <c r="O81" s="220"/>
    </row>
    <row r="82" s="5" customFormat="1" customHeight="1" spans="1:15">
      <c r="A82" s="380">
        <v>2013401</v>
      </c>
      <c r="B82" s="151" t="s">
        <v>94</v>
      </c>
      <c r="C82" s="83">
        <v>235.97</v>
      </c>
      <c r="D82" s="83">
        <v>0</v>
      </c>
      <c r="E82" s="83">
        <f t="shared" si="69"/>
        <v>235.97</v>
      </c>
      <c r="F82" s="83">
        <v>-22.78</v>
      </c>
      <c r="G82" s="83"/>
      <c r="H82" s="83">
        <v>0</v>
      </c>
      <c r="I82" s="83">
        <v>17.48</v>
      </c>
      <c r="J82" s="83">
        <f t="shared" si="70"/>
        <v>0</v>
      </c>
      <c r="K82" s="83">
        <f t="shared" si="71"/>
        <v>230.67</v>
      </c>
      <c r="L82" s="83"/>
      <c r="M82" s="83">
        <f t="shared" si="72"/>
        <v>230.67</v>
      </c>
      <c r="N82" s="83">
        <f t="shared" si="61"/>
        <v>-2.24604822646947</v>
      </c>
      <c r="O82" s="220" t="s">
        <v>115</v>
      </c>
    </row>
    <row r="83" s="5" customFormat="1" customHeight="1" spans="1:15">
      <c r="A83" s="380">
        <v>2013405</v>
      </c>
      <c r="B83" s="151" t="s">
        <v>180</v>
      </c>
      <c r="C83" s="83">
        <v>10</v>
      </c>
      <c r="D83" s="83">
        <v>0</v>
      </c>
      <c r="E83" s="83">
        <f t="shared" si="69"/>
        <v>10</v>
      </c>
      <c r="F83" s="83">
        <v>-10</v>
      </c>
      <c r="G83" s="83"/>
      <c r="H83" s="83">
        <v>0</v>
      </c>
      <c r="I83" s="83">
        <v>0</v>
      </c>
      <c r="J83" s="83">
        <f t="shared" si="70"/>
        <v>0</v>
      </c>
      <c r="K83" s="83">
        <f t="shared" si="71"/>
        <v>0</v>
      </c>
      <c r="L83" s="83"/>
      <c r="M83" s="83">
        <f t="shared" si="72"/>
        <v>0</v>
      </c>
      <c r="N83" s="83">
        <f t="shared" si="61"/>
        <v>-100</v>
      </c>
      <c r="O83" s="220" t="s">
        <v>181</v>
      </c>
    </row>
    <row r="84" s="5" customFormat="1" customHeight="1" spans="1:15">
      <c r="A84" s="380">
        <v>2013499</v>
      </c>
      <c r="B84" s="151" t="s">
        <v>182</v>
      </c>
      <c r="C84" s="83">
        <v>2</v>
      </c>
      <c r="D84" s="83">
        <v>0</v>
      </c>
      <c r="E84" s="83">
        <f t="shared" si="69"/>
        <v>2</v>
      </c>
      <c r="F84" s="83">
        <v>-0.0681</v>
      </c>
      <c r="G84" s="83"/>
      <c r="H84" s="83">
        <v>0</v>
      </c>
      <c r="I84" s="83">
        <v>0</v>
      </c>
      <c r="J84" s="83">
        <f t="shared" si="70"/>
        <v>0</v>
      </c>
      <c r="K84" s="83">
        <f t="shared" si="71"/>
        <v>1.9319</v>
      </c>
      <c r="L84" s="83"/>
      <c r="M84" s="83">
        <f t="shared" si="72"/>
        <v>1.9319</v>
      </c>
      <c r="N84" s="83">
        <f t="shared" si="61"/>
        <v>-3.405</v>
      </c>
      <c r="O84" s="220"/>
    </row>
    <row r="85" s="5" customFormat="1" customHeight="1" spans="1:15">
      <c r="A85" s="380">
        <v>20136</v>
      </c>
      <c r="B85" s="151" t="s">
        <v>183</v>
      </c>
      <c r="C85" s="83">
        <f t="shared" ref="C85:M85" si="74">SUM(C86:C88)</f>
        <v>687.47</v>
      </c>
      <c r="D85" s="83">
        <f t="shared" si="74"/>
        <v>0</v>
      </c>
      <c r="E85" s="83">
        <f t="shared" si="74"/>
        <v>687.47</v>
      </c>
      <c r="F85" s="83">
        <f t="shared" si="74"/>
        <v>-76.520009</v>
      </c>
      <c r="G85" s="381">
        <f t="shared" si="74"/>
        <v>0</v>
      </c>
      <c r="H85" s="83">
        <f t="shared" si="74"/>
        <v>0</v>
      </c>
      <c r="I85" s="83">
        <f t="shared" si="74"/>
        <v>90.25</v>
      </c>
      <c r="J85" s="83">
        <f t="shared" si="74"/>
        <v>0</v>
      </c>
      <c r="K85" s="83">
        <f t="shared" si="74"/>
        <v>701.199991</v>
      </c>
      <c r="L85" s="83">
        <f t="shared" si="74"/>
        <v>0</v>
      </c>
      <c r="M85" s="83">
        <f t="shared" si="74"/>
        <v>701.199991</v>
      </c>
      <c r="N85" s="83">
        <f t="shared" si="61"/>
        <v>1.99717674953088</v>
      </c>
      <c r="O85" s="388"/>
    </row>
    <row r="86" s="5" customFormat="1" customHeight="1" spans="1:15">
      <c r="A86" s="380">
        <v>2013601</v>
      </c>
      <c r="B86" s="151" t="s">
        <v>94</v>
      </c>
      <c r="C86" s="83">
        <v>425.22</v>
      </c>
      <c r="D86" s="83">
        <v>0</v>
      </c>
      <c r="E86" s="83">
        <f t="shared" ref="E86:E88" si="75">C86+D86</f>
        <v>425.22</v>
      </c>
      <c r="F86" s="83">
        <v>-7.87</v>
      </c>
      <c r="G86" s="83"/>
      <c r="H86" s="83">
        <v>0</v>
      </c>
      <c r="I86" s="83">
        <v>82.41</v>
      </c>
      <c r="J86" s="83">
        <f t="shared" ref="J86:J88" si="76">L86-D86</f>
        <v>0</v>
      </c>
      <c r="K86" s="83">
        <f t="shared" ref="K86:K88" si="77">C86+F86+G86+H86+I86</f>
        <v>499.76</v>
      </c>
      <c r="L86" s="83"/>
      <c r="M86" s="83">
        <f t="shared" ref="M86:M88" si="78">K86+L86</f>
        <v>499.76</v>
      </c>
      <c r="N86" s="83">
        <f t="shared" si="61"/>
        <v>17.5297493062415</v>
      </c>
      <c r="O86" s="220" t="s">
        <v>115</v>
      </c>
    </row>
    <row r="87" s="5" customFormat="1" customHeight="1" spans="1:15">
      <c r="A87" s="380" t="s">
        <v>184</v>
      </c>
      <c r="B87" s="151" t="s">
        <v>125</v>
      </c>
      <c r="C87" s="83">
        <v>40.54</v>
      </c>
      <c r="D87" s="83">
        <v>0</v>
      </c>
      <c r="E87" s="83">
        <f t="shared" si="75"/>
        <v>40.54</v>
      </c>
      <c r="F87" s="83">
        <v>-0.65</v>
      </c>
      <c r="G87" s="83">
        <v>0</v>
      </c>
      <c r="H87" s="83">
        <v>0</v>
      </c>
      <c r="I87" s="83">
        <v>7.84</v>
      </c>
      <c r="J87" s="83">
        <f t="shared" si="76"/>
        <v>0</v>
      </c>
      <c r="K87" s="83">
        <f t="shared" si="77"/>
        <v>47.73</v>
      </c>
      <c r="L87" s="83"/>
      <c r="M87" s="83">
        <f t="shared" si="78"/>
        <v>47.73</v>
      </c>
      <c r="N87" s="83">
        <f t="shared" si="61"/>
        <v>17.7355698075974</v>
      </c>
      <c r="O87" s="220" t="s">
        <v>115</v>
      </c>
    </row>
    <row r="88" s="5" customFormat="1" customHeight="1" spans="1:15">
      <c r="A88" s="380">
        <v>2013699</v>
      </c>
      <c r="B88" s="151" t="s">
        <v>183</v>
      </c>
      <c r="C88" s="83">
        <v>221.71</v>
      </c>
      <c r="D88" s="83">
        <v>0</v>
      </c>
      <c r="E88" s="83">
        <f t="shared" si="75"/>
        <v>221.71</v>
      </c>
      <c r="F88" s="83">
        <v>-68.000009</v>
      </c>
      <c r="G88" s="83">
        <v>0</v>
      </c>
      <c r="H88" s="83">
        <v>0</v>
      </c>
      <c r="I88" s="83">
        <v>0</v>
      </c>
      <c r="J88" s="83">
        <f t="shared" si="76"/>
        <v>0</v>
      </c>
      <c r="K88" s="83">
        <f t="shared" si="77"/>
        <v>153.709991</v>
      </c>
      <c r="L88" s="83"/>
      <c r="M88" s="83">
        <f t="shared" si="78"/>
        <v>153.709991</v>
      </c>
      <c r="N88" s="83">
        <f t="shared" si="61"/>
        <v>-30.6707000135312</v>
      </c>
      <c r="O88" s="220" t="s">
        <v>185</v>
      </c>
    </row>
    <row r="89" s="5" customFormat="1" customHeight="1" spans="1:15">
      <c r="A89" s="380">
        <v>20138</v>
      </c>
      <c r="B89" s="151" t="s">
        <v>186</v>
      </c>
      <c r="C89" s="83">
        <f t="shared" ref="C89:M89" si="79">SUM(C90:C94)</f>
        <v>1256.47</v>
      </c>
      <c r="D89" s="83">
        <f t="shared" si="79"/>
        <v>91.94</v>
      </c>
      <c r="E89" s="83">
        <f t="shared" si="79"/>
        <v>1348.41</v>
      </c>
      <c r="F89" s="83">
        <f t="shared" si="79"/>
        <v>-45.68</v>
      </c>
      <c r="G89" s="381">
        <f t="shared" si="79"/>
        <v>0</v>
      </c>
      <c r="H89" s="83">
        <f t="shared" si="79"/>
        <v>0</v>
      </c>
      <c r="I89" s="83">
        <f t="shared" si="79"/>
        <v>146.45</v>
      </c>
      <c r="J89" s="83">
        <f t="shared" si="79"/>
        <v>-3.75</v>
      </c>
      <c r="K89" s="83">
        <f t="shared" si="79"/>
        <v>1357.24</v>
      </c>
      <c r="L89" s="83">
        <f t="shared" si="79"/>
        <v>88.19</v>
      </c>
      <c r="M89" s="83">
        <f t="shared" si="79"/>
        <v>1445.43</v>
      </c>
      <c r="N89" s="83">
        <f t="shared" si="61"/>
        <v>7.19514094377824</v>
      </c>
      <c r="O89" s="388"/>
    </row>
    <row r="90" s="5" customFormat="1" customHeight="1" spans="1:15">
      <c r="A90" s="380">
        <v>2013801</v>
      </c>
      <c r="B90" s="151" t="s">
        <v>94</v>
      </c>
      <c r="C90" s="83">
        <v>973.09</v>
      </c>
      <c r="D90" s="83">
        <v>0</v>
      </c>
      <c r="E90" s="83">
        <f t="shared" ref="E90:E94" si="80">C90+D90</f>
        <v>973.09</v>
      </c>
      <c r="F90" s="83">
        <v>-15.72</v>
      </c>
      <c r="G90" s="83">
        <v>0</v>
      </c>
      <c r="H90" s="83">
        <v>0</v>
      </c>
      <c r="I90" s="83">
        <v>140.45</v>
      </c>
      <c r="J90" s="83">
        <f t="shared" ref="J90:J94" si="81">L90-D90</f>
        <v>0</v>
      </c>
      <c r="K90" s="83">
        <f t="shared" ref="K90:K94" si="82">C90+F90+G90+H90+I90</f>
        <v>1097.82</v>
      </c>
      <c r="L90" s="83"/>
      <c r="M90" s="83">
        <f t="shared" ref="M90:M94" si="83">K90+L90</f>
        <v>1097.82</v>
      </c>
      <c r="N90" s="83">
        <f t="shared" si="61"/>
        <v>12.8179305100248</v>
      </c>
      <c r="O90" s="220" t="s">
        <v>115</v>
      </c>
    </row>
    <row r="91" s="5" customFormat="1" customHeight="1" spans="1:15">
      <c r="A91" s="380">
        <v>2013815</v>
      </c>
      <c r="B91" s="151" t="s">
        <v>187</v>
      </c>
      <c r="C91" s="83"/>
      <c r="D91" s="83">
        <v>3.41</v>
      </c>
      <c r="E91" s="83">
        <f t="shared" si="80"/>
        <v>3.41</v>
      </c>
      <c r="F91" s="83"/>
      <c r="G91" s="83"/>
      <c r="H91" s="83"/>
      <c r="I91" s="83"/>
      <c r="J91" s="83">
        <f t="shared" si="81"/>
        <v>0</v>
      </c>
      <c r="K91" s="83">
        <f t="shared" si="82"/>
        <v>0</v>
      </c>
      <c r="L91" s="83">
        <v>3.41</v>
      </c>
      <c r="M91" s="83">
        <f t="shared" si="83"/>
        <v>3.41</v>
      </c>
      <c r="N91" s="83">
        <f t="shared" si="61"/>
        <v>0</v>
      </c>
      <c r="O91" s="220"/>
    </row>
    <row r="92" s="5" customFormat="1" customHeight="1" spans="1:15">
      <c r="A92" s="380">
        <v>2013816</v>
      </c>
      <c r="B92" s="151" t="s">
        <v>188</v>
      </c>
      <c r="C92" s="83">
        <v>115</v>
      </c>
      <c r="D92" s="83">
        <v>38.39</v>
      </c>
      <c r="E92" s="83">
        <f t="shared" si="80"/>
        <v>153.39</v>
      </c>
      <c r="F92" s="83">
        <v>0</v>
      </c>
      <c r="G92" s="83">
        <v>0</v>
      </c>
      <c r="H92" s="83">
        <v>0</v>
      </c>
      <c r="I92" s="83">
        <v>0</v>
      </c>
      <c r="J92" s="83">
        <f t="shared" si="81"/>
        <v>-0.68</v>
      </c>
      <c r="K92" s="83">
        <f t="shared" si="82"/>
        <v>115</v>
      </c>
      <c r="L92" s="83">
        <v>37.71</v>
      </c>
      <c r="M92" s="83">
        <f t="shared" si="83"/>
        <v>152.71</v>
      </c>
      <c r="N92" s="83">
        <f t="shared" si="61"/>
        <v>-0.443314427276862</v>
      </c>
      <c r="O92" s="220"/>
    </row>
    <row r="93" s="5" customFormat="1" customHeight="1" spans="1:15">
      <c r="A93" s="380" t="s">
        <v>189</v>
      </c>
      <c r="B93" s="151" t="s">
        <v>125</v>
      </c>
      <c r="C93" s="83">
        <v>43.93</v>
      </c>
      <c r="D93" s="83">
        <v>0</v>
      </c>
      <c r="E93" s="83">
        <f t="shared" si="80"/>
        <v>43.93</v>
      </c>
      <c r="F93" s="83">
        <v>-25.01</v>
      </c>
      <c r="G93" s="83">
        <v>0</v>
      </c>
      <c r="H93" s="83">
        <v>0</v>
      </c>
      <c r="I93" s="83">
        <v>6</v>
      </c>
      <c r="J93" s="83">
        <f t="shared" si="81"/>
        <v>0</v>
      </c>
      <c r="K93" s="83">
        <f t="shared" si="82"/>
        <v>24.92</v>
      </c>
      <c r="L93" s="83"/>
      <c r="M93" s="83">
        <f t="shared" si="83"/>
        <v>24.92</v>
      </c>
      <c r="N93" s="83">
        <f t="shared" si="61"/>
        <v>-43.2733894832688</v>
      </c>
      <c r="O93" s="220" t="s">
        <v>115</v>
      </c>
    </row>
    <row r="94" s="5" customFormat="1" customHeight="1" spans="1:15">
      <c r="A94" s="380">
        <v>2013899</v>
      </c>
      <c r="B94" s="151" t="s">
        <v>190</v>
      </c>
      <c r="C94" s="83">
        <v>124.45</v>
      </c>
      <c r="D94" s="83">
        <v>50.14</v>
      </c>
      <c r="E94" s="83">
        <f t="shared" si="80"/>
        <v>174.59</v>
      </c>
      <c r="F94" s="83">
        <v>-4.95</v>
      </c>
      <c r="G94" s="83"/>
      <c r="H94" s="83">
        <v>0</v>
      </c>
      <c r="I94" s="83">
        <v>0</v>
      </c>
      <c r="J94" s="83">
        <f t="shared" si="81"/>
        <v>-3.07</v>
      </c>
      <c r="K94" s="83">
        <f t="shared" si="82"/>
        <v>119.5</v>
      </c>
      <c r="L94" s="83">
        <v>47.07</v>
      </c>
      <c r="M94" s="83">
        <f t="shared" si="83"/>
        <v>166.57</v>
      </c>
      <c r="N94" s="83">
        <f t="shared" si="61"/>
        <v>-4.59361933673178</v>
      </c>
      <c r="O94" s="220" t="s">
        <v>191</v>
      </c>
    </row>
    <row r="95" s="5" customFormat="1" customHeight="1" spans="1:15">
      <c r="A95" s="380">
        <v>20199</v>
      </c>
      <c r="B95" s="151" t="s">
        <v>192</v>
      </c>
      <c r="C95" s="83">
        <f t="shared" ref="C95:M95" si="84">SUM(C96)</f>
        <v>1130.65</v>
      </c>
      <c r="D95" s="83">
        <f t="shared" si="84"/>
        <v>0</v>
      </c>
      <c r="E95" s="83">
        <f t="shared" si="84"/>
        <v>1130.65</v>
      </c>
      <c r="F95" s="83">
        <f t="shared" si="84"/>
        <v>-254.531289</v>
      </c>
      <c r="G95" s="381">
        <f t="shared" si="84"/>
        <v>0</v>
      </c>
      <c r="H95" s="83">
        <f t="shared" si="84"/>
        <v>0</v>
      </c>
      <c r="I95" s="83">
        <f t="shared" si="84"/>
        <v>172.88</v>
      </c>
      <c r="J95" s="83">
        <f t="shared" si="84"/>
        <v>0</v>
      </c>
      <c r="K95" s="83">
        <f t="shared" si="84"/>
        <v>1048.998711</v>
      </c>
      <c r="L95" s="83">
        <f t="shared" si="84"/>
        <v>0</v>
      </c>
      <c r="M95" s="83">
        <f t="shared" si="84"/>
        <v>1048.998711</v>
      </c>
      <c r="N95" s="83">
        <f t="shared" si="61"/>
        <v>-7.2216237562464</v>
      </c>
      <c r="O95" s="220"/>
    </row>
    <row r="96" s="5" customFormat="1" customHeight="1" spans="1:15">
      <c r="A96" s="380">
        <v>2019999</v>
      </c>
      <c r="B96" s="151" t="s">
        <v>192</v>
      </c>
      <c r="C96" s="83">
        <v>1130.65</v>
      </c>
      <c r="D96" s="83">
        <v>0</v>
      </c>
      <c r="E96" s="83">
        <f t="shared" ref="E96:E101" si="85">C96+D96</f>
        <v>1130.65</v>
      </c>
      <c r="F96" s="83">
        <v>-254.531289</v>
      </c>
      <c r="G96" s="83">
        <v>0</v>
      </c>
      <c r="H96" s="83">
        <v>0</v>
      </c>
      <c r="I96" s="83">
        <v>172.88</v>
      </c>
      <c r="J96" s="83">
        <f t="shared" ref="J96:J101" si="86">L96-D96</f>
        <v>0</v>
      </c>
      <c r="K96" s="83">
        <f t="shared" ref="K96:K101" si="87">C96+F96+G96+H96+I96</f>
        <v>1048.998711</v>
      </c>
      <c r="L96" s="83"/>
      <c r="M96" s="83">
        <f t="shared" ref="M96:M101" si="88">K96+L96</f>
        <v>1048.998711</v>
      </c>
      <c r="N96" s="83">
        <f t="shared" si="61"/>
        <v>-7.2216237562464</v>
      </c>
      <c r="O96" s="220" t="s">
        <v>193</v>
      </c>
    </row>
    <row r="97" s="5" customFormat="1" customHeight="1" spans="1:15">
      <c r="A97" s="377">
        <v>203</v>
      </c>
      <c r="B97" s="378" t="s">
        <v>194</v>
      </c>
      <c r="C97" s="379">
        <f t="shared" ref="C97:M97" si="89">C98+C102</f>
        <v>319.17</v>
      </c>
      <c r="D97" s="379">
        <f t="shared" si="89"/>
        <v>39.8</v>
      </c>
      <c r="E97" s="379">
        <f t="shared" si="89"/>
        <v>358.97</v>
      </c>
      <c r="F97" s="379">
        <f t="shared" si="89"/>
        <v>-59.59</v>
      </c>
      <c r="G97" s="379">
        <f t="shared" si="89"/>
        <v>0</v>
      </c>
      <c r="H97" s="379">
        <f t="shared" si="89"/>
        <v>-17.1</v>
      </c>
      <c r="I97" s="379">
        <f t="shared" si="89"/>
        <v>13.81</v>
      </c>
      <c r="J97" s="379">
        <f t="shared" si="89"/>
        <v>-39.8</v>
      </c>
      <c r="K97" s="379">
        <f t="shared" si="89"/>
        <v>256.29</v>
      </c>
      <c r="L97" s="379">
        <f t="shared" si="89"/>
        <v>0</v>
      </c>
      <c r="M97" s="379">
        <f t="shared" si="89"/>
        <v>256.29</v>
      </c>
      <c r="N97" s="379">
        <f t="shared" si="61"/>
        <v>-28.6040616207483</v>
      </c>
      <c r="O97" s="387">
        <f>O98+O102</f>
        <v>0</v>
      </c>
    </row>
    <row r="98" s="5" customFormat="1" customHeight="1" spans="1:15">
      <c r="A98" s="380">
        <v>20306</v>
      </c>
      <c r="B98" s="151" t="s">
        <v>195</v>
      </c>
      <c r="C98" s="83">
        <f t="shared" ref="C98:M98" si="90">SUM(C99:C101)</f>
        <v>143.84</v>
      </c>
      <c r="D98" s="83">
        <f t="shared" si="90"/>
        <v>39.8</v>
      </c>
      <c r="E98" s="83">
        <f t="shared" si="90"/>
        <v>183.64</v>
      </c>
      <c r="F98" s="83">
        <f t="shared" si="90"/>
        <v>-27</v>
      </c>
      <c r="G98" s="381">
        <f t="shared" si="90"/>
        <v>0</v>
      </c>
      <c r="H98" s="83">
        <f t="shared" si="90"/>
        <v>-17.1</v>
      </c>
      <c r="I98" s="83">
        <f t="shared" si="90"/>
        <v>0</v>
      </c>
      <c r="J98" s="83">
        <f t="shared" si="90"/>
        <v>-39.8</v>
      </c>
      <c r="K98" s="83">
        <f t="shared" si="90"/>
        <v>99.74</v>
      </c>
      <c r="L98" s="83">
        <f t="shared" si="90"/>
        <v>0</v>
      </c>
      <c r="M98" s="83">
        <f t="shared" si="90"/>
        <v>99.74</v>
      </c>
      <c r="N98" s="83">
        <f t="shared" si="61"/>
        <v>-45.687214114572</v>
      </c>
      <c r="O98" s="388"/>
    </row>
    <row r="99" s="5" customFormat="1" customHeight="1" spans="1:15">
      <c r="A99" s="380">
        <v>2030601</v>
      </c>
      <c r="B99" s="151" t="s">
        <v>196</v>
      </c>
      <c r="C99" s="83">
        <v>61.1</v>
      </c>
      <c r="D99" s="83">
        <v>37.8</v>
      </c>
      <c r="E99" s="83">
        <f t="shared" si="85"/>
        <v>98.9</v>
      </c>
      <c r="F99" s="83">
        <v>-1</v>
      </c>
      <c r="G99" s="83">
        <v>0</v>
      </c>
      <c r="H99" s="83">
        <v>-17.1</v>
      </c>
      <c r="I99" s="83">
        <v>0</v>
      </c>
      <c r="J99" s="83">
        <f t="shared" si="86"/>
        <v>-37.8</v>
      </c>
      <c r="K99" s="83">
        <f t="shared" si="87"/>
        <v>43</v>
      </c>
      <c r="L99" s="83"/>
      <c r="M99" s="83">
        <f t="shared" si="88"/>
        <v>43</v>
      </c>
      <c r="N99" s="83">
        <f t="shared" si="61"/>
        <v>-56.5217391304348</v>
      </c>
      <c r="O99" s="220" t="s">
        <v>197</v>
      </c>
    </row>
    <row r="100" s="5" customFormat="1" customHeight="1" spans="1:15">
      <c r="A100" s="380">
        <v>2030603</v>
      </c>
      <c r="B100" s="151" t="s">
        <v>198</v>
      </c>
      <c r="C100" s="83">
        <v>18.74</v>
      </c>
      <c r="D100" s="83">
        <v>2</v>
      </c>
      <c r="E100" s="83">
        <f t="shared" si="85"/>
        <v>20.74</v>
      </c>
      <c r="F100" s="83">
        <v>-4</v>
      </c>
      <c r="G100" s="83"/>
      <c r="H100" s="83">
        <v>0</v>
      </c>
      <c r="I100" s="83">
        <v>0</v>
      </c>
      <c r="J100" s="83">
        <f t="shared" si="86"/>
        <v>-2</v>
      </c>
      <c r="K100" s="83">
        <f t="shared" si="87"/>
        <v>14.74</v>
      </c>
      <c r="L100" s="83"/>
      <c r="M100" s="83">
        <f t="shared" si="88"/>
        <v>14.74</v>
      </c>
      <c r="N100" s="83">
        <f t="shared" si="61"/>
        <v>-28.9296046287367</v>
      </c>
      <c r="O100" s="220" t="s">
        <v>199</v>
      </c>
    </row>
    <row r="101" s="5" customFormat="1" customHeight="1" spans="1:15">
      <c r="A101" s="380">
        <v>2030607</v>
      </c>
      <c r="B101" s="151" t="s">
        <v>200</v>
      </c>
      <c r="C101" s="83">
        <v>64</v>
      </c>
      <c r="D101" s="83">
        <v>0</v>
      </c>
      <c r="E101" s="83">
        <f t="shared" si="85"/>
        <v>64</v>
      </c>
      <c r="F101" s="83">
        <v>-22</v>
      </c>
      <c r="G101" s="83">
        <v>0</v>
      </c>
      <c r="H101" s="83">
        <v>0</v>
      </c>
      <c r="I101" s="83">
        <v>0</v>
      </c>
      <c r="J101" s="83">
        <f t="shared" si="86"/>
        <v>0</v>
      </c>
      <c r="K101" s="83">
        <f t="shared" si="87"/>
        <v>42</v>
      </c>
      <c r="L101" s="83"/>
      <c r="M101" s="83">
        <f t="shared" si="88"/>
        <v>42</v>
      </c>
      <c r="N101" s="83">
        <f t="shared" si="61"/>
        <v>-34.375</v>
      </c>
      <c r="O101" s="220" t="s">
        <v>201</v>
      </c>
    </row>
    <row r="102" s="5" customFormat="1" customHeight="1" spans="1:15">
      <c r="A102" s="380">
        <v>20399</v>
      </c>
      <c r="B102" s="151" t="s">
        <v>202</v>
      </c>
      <c r="C102" s="83">
        <f t="shared" ref="C102:M102" si="91">SUM(C103)</f>
        <v>175.33</v>
      </c>
      <c r="D102" s="83">
        <f t="shared" si="91"/>
        <v>0</v>
      </c>
      <c r="E102" s="83">
        <f t="shared" si="91"/>
        <v>175.33</v>
      </c>
      <c r="F102" s="83">
        <f t="shared" si="91"/>
        <v>-32.59</v>
      </c>
      <c r="G102" s="381">
        <f t="shared" si="91"/>
        <v>0</v>
      </c>
      <c r="H102" s="83">
        <f t="shared" si="91"/>
        <v>0</v>
      </c>
      <c r="I102" s="83">
        <f t="shared" si="91"/>
        <v>13.81</v>
      </c>
      <c r="J102" s="83">
        <f t="shared" si="91"/>
        <v>0</v>
      </c>
      <c r="K102" s="83">
        <f t="shared" si="91"/>
        <v>156.55</v>
      </c>
      <c r="L102" s="83">
        <f t="shared" si="91"/>
        <v>0</v>
      </c>
      <c r="M102" s="83">
        <f t="shared" si="91"/>
        <v>156.55</v>
      </c>
      <c r="N102" s="83">
        <f t="shared" si="61"/>
        <v>-10.7112302515257</v>
      </c>
      <c r="O102" s="220"/>
    </row>
    <row r="103" s="5" customFormat="1" customHeight="1" spans="1:15">
      <c r="A103" s="380" t="s">
        <v>203</v>
      </c>
      <c r="B103" s="151" t="s">
        <v>202</v>
      </c>
      <c r="C103" s="83">
        <v>175.33</v>
      </c>
      <c r="D103" s="83">
        <v>0</v>
      </c>
      <c r="E103" s="83">
        <f t="shared" ref="E103:E108" si="92">C103+D103</f>
        <v>175.33</v>
      </c>
      <c r="F103" s="83">
        <v>-32.59</v>
      </c>
      <c r="G103" s="83"/>
      <c r="H103" s="83">
        <v>0</v>
      </c>
      <c r="I103" s="83">
        <v>13.81</v>
      </c>
      <c r="J103" s="83">
        <f t="shared" ref="J103:J108" si="93">L103-D103</f>
        <v>0</v>
      </c>
      <c r="K103" s="83">
        <f t="shared" ref="K103:K108" si="94">C103+F103+G103+H103+I103</f>
        <v>156.55</v>
      </c>
      <c r="L103" s="83"/>
      <c r="M103" s="83">
        <f t="shared" ref="M103:M108" si="95">K103+L103</f>
        <v>156.55</v>
      </c>
      <c r="N103" s="83">
        <f t="shared" si="61"/>
        <v>-10.7112302515257</v>
      </c>
      <c r="O103" s="220" t="s">
        <v>115</v>
      </c>
    </row>
    <row r="104" s="5" customFormat="1" customHeight="1" spans="1:15">
      <c r="A104" s="377">
        <v>204</v>
      </c>
      <c r="B104" s="378" t="s">
        <v>204</v>
      </c>
      <c r="C104" s="379">
        <f t="shared" ref="C104:M104" si="96">C105+C109+C112+C115+C125</f>
        <v>3468.84</v>
      </c>
      <c r="D104" s="379">
        <f t="shared" si="96"/>
        <v>457.65</v>
      </c>
      <c r="E104" s="379">
        <f t="shared" si="96"/>
        <v>3926.49</v>
      </c>
      <c r="F104" s="379">
        <f t="shared" si="96"/>
        <v>-697.352204</v>
      </c>
      <c r="G104" s="379">
        <f t="shared" si="96"/>
        <v>0</v>
      </c>
      <c r="H104" s="379">
        <f t="shared" si="96"/>
        <v>-177.315793</v>
      </c>
      <c r="I104" s="379">
        <f t="shared" si="96"/>
        <v>80.43</v>
      </c>
      <c r="J104" s="379">
        <f t="shared" si="96"/>
        <v>-98.89</v>
      </c>
      <c r="K104" s="379">
        <f t="shared" si="96"/>
        <v>2674.602003</v>
      </c>
      <c r="L104" s="379">
        <f t="shared" si="96"/>
        <v>358.76</v>
      </c>
      <c r="M104" s="379">
        <f t="shared" si="96"/>
        <v>3033.362003</v>
      </c>
      <c r="N104" s="379">
        <f t="shared" si="61"/>
        <v>-22.7462185565225</v>
      </c>
      <c r="O104" s="387">
        <f>O105+O109+O112+O115+O125</f>
        <v>0</v>
      </c>
    </row>
    <row r="105" s="5" customFormat="1" customHeight="1" spans="1:15">
      <c r="A105" s="380">
        <v>20402</v>
      </c>
      <c r="B105" s="151" t="s">
        <v>205</v>
      </c>
      <c r="C105" s="83">
        <f t="shared" ref="C105:M105" si="97">SUM(C106:C108)</f>
        <v>2157.49</v>
      </c>
      <c r="D105" s="83">
        <f t="shared" si="97"/>
        <v>178.65</v>
      </c>
      <c r="E105" s="83">
        <f t="shared" si="97"/>
        <v>2336.14</v>
      </c>
      <c r="F105" s="83">
        <f t="shared" si="97"/>
        <v>-512.3494</v>
      </c>
      <c r="G105" s="381">
        <f t="shared" si="97"/>
        <v>0</v>
      </c>
      <c r="H105" s="83">
        <f t="shared" si="97"/>
        <v>-173.191473</v>
      </c>
      <c r="I105" s="83">
        <f t="shared" si="97"/>
        <v>-20</v>
      </c>
      <c r="J105" s="83">
        <f t="shared" si="97"/>
        <v>0</v>
      </c>
      <c r="K105" s="83">
        <f t="shared" si="97"/>
        <v>1451.949127</v>
      </c>
      <c r="L105" s="83">
        <f t="shared" si="97"/>
        <v>178.65</v>
      </c>
      <c r="M105" s="83">
        <f t="shared" si="97"/>
        <v>1630.599127</v>
      </c>
      <c r="N105" s="83">
        <f t="shared" si="61"/>
        <v>-30.2011383307507</v>
      </c>
      <c r="O105" s="388"/>
    </row>
    <row r="106" s="5" customFormat="1" customHeight="1" spans="1:15">
      <c r="A106" s="380">
        <v>2040201</v>
      </c>
      <c r="B106" s="151" t="s">
        <v>94</v>
      </c>
      <c r="C106" s="83">
        <v>0.89</v>
      </c>
      <c r="D106" s="83">
        <v>128.65</v>
      </c>
      <c r="E106" s="83">
        <f t="shared" si="92"/>
        <v>129.54</v>
      </c>
      <c r="F106" s="83">
        <v>0</v>
      </c>
      <c r="G106" s="83">
        <v>0</v>
      </c>
      <c r="H106" s="83">
        <v>0.00267700000000004</v>
      </c>
      <c r="I106" s="83">
        <v>0</v>
      </c>
      <c r="J106" s="83">
        <f t="shared" si="93"/>
        <v>0</v>
      </c>
      <c r="K106" s="83">
        <f t="shared" si="94"/>
        <v>0.892677</v>
      </c>
      <c r="L106" s="83">
        <v>128.65</v>
      </c>
      <c r="M106" s="83">
        <f t="shared" si="95"/>
        <v>129.542677</v>
      </c>
      <c r="N106" s="83">
        <f t="shared" si="61"/>
        <v>0.00206654315269847</v>
      </c>
      <c r="O106" s="220">
        <v>0</v>
      </c>
    </row>
    <row r="107" s="5" customFormat="1" customHeight="1" spans="1:15">
      <c r="A107" s="380">
        <v>2040202</v>
      </c>
      <c r="B107" s="151" t="s">
        <v>116</v>
      </c>
      <c r="C107" s="83">
        <v>10</v>
      </c>
      <c r="D107" s="83">
        <v>0</v>
      </c>
      <c r="E107" s="83">
        <f t="shared" si="92"/>
        <v>10</v>
      </c>
      <c r="F107" s="83">
        <v>0</v>
      </c>
      <c r="G107" s="83">
        <v>0</v>
      </c>
      <c r="H107" s="83">
        <v>0</v>
      </c>
      <c r="I107" s="83">
        <v>0</v>
      </c>
      <c r="J107" s="83">
        <f t="shared" si="93"/>
        <v>0</v>
      </c>
      <c r="K107" s="83">
        <f t="shared" si="94"/>
        <v>10</v>
      </c>
      <c r="L107" s="83"/>
      <c r="M107" s="83">
        <f t="shared" si="95"/>
        <v>10</v>
      </c>
      <c r="N107" s="83">
        <f t="shared" si="61"/>
        <v>0</v>
      </c>
      <c r="O107" s="220">
        <v>0</v>
      </c>
    </row>
    <row r="108" s="5" customFormat="1" customHeight="1" spans="1:15">
      <c r="A108" s="380">
        <v>2040299</v>
      </c>
      <c r="B108" s="151" t="s">
        <v>206</v>
      </c>
      <c r="C108" s="83">
        <v>2146.6</v>
      </c>
      <c r="D108" s="83">
        <v>50</v>
      </c>
      <c r="E108" s="83">
        <f t="shared" si="92"/>
        <v>2196.6</v>
      </c>
      <c r="F108" s="83">
        <v>-512.3494</v>
      </c>
      <c r="G108" s="83">
        <v>0</v>
      </c>
      <c r="H108" s="83">
        <v>-173.19415</v>
      </c>
      <c r="I108" s="83">
        <v>-20</v>
      </c>
      <c r="J108" s="83">
        <f t="shared" si="93"/>
        <v>0</v>
      </c>
      <c r="K108" s="83">
        <f t="shared" si="94"/>
        <v>1441.05645</v>
      </c>
      <c r="L108" s="83">
        <v>50</v>
      </c>
      <c r="M108" s="83">
        <f t="shared" si="95"/>
        <v>1491.05645</v>
      </c>
      <c r="N108" s="83">
        <f t="shared" si="61"/>
        <v>-32.1198010561777</v>
      </c>
      <c r="O108" s="220" t="s">
        <v>207</v>
      </c>
    </row>
    <row r="109" s="5" customFormat="1" customHeight="1" spans="1:15">
      <c r="A109" s="380">
        <v>20404</v>
      </c>
      <c r="B109" s="151" t="s">
        <v>208</v>
      </c>
      <c r="C109" s="83">
        <f t="shared" ref="C109:M109" si="98">SUM(C110:C111)</f>
        <v>124.59</v>
      </c>
      <c r="D109" s="83">
        <f t="shared" si="98"/>
        <v>0</v>
      </c>
      <c r="E109" s="83">
        <f t="shared" si="98"/>
        <v>124.59</v>
      </c>
      <c r="F109" s="83">
        <f t="shared" si="98"/>
        <v>-20.1</v>
      </c>
      <c r="G109" s="381">
        <f t="shared" si="98"/>
        <v>0</v>
      </c>
      <c r="H109" s="83">
        <f t="shared" si="98"/>
        <v>0</v>
      </c>
      <c r="I109" s="83">
        <f t="shared" si="98"/>
        <v>13.58</v>
      </c>
      <c r="J109" s="83">
        <f t="shared" si="98"/>
        <v>0</v>
      </c>
      <c r="K109" s="83">
        <f t="shared" si="98"/>
        <v>118.07</v>
      </c>
      <c r="L109" s="83">
        <f t="shared" si="98"/>
        <v>0</v>
      </c>
      <c r="M109" s="83">
        <f t="shared" si="98"/>
        <v>118.07</v>
      </c>
      <c r="N109" s="83">
        <f t="shared" si="61"/>
        <v>-5.23316478047998</v>
      </c>
      <c r="O109" s="220"/>
    </row>
    <row r="110" s="5" customFormat="1" customHeight="1" spans="1:15">
      <c r="A110" s="380">
        <v>2040401</v>
      </c>
      <c r="B110" s="151" t="s">
        <v>94</v>
      </c>
      <c r="C110" s="83">
        <v>69.81</v>
      </c>
      <c r="D110" s="83">
        <v>0</v>
      </c>
      <c r="E110" s="83">
        <f t="shared" ref="E110:E114" si="99">C110+D110</f>
        <v>69.81</v>
      </c>
      <c r="F110" s="83">
        <v>-0.18</v>
      </c>
      <c r="G110" s="83">
        <v>0</v>
      </c>
      <c r="H110" s="83">
        <v>0</v>
      </c>
      <c r="I110" s="83">
        <v>13.58</v>
      </c>
      <c r="J110" s="83">
        <f t="shared" ref="J110:J114" si="100">L110-D110</f>
        <v>0</v>
      </c>
      <c r="K110" s="83">
        <f t="shared" ref="K110:K114" si="101">C110+F110+G110+H110+I110</f>
        <v>83.21</v>
      </c>
      <c r="L110" s="83"/>
      <c r="M110" s="83">
        <f t="shared" ref="M110:M114" si="102">K110+L110</f>
        <v>83.21</v>
      </c>
      <c r="N110" s="83">
        <f t="shared" si="61"/>
        <v>19.1949577424438</v>
      </c>
      <c r="O110" s="220" t="s">
        <v>115</v>
      </c>
    </row>
    <row r="111" s="5" customFormat="1" customHeight="1" spans="1:15">
      <c r="A111" s="380">
        <v>2040499</v>
      </c>
      <c r="B111" s="151" t="s">
        <v>209</v>
      </c>
      <c r="C111" s="83">
        <v>54.78</v>
      </c>
      <c r="D111" s="83">
        <v>0</v>
      </c>
      <c r="E111" s="83">
        <f t="shared" si="99"/>
        <v>54.78</v>
      </c>
      <c r="F111" s="83">
        <v>-19.92</v>
      </c>
      <c r="G111" s="83">
        <v>0</v>
      </c>
      <c r="H111" s="83">
        <v>0</v>
      </c>
      <c r="I111" s="83">
        <v>0</v>
      </c>
      <c r="J111" s="83">
        <f t="shared" si="100"/>
        <v>0</v>
      </c>
      <c r="K111" s="83">
        <f t="shared" si="101"/>
        <v>34.86</v>
      </c>
      <c r="L111" s="83"/>
      <c r="M111" s="83">
        <f t="shared" si="102"/>
        <v>34.86</v>
      </c>
      <c r="N111" s="83">
        <f t="shared" si="61"/>
        <v>-36.3636363636364</v>
      </c>
      <c r="O111" s="220" t="s">
        <v>210</v>
      </c>
    </row>
    <row r="112" s="5" customFormat="1" customHeight="1" spans="1:15">
      <c r="A112" s="380">
        <v>20405</v>
      </c>
      <c r="B112" s="151" t="s">
        <v>211</v>
      </c>
      <c r="C112" s="83">
        <f t="shared" ref="C112:M112" si="103">SUM(C113:C114)</f>
        <v>253.1</v>
      </c>
      <c r="D112" s="83">
        <f t="shared" si="103"/>
        <v>0</v>
      </c>
      <c r="E112" s="83">
        <f t="shared" si="103"/>
        <v>253.1</v>
      </c>
      <c r="F112" s="83">
        <f t="shared" si="103"/>
        <v>-91.015</v>
      </c>
      <c r="G112" s="381">
        <f t="shared" si="103"/>
        <v>0</v>
      </c>
      <c r="H112" s="83">
        <f t="shared" si="103"/>
        <v>0</v>
      </c>
      <c r="I112" s="83">
        <f t="shared" si="103"/>
        <v>11.57</v>
      </c>
      <c r="J112" s="83">
        <f t="shared" si="103"/>
        <v>0</v>
      </c>
      <c r="K112" s="83">
        <f t="shared" si="103"/>
        <v>173.655</v>
      </c>
      <c r="L112" s="83">
        <f t="shared" si="103"/>
        <v>0</v>
      </c>
      <c r="M112" s="83">
        <f t="shared" si="103"/>
        <v>173.655</v>
      </c>
      <c r="N112" s="83">
        <f t="shared" si="61"/>
        <v>-31.3887791386804</v>
      </c>
      <c r="O112" s="220"/>
    </row>
    <row r="113" s="5" customFormat="1" customHeight="1" spans="1:15">
      <c r="A113" s="380">
        <v>2040501</v>
      </c>
      <c r="B113" s="151" t="s">
        <v>94</v>
      </c>
      <c r="C113" s="83">
        <v>96.51</v>
      </c>
      <c r="D113" s="83">
        <v>0</v>
      </c>
      <c r="E113" s="83">
        <f t="shared" si="99"/>
        <v>96.51</v>
      </c>
      <c r="F113" s="83">
        <v>0</v>
      </c>
      <c r="G113" s="83">
        <v>0</v>
      </c>
      <c r="H113" s="83">
        <v>0</v>
      </c>
      <c r="I113" s="83">
        <v>11.57</v>
      </c>
      <c r="J113" s="83">
        <f t="shared" si="100"/>
        <v>0</v>
      </c>
      <c r="K113" s="83">
        <f t="shared" si="101"/>
        <v>108.08</v>
      </c>
      <c r="L113" s="83"/>
      <c r="M113" s="83">
        <f t="shared" si="102"/>
        <v>108.08</v>
      </c>
      <c r="N113" s="83">
        <f t="shared" si="61"/>
        <v>11.9883949849757</v>
      </c>
      <c r="O113" s="220" t="s">
        <v>95</v>
      </c>
    </row>
    <row r="114" s="5" customFormat="1" customHeight="1" spans="1:15">
      <c r="A114" s="380">
        <v>2040599</v>
      </c>
      <c r="B114" s="151" t="s">
        <v>212</v>
      </c>
      <c r="C114" s="83">
        <v>156.59</v>
      </c>
      <c r="D114" s="83">
        <v>0</v>
      </c>
      <c r="E114" s="83">
        <f t="shared" si="99"/>
        <v>156.59</v>
      </c>
      <c r="F114" s="83">
        <v>-91.015</v>
      </c>
      <c r="G114" s="83"/>
      <c r="H114" s="83">
        <v>0</v>
      </c>
      <c r="I114" s="83">
        <v>0</v>
      </c>
      <c r="J114" s="83">
        <f t="shared" si="100"/>
        <v>0</v>
      </c>
      <c r="K114" s="83">
        <f t="shared" si="101"/>
        <v>65.575</v>
      </c>
      <c r="L114" s="83"/>
      <c r="M114" s="83">
        <f t="shared" si="102"/>
        <v>65.575</v>
      </c>
      <c r="N114" s="83">
        <f t="shared" si="61"/>
        <v>-58.1231240819976</v>
      </c>
      <c r="O114" s="220" t="s">
        <v>213</v>
      </c>
    </row>
    <row r="115" s="5" customFormat="1" customHeight="1" spans="1:15">
      <c r="A115" s="380">
        <v>20406</v>
      </c>
      <c r="B115" s="151" t="s">
        <v>214</v>
      </c>
      <c r="C115" s="83">
        <f t="shared" ref="C115:M115" si="104">SUM(C116:C124)</f>
        <v>928.66</v>
      </c>
      <c r="D115" s="83">
        <f t="shared" si="104"/>
        <v>223</v>
      </c>
      <c r="E115" s="83">
        <f t="shared" si="104"/>
        <v>1151.66</v>
      </c>
      <c r="F115" s="83">
        <f t="shared" si="104"/>
        <v>-68.887804</v>
      </c>
      <c r="G115" s="381">
        <f t="shared" si="104"/>
        <v>0</v>
      </c>
      <c r="H115" s="83">
        <f t="shared" si="104"/>
        <v>-4.12432</v>
      </c>
      <c r="I115" s="83">
        <f t="shared" si="104"/>
        <v>75.28</v>
      </c>
      <c r="J115" s="83">
        <f t="shared" si="104"/>
        <v>-92.63</v>
      </c>
      <c r="K115" s="83">
        <f t="shared" si="104"/>
        <v>930.927876</v>
      </c>
      <c r="L115" s="83">
        <f t="shared" si="104"/>
        <v>130.37</v>
      </c>
      <c r="M115" s="83">
        <f t="shared" si="104"/>
        <v>1061.297876</v>
      </c>
      <c r="N115" s="83">
        <f t="shared" si="61"/>
        <v>-7.84625010853898</v>
      </c>
      <c r="O115" s="220"/>
    </row>
    <row r="116" s="5" customFormat="1" customHeight="1" spans="1:15">
      <c r="A116" s="380">
        <v>2040601</v>
      </c>
      <c r="B116" s="151" t="s">
        <v>94</v>
      </c>
      <c r="C116" s="83">
        <v>592.6</v>
      </c>
      <c r="D116" s="83">
        <v>0</v>
      </c>
      <c r="E116" s="83">
        <f t="shared" ref="E116:E124" si="105">C116+D116</f>
        <v>592.6</v>
      </c>
      <c r="F116" s="83">
        <v>-22.4</v>
      </c>
      <c r="G116" s="83">
        <v>0</v>
      </c>
      <c r="H116" s="83">
        <v>0</v>
      </c>
      <c r="I116" s="83">
        <v>56.05</v>
      </c>
      <c r="J116" s="83">
        <f t="shared" ref="J116:J124" si="106">L116-D116</f>
        <v>0</v>
      </c>
      <c r="K116" s="83">
        <f t="shared" ref="K116:K124" si="107">C116+F116+G116+H116+I116</f>
        <v>626.25</v>
      </c>
      <c r="L116" s="83"/>
      <c r="M116" s="83">
        <f t="shared" ref="M116:M124" si="108">K116+L116</f>
        <v>626.25</v>
      </c>
      <c r="N116" s="83">
        <f t="shared" si="61"/>
        <v>5.67836652041849</v>
      </c>
      <c r="O116" s="220" t="s">
        <v>115</v>
      </c>
    </row>
    <row r="117" s="5" customFormat="1" customHeight="1" spans="1:15">
      <c r="A117" s="380">
        <v>2040602</v>
      </c>
      <c r="B117" s="151" t="s">
        <v>116</v>
      </c>
      <c r="C117" s="83">
        <v>71.2</v>
      </c>
      <c r="D117" s="83">
        <v>0</v>
      </c>
      <c r="E117" s="83">
        <f t="shared" si="105"/>
        <v>71.2</v>
      </c>
      <c r="F117" s="83">
        <v>-13.5</v>
      </c>
      <c r="G117" s="83"/>
      <c r="H117" s="83">
        <v>0</v>
      </c>
      <c r="I117" s="83">
        <v>0</v>
      </c>
      <c r="J117" s="83">
        <f t="shared" si="106"/>
        <v>0</v>
      </c>
      <c r="K117" s="83">
        <f t="shared" si="107"/>
        <v>57.7</v>
      </c>
      <c r="L117" s="83"/>
      <c r="M117" s="83">
        <f t="shared" si="108"/>
        <v>57.7</v>
      </c>
      <c r="N117" s="83">
        <f t="shared" si="61"/>
        <v>-18.9606741573034</v>
      </c>
      <c r="O117" s="220" t="s">
        <v>215</v>
      </c>
    </row>
    <row r="118" s="5" customFormat="1" customHeight="1" spans="1:15">
      <c r="A118" s="380">
        <v>2040604</v>
      </c>
      <c r="B118" s="151" t="s">
        <v>216</v>
      </c>
      <c r="C118" s="83">
        <v>30.07</v>
      </c>
      <c r="D118" s="83">
        <v>58</v>
      </c>
      <c r="E118" s="83">
        <f t="shared" si="105"/>
        <v>88.07</v>
      </c>
      <c r="F118" s="83">
        <v>-4</v>
      </c>
      <c r="G118" s="83">
        <v>0</v>
      </c>
      <c r="H118" s="83">
        <v>-4.12912</v>
      </c>
      <c r="I118" s="83">
        <v>0</v>
      </c>
      <c r="J118" s="83">
        <f t="shared" si="106"/>
        <v>-46</v>
      </c>
      <c r="K118" s="83">
        <f t="shared" si="107"/>
        <v>21.94088</v>
      </c>
      <c r="L118" s="83">
        <v>12</v>
      </c>
      <c r="M118" s="83">
        <f t="shared" si="108"/>
        <v>33.94088</v>
      </c>
      <c r="N118" s="83">
        <f t="shared" si="61"/>
        <v>-61.4614738276371</v>
      </c>
      <c r="O118" s="220" t="s">
        <v>217</v>
      </c>
    </row>
    <row r="119" s="5" customFormat="1" customHeight="1" spans="1:15">
      <c r="A119" s="380">
        <v>2040605</v>
      </c>
      <c r="B119" s="151" t="s">
        <v>218</v>
      </c>
      <c r="C119" s="83">
        <v>15</v>
      </c>
      <c r="D119" s="83">
        <v>7</v>
      </c>
      <c r="E119" s="83">
        <f t="shared" si="105"/>
        <v>22</v>
      </c>
      <c r="F119" s="83">
        <v>0</v>
      </c>
      <c r="G119" s="83"/>
      <c r="H119" s="83">
        <v>0</v>
      </c>
      <c r="I119" s="83">
        <v>0</v>
      </c>
      <c r="J119" s="83">
        <f t="shared" si="106"/>
        <v>0</v>
      </c>
      <c r="K119" s="83">
        <f t="shared" si="107"/>
        <v>15</v>
      </c>
      <c r="L119" s="83">
        <v>7</v>
      </c>
      <c r="M119" s="83">
        <f t="shared" si="108"/>
        <v>22</v>
      </c>
      <c r="N119" s="83">
        <f t="shared" si="61"/>
        <v>0</v>
      </c>
      <c r="O119" s="220"/>
    </row>
    <row r="120" s="5" customFormat="1" customHeight="1" spans="1:15">
      <c r="A120" s="380">
        <v>2040606</v>
      </c>
      <c r="B120" s="151" t="s">
        <v>219</v>
      </c>
      <c r="C120" s="83">
        <v>5</v>
      </c>
      <c r="D120" s="83">
        <v>0</v>
      </c>
      <c r="E120" s="83">
        <f t="shared" si="105"/>
        <v>5</v>
      </c>
      <c r="F120" s="83">
        <v>-5</v>
      </c>
      <c r="G120" s="83"/>
      <c r="H120" s="83">
        <v>0</v>
      </c>
      <c r="I120" s="83">
        <v>0</v>
      </c>
      <c r="J120" s="83">
        <f t="shared" si="106"/>
        <v>0</v>
      </c>
      <c r="K120" s="83">
        <f t="shared" si="107"/>
        <v>0</v>
      </c>
      <c r="L120" s="83"/>
      <c r="M120" s="83">
        <f t="shared" si="108"/>
        <v>0</v>
      </c>
      <c r="N120" s="83">
        <f t="shared" si="61"/>
        <v>-100</v>
      </c>
      <c r="O120" s="220" t="s">
        <v>220</v>
      </c>
    </row>
    <row r="121" s="5" customFormat="1" customHeight="1" spans="1:15">
      <c r="A121" s="380">
        <v>2040607</v>
      </c>
      <c r="B121" s="151" t="s">
        <v>221</v>
      </c>
      <c r="C121" s="83">
        <v>97.15</v>
      </c>
      <c r="D121" s="83">
        <v>64</v>
      </c>
      <c r="E121" s="83">
        <f t="shared" si="105"/>
        <v>161.15</v>
      </c>
      <c r="F121" s="83">
        <v>-23.987276</v>
      </c>
      <c r="G121" s="83"/>
      <c r="H121" s="83">
        <v>-0.00228500000000009</v>
      </c>
      <c r="I121" s="83">
        <v>19.23</v>
      </c>
      <c r="J121" s="83">
        <f t="shared" si="106"/>
        <v>-0.359999999999999</v>
      </c>
      <c r="K121" s="83">
        <f t="shared" si="107"/>
        <v>92.390439</v>
      </c>
      <c r="L121" s="83">
        <v>63.64</v>
      </c>
      <c r="M121" s="83">
        <f t="shared" si="108"/>
        <v>156.030439</v>
      </c>
      <c r="N121" s="83">
        <f t="shared" si="61"/>
        <v>-3.17689171579274</v>
      </c>
      <c r="O121" s="220" t="s">
        <v>115</v>
      </c>
    </row>
    <row r="122" s="5" customFormat="1" customHeight="1" spans="1:15">
      <c r="A122" s="380">
        <v>2040610</v>
      </c>
      <c r="B122" s="151" t="s">
        <v>222</v>
      </c>
      <c r="C122" s="83">
        <v>76.37</v>
      </c>
      <c r="D122" s="83">
        <v>10</v>
      </c>
      <c r="E122" s="83">
        <f t="shared" si="105"/>
        <v>86.37</v>
      </c>
      <c r="F122" s="83">
        <v>-0.000527999999988538</v>
      </c>
      <c r="G122" s="83">
        <v>0</v>
      </c>
      <c r="H122" s="83">
        <v>0.00301099999999987</v>
      </c>
      <c r="I122" s="83">
        <v>0</v>
      </c>
      <c r="J122" s="83">
        <f t="shared" si="106"/>
        <v>-5.16</v>
      </c>
      <c r="K122" s="83">
        <f t="shared" si="107"/>
        <v>76.372483</v>
      </c>
      <c r="L122" s="83">
        <v>4.84</v>
      </c>
      <c r="M122" s="83">
        <f t="shared" si="108"/>
        <v>81.212483</v>
      </c>
      <c r="N122" s="83">
        <f t="shared" si="61"/>
        <v>-5.97142178997335</v>
      </c>
      <c r="O122" s="220">
        <v>0</v>
      </c>
    </row>
    <row r="123" s="5" customFormat="1" customHeight="1" spans="1:15">
      <c r="A123" s="380">
        <v>2040613</v>
      </c>
      <c r="B123" s="151" t="s">
        <v>129</v>
      </c>
      <c r="C123" s="83"/>
      <c r="D123" s="83">
        <v>11</v>
      </c>
      <c r="E123" s="83">
        <f t="shared" si="105"/>
        <v>11</v>
      </c>
      <c r="F123" s="83"/>
      <c r="G123" s="83"/>
      <c r="H123" s="83"/>
      <c r="I123" s="83"/>
      <c r="J123" s="83">
        <f t="shared" si="106"/>
        <v>-1.75</v>
      </c>
      <c r="K123" s="83">
        <f t="shared" si="107"/>
        <v>0</v>
      </c>
      <c r="L123" s="83">
        <v>9.25</v>
      </c>
      <c r="M123" s="83">
        <f t="shared" si="108"/>
        <v>9.25</v>
      </c>
      <c r="N123" s="83">
        <f t="shared" si="61"/>
        <v>-15.9090909090909</v>
      </c>
      <c r="O123" s="220"/>
    </row>
    <row r="124" s="5" customFormat="1" customHeight="1" spans="1:15">
      <c r="A124" s="380">
        <v>2040699</v>
      </c>
      <c r="B124" s="151" t="s">
        <v>223</v>
      </c>
      <c r="C124" s="83">
        <v>41.27</v>
      </c>
      <c r="D124" s="83">
        <v>73</v>
      </c>
      <c r="E124" s="83">
        <f t="shared" si="105"/>
        <v>114.27</v>
      </c>
      <c r="F124" s="83">
        <v>0</v>
      </c>
      <c r="G124" s="83">
        <v>0</v>
      </c>
      <c r="H124" s="83">
        <v>0.00407400000000013</v>
      </c>
      <c r="I124" s="83">
        <v>0</v>
      </c>
      <c r="J124" s="83">
        <f t="shared" si="106"/>
        <v>-39.36</v>
      </c>
      <c r="K124" s="83">
        <f t="shared" si="107"/>
        <v>41.274074</v>
      </c>
      <c r="L124" s="83">
        <v>33.64</v>
      </c>
      <c r="M124" s="83">
        <f t="shared" si="108"/>
        <v>74.914074</v>
      </c>
      <c r="N124" s="83">
        <f t="shared" si="61"/>
        <v>-34.4411709110003</v>
      </c>
      <c r="O124" s="220">
        <v>0</v>
      </c>
    </row>
    <row r="125" s="5" customFormat="1" customHeight="1" spans="1:15">
      <c r="A125" s="380">
        <v>20499</v>
      </c>
      <c r="B125" s="151" t="s">
        <v>224</v>
      </c>
      <c r="C125" s="83">
        <f t="shared" ref="C125:M125" si="109">SUM(C126)</f>
        <v>5</v>
      </c>
      <c r="D125" s="83">
        <f t="shared" si="109"/>
        <v>56</v>
      </c>
      <c r="E125" s="83">
        <f t="shared" si="109"/>
        <v>61</v>
      </c>
      <c r="F125" s="83">
        <f t="shared" si="109"/>
        <v>-5</v>
      </c>
      <c r="G125" s="381">
        <f t="shared" si="109"/>
        <v>0</v>
      </c>
      <c r="H125" s="83">
        <f t="shared" si="109"/>
        <v>0</v>
      </c>
      <c r="I125" s="83">
        <f t="shared" si="109"/>
        <v>0</v>
      </c>
      <c r="J125" s="83">
        <f t="shared" si="109"/>
        <v>-6.26</v>
      </c>
      <c r="K125" s="83">
        <f t="shared" si="109"/>
        <v>0</v>
      </c>
      <c r="L125" s="83">
        <f t="shared" si="109"/>
        <v>49.74</v>
      </c>
      <c r="M125" s="83">
        <f t="shared" si="109"/>
        <v>49.74</v>
      </c>
      <c r="N125" s="83">
        <f t="shared" si="61"/>
        <v>-18.4590163934426</v>
      </c>
      <c r="O125" s="220"/>
    </row>
    <row r="126" s="5" customFormat="1" customHeight="1" spans="1:15">
      <c r="A126" s="380">
        <v>2049999</v>
      </c>
      <c r="B126" s="151" t="s">
        <v>224</v>
      </c>
      <c r="C126" s="83">
        <v>5</v>
      </c>
      <c r="D126" s="83">
        <v>56</v>
      </c>
      <c r="E126" s="83">
        <f t="shared" ref="E126:E135" si="110">C126+D126</f>
        <v>61</v>
      </c>
      <c r="F126" s="83">
        <v>-5</v>
      </c>
      <c r="G126" s="83">
        <v>0</v>
      </c>
      <c r="H126" s="83">
        <v>0</v>
      </c>
      <c r="I126" s="83">
        <v>0</v>
      </c>
      <c r="J126" s="83">
        <f t="shared" ref="J126:J135" si="111">L126-D126</f>
        <v>-6.26</v>
      </c>
      <c r="K126" s="83">
        <f t="shared" ref="K126:K135" si="112">C126+F126+G126+H126+I126</f>
        <v>0</v>
      </c>
      <c r="L126" s="83">
        <v>49.74</v>
      </c>
      <c r="M126" s="83">
        <f t="shared" ref="M126:M135" si="113">K126+L126</f>
        <v>49.74</v>
      </c>
      <c r="N126" s="83">
        <f t="shared" si="61"/>
        <v>-18.4590163934426</v>
      </c>
      <c r="O126" s="220" t="s">
        <v>225</v>
      </c>
    </row>
    <row r="127" s="5" customFormat="1" customHeight="1" spans="1:15">
      <c r="A127" s="377">
        <v>205</v>
      </c>
      <c r="B127" s="378" t="s">
        <v>226</v>
      </c>
      <c r="C127" s="379">
        <f t="shared" ref="C127:M127" si="114">C128+C130+C136+C140+C143+C146+C148</f>
        <v>59724.22</v>
      </c>
      <c r="D127" s="379">
        <f t="shared" si="114"/>
        <v>15062.9916</v>
      </c>
      <c r="E127" s="379">
        <f t="shared" si="114"/>
        <v>74787.2116</v>
      </c>
      <c r="F127" s="379">
        <f t="shared" si="114"/>
        <v>-4747.931436</v>
      </c>
      <c r="G127" s="379">
        <f t="shared" si="114"/>
        <v>0</v>
      </c>
      <c r="H127" s="379">
        <f t="shared" si="114"/>
        <v>-7360.037839</v>
      </c>
      <c r="I127" s="379">
        <f t="shared" si="114"/>
        <v>11048.812</v>
      </c>
      <c r="J127" s="379">
        <f t="shared" si="114"/>
        <v>-8966.2816</v>
      </c>
      <c r="K127" s="379">
        <f t="shared" si="114"/>
        <v>58665.062725</v>
      </c>
      <c r="L127" s="379">
        <f t="shared" si="114"/>
        <v>6096.71</v>
      </c>
      <c r="M127" s="379">
        <f t="shared" si="114"/>
        <v>64761.772725</v>
      </c>
      <c r="N127" s="379">
        <f t="shared" si="61"/>
        <v>-13.4052850220184</v>
      </c>
      <c r="O127" s="387">
        <f>O128+O130+O136+O140+O143+O146+O148</f>
        <v>0</v>
      </c>
    </row>
    <row r="128" s="5" customFormat="1" customHeight="1" spans="1:15">
      <c r="A128" s="380">
        <v>20501</v>
      </c>
      <c r="B128" s="151" t="s">
        <v>227</v>
      </c>
      <c r="C128" s="83">
        <f t="shared" ref="C128:M128" si="115">SUM(C129:C129)</f>
        <v>959.1</v>
      </c>
      <c r="D128" s="83">
        <f t="shared" si="115"/>
        <v>0</v>
      </c>
      <c r="E128" s="83">
        <f t="shared" si="115"/>
        <v>959.1</v>
      </c>
      <c r="F128" s="83">
        <f t="shared" si="115"/>
        <v>-10.49</v>
      </c>
      <c r="G128" s="381">
        <f t="shared" si="115"/>
        <v>0</v>
      </c>
      <c r="H128" s="83">
        <f t="shared" si="115"/>
        <v>0</v>
      </c>
      <c r="I128" s="83">
        <f t="shared" si="115"/>
        <v>93.54</v>
      </c>
      <c r="J128" s="83">
        <f t="shared" si="115"/>
        <v>0</v>
      </c>
      <c r="K128" s="83">
        <f t="shared" si="115"/>
        <v>1042.15</v>
      </c>
      <c r="L128" s="83">
        <f t="shared" si="115"/>
        <v>0</v>
      </c>
      <c r="M128" s="83">
        <f t="shared" si="115"/>
        <v>1042.15</v>
      </c>
      <c r="N128" s="83">
        <f t="shared" si="61"/>
        <v>8.65915962881869</v>
      </c>
      <c r="O128" s="220"/>
    </row>
    <row r="129" s="5" customFormat="1" customHeight="1" spans="1:15">
      <c r="A129" s="380">
        <v>2050101</v>
      </c>
      <c r="B129" s="151" t="s">
        <v>94</v>
      </c>
      <c r="C129" s="83">
        <v>959.1</v>
      </c>
      <c r="D129" s="83">
        <v>0</v>
      </c>
      <c r="E129" s="83">
        <f t="shared" si="110"/>
        <v>959.1</v>
      </c>
      <c r="F129" s="83">
        <v>-10.49</v>
      </c>
      <c r="G129" s="83">
        <v>0</v>
      </c>
      <c r="H129" s="83">
        <v>0</v>
      </c>
      <c r="I129" s="83">
        <v>93.54</v>
      </c>
      <c r="J129" s="83">
        <f t="shared" si="111"/>
        <v>0</v>
      </c>
      <c r="K129" s="83">
        <f t="shared" si="112"/>
        <v>1042.15</v>
      </c>
      <c r="L129" s="83"/>
      <c r="M129" s="83">
        <f t="shared" si="113"/>
        <v>1042.15</v>
      </c>
      <c r="N129" s="83">
        <f t="shared" si="61"/>
        <v>8.65915962881869</v>
      </c>
      <c r="O129" s="220" t="s">
        <v>115</v>
      </c>
    </row>
    <row r="130" s="5" customFormat="1" customHeight="1" spans="1:15">
      <c r="A130" s="380">
        <v>20502</v>
      </c>
      <c r="B130" s="151" t="s">
        <v>228</v>
      </c>
      <c r="C130" s="83">
        <f t="shared" ref="C130:M130" si="116">SUM(C131:C135)</f>
        <v>49405.41</v>
      </c>
      <c r="D130" s="83">
        <f t="shared" si="116"/>
        <v>7099.3611</v>
      </c>
      <c r="E130" s="83">
        <f t="shared" si="116"/>
        <v>56504.7711</v>
      </c>
      <c r="F130" s="83">
        <f t="shared" si="116"/>
        <v>-4664.029612</v>
      </c>
      <c r="G130" s="381">
        <f t="shared" si="116"/>
        <v>0</v>
      </c>
      <c r="H130" s="83">
        <f t="shared" si="116"/>
        <v>-261.839452</v>
      </c>
      <c r="I130" s="83">
        <f t="shared" si="116"/>
        <v>10790.742</v>
      </c>
      <c r="J130" s="83">
        <f t="shared" si="116"/>
        <v>-1355.9711</v>
      </c>
      <c r="K130" s="83">
        <f t="shared" si="116"/>
        <v>55270.282936</v>
      </c>
      <c r="L130" s="83">
        <f t="shared" si="116"/>
        <v>5743.39</v>
      </c>
      <c r="M130" s="83">
        <f t="shared" si="116"/>
        <v>61013.672936</v>
      </c>
      <c r="N130" s="83">
        <f t="shared" si="61"/>
        <v>7.97968339349667</v>
      </c>
      <c r="O130" s="220"/>
    </row>
    <row r="131" s="5" customFormat="1" customHeight="1" spans="1:15">
      <c r="A131" s="380">
        <v>2050201</v>
      </c>
      <c r="B131" s="151" t="s">
        <v>229</v>
      </c>
      <c r="C131" s="83">
        <v>1172.05</v>
      </c>
      <c r="D131" s="83">
        <v>302.5775</v>
      </c>
      <c r="E131" s="83">
        <f t="shared" si="110"/>
        <v>1474.6275</v>
      </c>
      <c r="F131" s="83">
        <v>-43.087756</v>
      </c>
      <c r="G131" s="83">
        <v>0</v>
      </c>
      <c r="H131" s="83">
        <v>-87.272119</v>
      </c>
      <c r="I131" s="83">
        <v>79.322</v>
      </c>
      <c r="J131" s="83">
        <f t="shared" si="111"/>
        <v>-54.5075</v>
      </c>
      <c r="K131" s="83">
        <f t="shared" si="112"/>
        <v>1121.012125</v>
      </c>
      <c r="L131" s="83">
        <v>248.07</v>
      </c>
      <c r="M131" s="83">
        <f t="shared" si="113"/>
        <v>1369.082125</v>
      </c>
      <c r="N131" s="83">
        <f t="shared" si="61"/>
        <v>-7.15742619746342</v>
      </c>
      <c r="O131" s="220" t="s">
        <v>115</v>
      </c>
    </row>
    <row r="132" s="5" customFormat="1" customHeight="1" spans="1:15">
      <c r="A132" s="380">
        <v>2050202</v>
      </c>
      <c r="B132" s="151" t="s">
        <v>230</v>
      </c>
      <c r="C132" s="83">
        <v>22421.07</v>
      </c>
      <c r="D132" s="83">
        <v>2696.806986</v>
      </c>
      <c r="E132" s="83">
        <f t="shared" si="110"/>
        <v>25117.876986</v>
      </c>
      <c r="F132" s="83">
        <v>-1143.8</v>
      </c>
      <c r="G132" s="83">
        <v>0</v>
      </c>
      <c r="H132" s="83">
        <v>-24.914071</v>
      </c>
      <c r="I132" s="83">
        <v>5639.34</v>
      </c>
      <c r="J132" s="83">
        <f t="shared" si="111"/>
        <v>-308.956986</v>
      </c>
      <c r="K132" s="83">
        <f t="shared" si="112"/>
        <v>26891.695929</v>
      </c>
      <c r="L132" s="83">
        <v>2387.85</v>
      </c>
      <c r="M132" s="83">
        <f t="shared" si="113"/>
        <v>29279.545929</v>
      </c>
      <c r="N132" s="83">
        <f t="shared" si="61"/>
        <v>16.5685537249808</v>
      </c>
      <c r="O132" s="220" t="s">
        <v>115</v>
      </c>
    </row>
    <row r="133" s="5" customFormat="1" customHeight="1" spans="1:15">
      <c r="A133" s="380">
        <v>2050203</v>
      </c>
      <c r="B133" s="151" t="s">
        <v>231</v>
      </c>
      <c r="C133" s="83">
        <v>12511.71</v>
      </c>
      <c r="D133" s="83">
        <v>1829.171014</v>
      </c>
      <c r="E133" s="83">
        <f t="shared" si="110"/>
        <v>14340.881014</v>
      </c>
      <c r="F133" s="83">
        <v>-808.638</v>
      </c>
      <c r="G133" s="83">
        <v>0</v>
      </c>
      <c r="H133" s="83">
        <v>-0.690761999999999</v>
      </c>
      <c r="I133" s="83">
        <v>2981.81</v>
      </c>
      <c r="J133" s="83">
        <f t="shared" si="111"/>
        <v>246.688986</v>
      </c>
      <c r="K133" s="83">
        <f t="shared" si="112"/>
        <v>14684.191238</v>
      </c>
      <c r="L133" s="83">
        <v>2075.86</v>
      </c>
      <c r="M133" s="83">
        <f t="shared" si="113"/>
        <v>16760.051238</v>
      </c>
      <c r="N133" s="83">
        <f t="shared" si="61"/>
        <v>16.8690488515896</v>
      </c>
      <c r="O133" s="220" t="s">
        <v>115</v>
      </c>
    </row>
    <row r="134" s="5" customFormat="1" customHeight="1" spans="1:15">
      <c r="A134" s="380">
        <v>2050204</v>
      </c>
      <c r="B134" s="151" t="s">
        <v>232</v>
      </c>
      <c r="C134" s="83">
        <v>7042.71</v>
      </c>
      <c r="D134" s="83">
        <v>441.3856</v>
      </c>
      <c r="E134" s="83">
        <f t="shared" si="110"/>
        <v>7484.0956</v>
      </c>
      <c r="F134" s="83">
        <v>-118.05</v>
      </c>
      <c r="G134" s="83">
        <v>0</v>
      </c>
      <c r="H134" s="83">
        <v>-50.18</v>
      </c>
      <c r="I134" s="83">
        <v>1640.25</v>
      </c>
      <c r="J134" s="83">
        <f t="shared" si="111"/>
        <v>52.8444</v>
      </c>
      <c r="K134" s="83">
        <f t="shared" si="112"/>
        <v>8514.73</v>
      </c>
      <c r="L134" s="83">
        <v>494.23</v>
      </c>
      <c r="M134" s="83">
        <f t="shared" si="113"/>
        <v>9008.96</v>
      </c>
      <c r="N134" s="83">
        <f t="shared" ref="N134:N197" si="117">(M134-E134)/E134*100</f>
        <v>20.3747317177509</v>
      </c>
      <c r="O134" s="220" t="s">
        <v>115</v>
      </c>
    </row>
    <row r="135" s="5" customFormat="1" customHeight="1" spans="1:15">
      <c r="A135" s="380">
        <v>2050299</v>
      </c>
      <c r="B135" s="151" t="s">
        <v>233</v>
      </c>
      <c r="C135" s="83">
        <v>6257.87</v>
      </c>
      <c r="D135" s="83">
        <v>1829.42</v>
      </c>
      <c r="E135" s="83">
        <f t="shared" si="110"/>
        <v>8087.29</v>
      </c>
      <c r="F135" s="83">
        <v>-2550.453856</v>
      </c>
      <c r="G135" s="83">
        <v>0</v>
      </c>
      <c r="H135" s="83">
        <v>-98.7825</v>
      </c>
      <c r="I135" s="83">
        <v>450.02</v>
      </c>
      <c r="J135" s="83">
        <f t="shared" si="111"/>
        <v>-1292.04</v>
      </c>
      <c r="K135" s="83">
        <f t="shared" si="112"/>
        <v>4058.653644</v>
      </c>
      <c r="L135" s="83">
        <v>537.38</v>
      </c>
      <c r="M135" s="83">
        <f t="shared" si="113"/>
        <v>4596.033644</v>
      </c>
      <c r="N135" s="83">
        <f t="shared" si="117"/>
        <v>-43.1696693948158</v>
      </c>
      <c r="O135" s="220" t="s">
        <v>115</v>
      </c>
    </row>
    <row r="136" s="5" customFormat="1" customHeight="1" spans="1:15">
      <c r="A136" s="380">
        <v>20503</v>
      </c>
      <c r="B136" s="151" t="s">
        <v>234</v>
      </c>
      <c r="C136" s="83">
        <f t="shared" ref="C136:M136" si="118">SUM(C137:C139)</f>
        <v>8044.84</v>
      </c>
      <c r="D136" s="83">
        <f t="shared" si="118"/>
        <v>316.5625</v>
      </c>
      <c r="E136" s="83">
        <f t="shared" si="118"/>
        <v>8361.4025</v>
      </c>
      <c r="F136" s="83">
        <f t="shared" si="118"/>
        <v>-68.028</v>
      </c>
      <c r="G136" s="381">
        <f t="shared" si="118"/>
        <v>0</v>
      </c>
      <c r="H136" s="83">
        <f t="shared" si="118"/>
        <v>-7062.35</v>
      </c>
      <c r="I136" s="83">
        <f t="shared" si="118"/>
        <v>155.68</v>
      </c>
      <c r="J136" s="83">
        <f t="shared" si="118"/>
        <v>-119.4025</v>
      </c>
      <c r="K136" s="83">
        <f t="shared" si="118"/>
        <v>1070.142</v>
      </c>
      <c r="L136" s="83">
        <f t="shared" si="118"/>
        <v>197.16</v>
      </c>
      <c r="M136" s="83">
        <f t="shared" si="118"/>
        <v>1267.302</v>
      </c>
      <c r="N136" s="83">
        <f t="shared" si="117"/>
        <v>-84.8434278818655</v>
      </c>
      <c r="O136" s="388"/>
    </row>
    <row r="137" s="5" customFormat="1" customHeight="1" spans="1:15">
      <c r="A137" s="380">
        <v>2050302</v>
      </c>
      <c r="B137" s="151" t="s">
        <v>235</v>
      </c>
      <c r="C137" s="83">
        <v>1082.43</v>
      </c>
      <c r="D137" s="83">
        <v>316.5625</v>
      </c>
      <c r="E137" s="83">
        <f t="shared" ref="E137:E139" si="119">C137+D137</f>
        <v>1398.9925</v>
      </c>
      <c r="F137" s="83">
        <v>-67.968</v>
      </c>
      <c r="G137" s="83">
        <v>0</v>
      </c>
      <c r="H137" s="83">
        <v>-100</v>
      </c>
      <c r="I137" s="83">
        <v>155.68</v>
      </c>
      <c r="J137" s="83">
        <f t="shared" ref="J137:J139" si="120">L137-D137</f>
        <v>-119.4025</v>
      </c>
      <c r="K137" s="83">
        <f t="shared" ref="K137:K139" si="121">C137+F137+G137+H137+I137</f>
        <v>1070.142</v>
      </c>
      <c r="L137" s="83">
        <v>197.16</v>
      </c>
      <c r="M137" s="83">
        <f t="shared" ref="M137:M139" si="122">K137+L137</f>
        <v>1267.302</v>
      </c>
      <c r="N137" s="83">
        <f t="shared" si="117"/>
        <v>-9.41323845553139</v>
      </c>
      <c r="O137" s="220" t="s">
        <v>115</v>
      </c>
    </row>
    <row r="138" s="5" customFormat="1" customHeight="1" spans="1:15">
      <c r="A138" s="380">
        <v>2050303</v>
      </c>
      <c r="B138" s="151" t="s">
        <v>236</v>
      </c>
      <c r="C138" s="83">
        <v>0.78</v>
      </c>
      <c r="D138" s="83">
        <v>0</v>
      </c>
      <c r="E138" s="83">
        <f t="shared" si="119"/>
        <v>0.78</v>
      </c>
      <c r="F138" s="83">
        <v>-0.06</v>
      </c>
      <c r="G138" s="83">
        <v>0</v>
      </c>
      <c r="H138" s="83">
        <v>-0.72</v>
      </c>
      <c r="I138" s="83">
        <v>0</v>
      </c>
      <c r="J138" s="83">
        <f t="shared" si="120"/>
        <v>0</v>
      </c>
      <c r="K138" s="83">
        <f t="shared" si="121"/>
        <v>0</v>
      </c>
      <c r="L138" s="83"/>
      <c r="M138" s="83">
        <f t="shared" si="122"/>
        <v>0</v>
      </c>
      <c r="N138" s="83">
        <f t="shared" si="117"/>
        <v>-100</v>
      </c>
      <c r="O138" s="220">
        <v>0</v>
      </c>
    </row>
    <row r="139" s="5" customFormat="1" customHeight="1" spans="1:15">
      <c r="A139" s="380">
        <v>2050305</v>
      </c>
      <c r="B139" s="151" t="s">
        <v>237</v>
      </c>
      <c r="C139" s="83">
        <v>6961.63</v>
      </c>
      <c r="D139" s="83">
        <v>0</v>
      </c>
      <c r="E139" s="83">
        <f t="shared" si="119"/>
        <v>6961.63</v>
      </c>
      <c r="F139" s="83">
        <v>0</v>
      </c>
      <c r="G139" s="83">
        <v>0</v>
      </c>
      <c r="H139" s="83">
        <v>-6961.63</v>
      </c>
      <c r="I139" s="83">
        <v>0</v>
      </c>
      <c r="J139" s="83">
        <f t="shared" si="120"/>
        <v>0</v>
      </c>
      <c r="K139" s="83">
        <f t="shared" si="121"/>
        <v>0</v>
      </c>
      <c r="L139" s="83"/>
      <c r="M139" s="83">
        <f t="shared" si="122"/>
        <v>0</v>
      </c>
      <c r="N139" s="83">
        <f t="shared" si="117"/>
        <v>-100</v>
      </c>
      <c r="O139" s="220" t="s">
        <v>238</v>
      </c>
    </row>
    <row r="140" s="5" customFormat="1" customHeight="1" spans="1:15">
      <c r="A140" s="380">
        <v>20507</v>
      </c>
      <c r="B140" s="151" t="s">
        <v>239</v>
      </c>
      <c r="C140" s="83">
        <f t="shared" ref="C140:M140" si="123">SUM(C141:C142)</f>
        <v>72.11</v>
      </c>
      <c r="D140" s="83">
        <f t="shared" si="123"/>
        <v>142.51</v>
      </c>
      <c r="E140" s="83">
        <f t="shared" si="123"/>
        <v>214.62</v>
      </c>
      <c r="F140" s="83">
        <f t="shared" si="123"/>
        <v>-5.383824</v>
      </c>
      <c r="G140" s="381">
        <f t="shared" si="123"/>
        <v>0</v>
      </c>
      <c r="H140" s="83">
        <f t="shared" si="123"/>
        <v>-2.169387</v>
      </c>
      <c r="I140" s="83">
        <f t="shared" si="123"/>
        <v>8.85</v>
      </c>
      <c r="J140" s="83">
        <f t="shared" si="123"/>
        <v>-21.31</v>
      </c>
      <c r="K140" s="83">
        <f t="shared" si="123"/>
        <v>73.406789</v>
      </c>
      <c r="L140" s="83">
        <f t="shared" si="123"/>
        <v>121.2</v>
      </c>
      <c r="M140" s="83">
        <f t="shared" si="123"/>
        <v>194.606789</v>
      </c>
      <c r="N140" s="83">
        <f t="shared" si="117"/>
        <v>-9.32495154226073</v>
      </c>
      <c r="O140" s="220"/>
    </row>
    <row r="141" s="5" customFormat="1" customHeight="1" spans="1:15">
      <c r="A141" s="380">
        <v>2050701</v>
      </c>
      <c r="B141" s="151" t="s">
        <v>240</v>
      </c>
      <c r="C141" s="83">
        <v>15.76</v>
      </c>
      <c r="D141" s="83">
        <v>142.51</v>
      </c>
      <c r="E141" s="83">
        <f t="shared" ref="E141:E145" si="124">C141+D141</f>
        <v>158.27</v>
      </c>
      <c r="F141" s="83">
        <v>0</v>
      </c>
      <c r="G141" s="83">
        <v>0</v>
      </c>
      <c r="H141" s="83">
        <v>-2.169387</v>
      </c>
      <c r="I141" s="83">
        <v>6.45</v>
      </c>
      <c r="J141" s="83">
        <f t="shared" ref="J141:J145" si="125">L141-D141</f>
        <v>-21.31</v>
      </c>
      <c r="K141" s="83">
        <f t="shared" ref="K141:K145" si="126">C141+F141+G141+H141+I141</f>
        <v>20.040613</v>
      </c>
      <c r="L141" s="83">
        <v>121.2</v>
      </c>
      <c r="M141" s="83">
        <f t="shared" ref="M141:M145" si="127">K141+L141</f>
        <v>141.240613</v>
      </c>
      <c r="N141" s="83">
        <f t="shared" si="117"/>
        <v>-10.7597061982688</v>
      </c>
      <c r="O141" s="220" t="s">
        <v>95</v>
      </c>
    </row>
    <row r="142" s="5" customFormat="1" customHeight="1" spans="1:15">
      <c r="A142" s="380">
        <v>2050799</v>
      </c>
      <c r="B142" s="151" t="s">
        <v>241</v>
      </c>
      <c r="C142" s="83">
        <v>56.35</v>
      </c>
      <c r="D142" s="83">
        <v>0</v>
      </c>
      <c r="E142" s="83">
        <f t="shared" si="124"/>
        <v>56.35</v>
      </c>
      <c r="F142" s="83">
        <v>-5.383824</v>
      </c>
      <c r="G142" s="83">
        <v>0</v>
      </c>
      <c r="H142" s="83">
        <v>0</v>
      </c>
      <c r="I142" s="83">
        <v>2.4</v>
      </c>
      <c r="J142" s="83">
        <f t="shared" si="125"/>
        <v>0</v>
      </c>
      <c r="K142" s="83">
        <f t="shared" si="126"/>
        <v>53.366176</v>
      </c>
      <c r="L142" s="83"/>
      <c r="M142" s="83">
        <f t="shared" si="127"/>
        <v>53.366176</v>
      </c>
      <c r="N142" s="83">
        <f t="shared" si="117"/>
        <v>-5.29516237799467</v>
      </c>
      <c r="O142" s="220" t="s">
        <v>242</v>
      </c>
    </row>
    <row r="143" s="5" customFormat="1" customHeight="1" spans="1:15">
      <c r="A143" s="380">
        <v>20508</v>
      </c>
      <c r="B143" s="151" t="s">
        <v>243</v>
      </c>
      <c r="C143" s="83">
        <f t="shared" ref="C143:M143" si="128">SUM(C144:C145)</f>
        <v>35.23</v>
      </c>
      <c r="D143" s="83">
        <f t="shared" si="128"/>
        <v>30</v>
      </c>
      <c r="E143" s="83">
        <f t="shared" si="128"/>
        <v>65.23</v>
      </c>
      <c r="F143" s="83">
        <f t="shared" si="128"/>
        <v>0</v>
      </c>
      <c r="G143" s="381">
        <f t="shared" si="128"/>
        <v>0</v>
      </c>
      <c r="H143" s="83">
        <f t="shared" si="128"/>
        <v>-19.875</v>
      </c>
      <c r="I143" s="83">
        <f t="shared" si="128"/>
        <v>0</v>
      </c>
      <c r="J143" s="83">
        <f t="shared" si="128"/>
        <v>-20.12</v>
      </c>
      <c r="K143" s="83">
        <f t="shared" si="128"/>
        <v>15.355</v>
      </c>
      <c r="L143" s="83">
        <f t="shared" si="128"/>
        <v>9.88</v>
      </c>
      <c r="M143" s="83">
        <f t="shared" si="128"/>
        <v>25.235</v>
      </c>
      <c r="N143" s="83">
        <f t="shared" si="117"/>
        <v>-61.3138126628852</v>
      </c>
      <c r="O143" s="388"/>
    </row>
    <row r="144" s="5" customFormat="1" customHeight="1" spans="1:15">
      <c r="A144" s="380">
        <v>2050801</v>
      </c>
      <c r="B144" s="151" t="s">
        <v>244</v>
      </c>
      <c r="C144" s="83">
        <v>25.23</v>
      </c>
      <c r="D144" s="83">
        <v>30</v>
      </c>
      <c r="E144" s="83">
        <f t="shared" si="124"/>
        <v>55.23</v>
      </c>
      <c r="F144" s="83">
        <v>0</v>
      </c>
      <c r="G144" s="83">
        <v>0</v>
      </c>
      <c r="H144" s="83">
        <v>-9.875</v>
      </c>
      <c r="I144" s="83">
        <v>0</v>
      </c>
      <c r="J144" s="83">
        <f t="shared" si="125"/>
        <v>-20.12</v>
      </c>
      <c r="K144" s="83">
        <f t="shared" si="126"/>
        <v>15.355</v>
      </c>
      <c r="L144" s="83">
        <v>9.88</v>
      </c>
      <c r="M144" s="83">
        <f t="shared" si="127"/>
        <v>25.235</v>
      </c>
      <c r="N144" s="83">
        <f t="shared" si="117"/>
        <v>-54.3092522179975</v>
      </c>
      <c r="O144" s="220" t="s">
        <v>245</v>
      </c>
    </row>
    <row r="145" s="5" customFormat="1" customHeight="1" spans="1:15">
      <c r="A145" s="380">
        <v>2050802</v>
      </c>
      <c r="B145" s="151" t="s">
        <v>246</v>
      </c>
      <c r="C145" s="83">
        <v>10</v>
      </c>
      <c r="D145" s="83">
        <v>0</v>
      </c>
      <c r="E145" s="83">
        <f t="shared" si="124"/>
        <v>10</v>
      </c>
      <c r="F145" s="83">
        <v>0</v>
      </c>
      <c r="G145" s="83">
        <v>0</v>
      </c>
      <c r="H145" s="83">
        <v>-10</v>
      </c>
      <c r="I145" s="83">
        <v>0</v>
      </c>
      <c r="J145" s="83">
        <f t="shared" si="125"/>
        <v>0</v>
      </c>
      <c r="K145" s="83">
        <f t="shared" si="126"/>
        <v>0</v>
      </c>
      <c r="L145" s="83"/>
      <c r="M145" s="83">
        <f t="shared" si="127"/>
        <v>0</v>
      </c>
      <c r="N145" s="83">
        <f t="shared" si="117"/>
        <v>-100</v>
      </c>
      <c r="O145" s="220" t="s">
        <v>247</v>
      </c>
    </row>
    <row r="146" s="5" customFormat="1" customHeight="1" spans="1:15">
      <c r="A146" s="380">
        <v>20509</v>
      </c>
      <c r="B146" s="151" t="s">
        <v>248</v>
      </c>
      <c r="C146" s="83">
        <f t="shared" ref="C146:M146" si="129">SUM(C147)</f>
        <v>1207.53</v>
      </c>
      <c r="D146" s="83">
        <f t="shared" si="129"/>
        <v>82.514</v>
      </c>
      <c r="E146" s="83">
        <f t="shared" si="129"/>
        <v>1290.044</v>
      </c>
      <c r="F146" s="83">
        <f t="shared" si="129"/>
        <v>0</v>
      </c>
      <c r="G146" s="381">
        <f t="shared" si="129"/>
        <v>0</v>
      </c>
      <c r="H146" s="83">
        <f t="shared" si="129"/>
        <v>-13.804</v>
      </c>
      <c r="I146" s="83">
        <f t="shared" si="129"/>
        <v>0</v>
      </c>
      <c r="J146" s="83">
        <f t="shared" si="129"/>
        <v>-82.514</v>
      </c>
      <c r="K146" s="83">
        <f t="shared" si="129"/>
        <v>1193.726</v>
      </c>
      <c r="L146" s="83">
        <f t="shared" si="129"/>
        <v>0</v>
      </c>
      <c r="M146" s="83">
        <f t="shared" si="129"/>
        <v>1193.726</v>
      </c>
      <c r="N146" s="83">
        <f t="shared" si="117"/>
        <v>-7.46625696487872</v>
      </c>
      <c r="O146" s="220"/>
    </row>
    <row r="147" s="5" customFormat="1" customHeight="1" spans="1:15">
      <c r="A147" s="380">
        <v>2050999</v>
      </c>
      <c r="B147" s="151" t="s">
        <v>249</v>
      </c>
      <c r="C147" s="83">
        <v>1207.53</v>
      </c>
      <c r="D147" s="83">
        <v>82.514</v>
      </c>
      <c r="E147" s="83">
        <f t="shared" ref="E147:E152" si="130">C147+D147</f>
        <v>1290.044</v>
      </c>
      <c r="F147" s="83">
        <v>0</v>
      </c>
      <c r="G147" s="83">
        <v>0</v>
      </c>
      <c r="H147" s="83">
        <v>-13.804</v>
      </c>
      <c r="I147" s="83">
        <v>0</v>
      </c>
      <c r="J147" s="83">
        <f t="shared" ref="J147:J152" si="131">L147-D147</f>
        <v>-82.514</v>
      </c>
      <c r="K147" s="83">
        <f t="shared" ref="K147:K152" si="132">C147+F147+G147+H147+I147</f>
        <v>1193.726</v>
      </c>
      <c r="L147" s="83"/>
      <c r="M147" s="83">
        <f t="shared" ref="M147:M152" si="133">K147+L147</f>
        <v>1193.726</v>
      </c>
      <c r="N147" s="83">
        <f t="shared" si="117"/>
        <v>-7.46625696487872</v>
      </c>
      <c r="O147" s="220" t="s">
        <v>250</v>
      </c>
    </row>
    <row r="148" s="5" customFormat="1" customHeight="1" spans="1:15">
      <c r="A148" s="380">
        <v>20599</v>
      </c>
      <c r="B148" s="151" t="s">
        <v>251</v>
      </c>
      <c r="C148" s="83">
        <f t="shared" ref="C148:M148" si="134">SUM(C149)</f>
        <v>0</v>
      </c>
      <c r="D148" s="83">
        <f t="shared" si="134"/>
        <v>7392.044</v>
      </c>
      <c r="E148" s="83">
        <f t="shared" si="134"/>
        <v>7392.044</v>
      </c>
      <c r="F148" s="83">
        <f t="shared" si="134"/>
        <v>0</v>
      </c>
      <c r="G148" s="381">
        <f t="shared" si="134"/>
        <v>0</v>
      </c>
      <c r="H148" s="83">
        <f t="shared" si="134"/>
        <v>0</v>
      </c>
      <c r="I148" s="83">
        <f t="shared" si="134"/>
        <v>0</v>
      </c>
      <c r="J148" s="83">
        <f t="shared" si="134"/>
        <v>-7366.964</v>
      </c>
      <c r="K148" s="83">
        <f t="shared" si="134"/>
        <v>0</v>
      </c>
      <c r="L148" s="83">
        <f t="shared" si="134"/>
        <v>25.08</v>
      </c>
      <c r="M148" s="83">
        <f t="shared" si="134"/>
        <v>25.08</v>
      </c>
      <c r="N148" s="83">
        <f t="shared" si="117"/>
        <v>-99.6607163052601</v>
      </c>
      <c r="O148" s="220"/>
    </row>
    <row r="149" s="5" customFormat="1" customHeight="1" spans="1:15">
      <c r="A149" s="380">
        <v>2059999</v>
      </c>
      <c r="B149" s="151" t="s">
        <v>251</v>
      </c>
      <c r="C149" s="83"/>
      <c r="D149" s="83">
        <v>7392.044</v>
      </c>
      <c r="E149" s="83">
        <f t="shared" si="130"/>
        <v>7392.044</v>
      </c>
      <c r="F149" s="83"/>
      <c r="G149" s="83"/>
      <c r="H149" s="83"/>
      <c r="I149" s="83">
        <v>0</v>
      </c>
      <c r="J149" s="83">
        <f t="shared" si="131"/>
        <v>-7366.964</v>
      </c>
      <c r="K149" s="83">
        <f t="shared" si="132"/>
        <v>0</v>
      </c>
      <c r="L149" s="83">
        <v>25.08</v>
      </c>
      <c r="M149" s="83">
        <f t="shared" si="133"/>
        <v>25.08</v>
      </c>
      <c r="N149" s="83">
        <f t="shared" si="117"/>
        <v>-99.6607163052601</v>
      </c>
      <c r="O149" s="220"/>
    </row>
    <row r="150" s="5" customFormat="1" customHeight="1" spans="1:15">
      <c r="A150" s="377">
        <v>206</v>
      </c>
      <c r="B150" s="378" t="s">
        <v>252</v>
      </c>
      <c r="C150" s="379">
        <f t="shared" ref="C150:M150" si="135">C151+C153+C155+C157</f>
        <v>93</v>
      </c>
      <c r="D150" s="379">
        <f t="shared" si="135"/>
        <v>959.45</v>
      </c>
      <c r="E150" s="379">
        <f t="shared" si="135"/>
        <v>1052.45</v>
      </c>
      <c r="F150" s="379">
        <f t="shared" si="135"/>
        <v>0</v>
      </c>
      <c r="G150" s="379">
        <f t="shared" si="135"/>
        <v>0</v>
      </c>
      <c r="H150" s="379">
        <f t="shared" si="135"/>
        <v>0</v>
      </c>
      <c r="I150" s="379">
        <f t="shared" si="135"/>
        <v>0</v>
      </c>
      <c r="J150" s="379">
        <f t="shared" si="135"/>
        <v>-1030.91</v>
      </c>
      <c r="K150" s="379">
        <f t="shared" si="135"/>
        <v>93</v>
      </c>
      <c r="L150" s="379">
        <f t="shared" si="135"/>
        <v>-71.46</v>
      </c>
      <c r="M150" s="379">
        <f t="shared" si="135"/>
        <v>21.54</v>
      </c>
      <c r="N150" s="379">
        <f t="shared" si="117"/>
        <v>-97.9533469523493</v>
      </c>
      <c r="O150" s="387"/>
    </row>
    <row r="151" s="5" customFormat="1" customHeight="1" spans="1:15">
      <c r="A151" s="380">
        <v>20604</v>
      </c>
      <c r="B151" s="151" t="s">
        <v>253</v>
      </c>
      <c r="C151" s="83">
        <f t="shared" ref="C151:M151" si="136">SUM(C152)</f>
        <v>0</v>
      </c>
      <c r="D151" s="83">
        <f t="shared" si="136"/>
        <v>915.45</v>
      </c>
      <c r="E151" s="83">
        <f t="shared" si="136"/>
        <v>915.45</v>
      </c>
      <c r="F151" s="83">
        <f t="shared" si="136"/>
        <v>0</v>
      </c>
      <c r="G151" s="381">
        <f t="shared" si="136"/>
        <v>0</v>
      </c>
      <c r="H151" s="83">
        <f t="shared" si="136"/>
        <v>0</v>
      </c>
      <c r="I151" s="83">
        <f t="shared" si="136"/>
        <v>0</v>
      </c>
      <c r="J151" s="83">
        <f t="shared" si="136"/>
        <v>-1030.91</v>
      </c>
      <c r="K151" s="83">
        <f t="shared" si="136"/>
        <v>0</v>
      </c>
      <c r="L151" s="83">
        <f t="shared" si="136"/>
        <v>-115.46</v>
      </c>
      <c r="M151" s="83">
        <f t="shared" si="136"/>
        <v>-115.46</v>
      </c>
      <c r="N151" s="83">
        <f t="shared" si="117"/>
        <v>-112.612376426894</v>
      </c>
      <c r="O151" s="220"/>
    </row>
    <row r="152" s="5" customFormat="1" customHeight="1" spans="1:15">
      <c r="A152" s="380">
        <v>2060499</v>
      </c>
      <c r="B152" s="151" t="s">
        <v>254</v>
      </c>
      <c r="C152" s="83"/>
      <c r="D152" s="83">
        <v>915.45</v>
      </c>
      <c r="E152" s="83">
        <f t="shared" si="130"/>
        <v>915.45</v>
      </c>
      <c r="F152" s="83"/>
      <c r="G152" s="83"/>
      <c r="H152" s="83"/>
      <c r="I152" s="83"/>
      <c r="J152" s="83">
        <f t="shared" si="131"/>
        <v>-1030.91</v>
      </c>
      <c r="K152" s="83">
        <f t="shared" si="132"/>
        <v>0</v>
      </c>
      <c r="L152" s="83">
        <v>-115.46</v>
      </c>
      <c r="M152" s="83">
        <f t="shared" si="133"/>
        <v>-115.46</v>
      </c>
      <c r="N152" s="83">
        <f t="shared" si="117"/>
        <v>-112.612376426894</v>
      </c>
      <c r="O152" s="220"/>
    </row>
    <row r="153" s="5" customFormat="1" customHeight="1" spans="1:15">
      <c r="A153" s="380">
        <v>20606</v>
      </c>
      <c r="B153" s="151" t="s">
        <v>255</v>
      </c>
      <c r="C153" s="83">
        <f t="shared" ref="C153:M153" si="137">SUM(C154)</f>
        <v>0</v>
      </c>
      <c r="D153" s="83">
        <f t="shared" si="137"/>
        <v>24</v>
      </c>
      <c r="E153" s="83">
        <f t="shared" si="137"/>
        <v>24</v>
      </c>
      <c r="F153" s="83">
        <f t="shared" si="137"/>
        <v>0</v>
      </c>
      <c r="G153" s="381">
        <f t="shared" si="137"/>
        <v>0</v>
      </c>
      <c r="H153" s="83">
        <f t="shared" si="137"/>
        <v>0</v>
      </c>
      <c r="I153" s="83">
        <f t="shared" si="137"/>
        <v>0</v>
      </c>
      <c r="J153" s="83">
        <f t="shared" si="137"/>
        <v>0</v>
      </c>
      <c r="K153" s="83">
        <f t="shared" si="137"/>
        <v>0</v>
      </c>
      <c r="L153" s="83">
        <f t="shared" si="137"/>
        <v>24</v>
      </c>
      <c r="M153" s="83">
        <f t="shared" si="137"/>
        <v>24</v>
      </c>
      <c r="N153" s="83">
        <f t="shared" si="117"/>
        <v>0</v>
      </c>
      <c r="O153" s="220"/>
    </row>
    <row r="154" s="5" customFormat="1" customHeight="1" spans="1:15">
      <c r="A154" s="380">
        <v>2060602</v>
      </c>
      <c r="B154" s="151" t="s">
        <v>256</v>
      </c>
      <c r="C154" s="83"/>
      <c r="D154" s="83">
        <v>24</v>
      </c>
      <c r="E154" s="83">
        <f t="shared" ref="E154:E158" si="138">C154+D154</f>
        <v>24</v>
      </c>
      <c r="F154" s="83"/>
      <c r="G154" s="83"/>
      <c r="H154" s="83"/>
      <c r="I154" s="83"/>
      <c r="J154" s="83">
        <f t="shared" ref="J154:J158" si="139">L154-D154</f>
        <v>0</v>
      </c>
      <c r="K154" s="83">
        <f t="shared" ref="K154:K158" si="140">C154+F154+G154+H154+I154</f>
        <v>0</v>
      </c>
      <c r="L154" s="83">
        <v>24</v>
      </c>
      <c r="M154" s="83">
        <f t="shared" ref="M154:M158" si="141">K154+L154</f>
        <v>24</v>
      </c>
      <c r="N154" s="83">
        <f t="shared" si="117"/>
        <v>0</v>
      </c>
      <c r="O154" s="220"/>
    </row>
    <row r="155" s="5" customFormat="1" customHeight="1" spans="1:15">
      <c r="A155" s="380">
        <v>20607</v>
      </c>
      <c r="B155" s="151" t="s">
        <v>257</v>
      </c>
      <c r="C155" s="83">
        <f t="shared" ref="C155:M155" si="142">SUM(C156)</f>
        <v>3</v>
      </c>
      <c r="D155" s="83">
        <f t="shared" si="142"/>
        <v>0</v>
      </c>
      <c r="E155" s="83">
        <f t="shared" si="142"/>
        <v>3</v>
      </c>
      <c r="F155" s="83">
        <f t="shared" si="142"/>
        <v>0</v>
      </c>
      <c r="G155" s="381">
        <f t="shared" si="142"/>
        <v>0</v>
      </c>
      <c r="H155" s="83">
        <f t="shared" si="142"/>
        <v>0</v>
      </c>
      <c r="I155" s="83">
        <f t="shared" si="142"/>
        <v>0</v>
      </c>
      <c r="J155" s="83">
        <f t="shared" si="142"/>
        <v>0</v>
      </c>
      <c r="K155" s="83">
        <f t="shared" si="142"/>
        <v>3</v>
      </c>
      <c r="L155" s="83">
        <f t="shared" si="142"/>
        <v>0</v>
      </c>
      <c r="M155" s="83">
        <f t="shared" si="142"/>
        <v>3</v>
      </c>
      <c r="N155" s="83">
        <f t="shared" si="117"/>
        <v>0</v>
      </c>
      <c r="O155" s="220"/>
    </row>
    <row r="156" s="5" customFormat="1" customHeight="1" spans="1:15">
      <c r="A156" s="380">
        <v>2060799</v>
      </c>
      <c r="B156" s="151" t="s">
        <v>258</v>
      </c>
      <c r="C156" s="83">
        <v>3</v>
      </c>
      <c r="D156" s="83">
        <v>0</v>
      </c>
      <c r="E156" s="83">
        <f t="shared" si="138"/>
        <v>3</v>
      </c>
      <c r="F156" s="83">
        <v>0</v>
      </c>
      <c r="G156" s="83"/>
      <c r="H156" s="83">
        <v>0</v>
      </c>
      <c r="I156" s="83">
        <v>0</v>
      </c>
      <c r="J156" s="83">
        <f t="shared" si="139"/>
        <v>0</v>
      </c>
      <c r="K156" s="83">
        <f t="shared" si="140"/>
        <v>3</v>
      </c>
      <c r="L156" s="83"/>
      <c r="M156" s="83">
        <f t="shared" si="141"/>
        <v>3</v>
      </c>
      <c r="N156" s="83">
        <f t="shared" si="117"/>
        <v>0</v>
      </c>
      <c r="O156" s="220"/>
    </row>
    <row r="157" s="5" customFormat="1" customHeight="1" spans="1:15">
      <c r="A157" s="380">
        <v>20699</v>
      </c>
      <c r="B157" s="151" t="s">
        <v>259</v>
      </c>
      <c r="C157" s="83">
        <f t="shared" ref="C157:M157" si="143">SUM(C158)</f>
        <v>90</v>
      </c>
      <c r="D157" s="83">
        <f t="shared" si="143"/>
        <v>20</v>
      </c>
      <c r="E157" s="83">
        <f t="shared" si="143"/>
        <v>110</v>
      </c>
      <c r="F157" s="83">
        <f t="shared" si="143"/>
        <v>0</v>
      </c>
      <c r="G157" s="381">
        <f t="shared" si="143"/>
        <v>0</v>
      </c>
      <c r="H157" s="83">
        <f t="shared" si="143"/>
        <v>0</v>
      </c>
      <c r="I157" s="83">
        <f t="shared" si="143"/>
        <v>0</v>
      </c>
      <c r="J157" s="83">
        <f t="shared" si="143"/>
        <v>0</v>
      </c>
      <c r="K157" s="83">
        <f t="shared" si="143"/>
        <v>90</v>
      </c>
      <c r="L157" s="83">
        <f t="shared" si="143"/>
        <v>20</v>
      </c>
      <c r="M157" s="83">
        <f t="shared" si="143"/>
        <v>110</v>
      </c>
      <c r="N157" s="83">
        <f t="shared" si="117"/>
        <v>0</v>
      </c>
      <c r="O157" s="220"/>
    </row>
    <row r="158" s="5" customFormat="1" customHeight="1" spans="1:15">
      <c r="A158" s="380">
        <v>2069999</v>
      </c>
      <c r="B158" s="151" t="s">
        <v>259</v>
      </c>
      <c r="C158" s="83">
        <v>90</v>
      </c>
      <c r="D158" s="83">
        <v>20</v>
      </c>
      <c r="E158" s="83">
        <f t="shared" si="138"/>
        <v>110</v>
      </c>
      <c r="F158" s="83">
        <v>0</v>
      </c>
      <c r="G158" s="83">
        <v>0</v>
      </c>
      <c r="H158" s="83">
        <v>0</v>
      </c>
      <c r="I158" s="83">
        <v>0</v>
      </c>
      <c r="J158" s="83">
        <f t="shared" si="139"/>
        <v>0</v>
      </c>
      <c r="K158" s="83">
        <f t="shared" si="140"/>
        <v>90</v>
      </c>
      <c r="L158" s="83">
        <v>20</v>
      </c>
      <c r="M158" s="83">
        <f t="shared" si="141"/>
        <v>110</v>
      </c>
      <c r="N158" s="83">
        <f t="shared" si="117"/>
        <v>0</v>
      </c>
      <c r="O158" s="220"/>
    </row>
    <row r="159" s="5" customFormat="1" customHeight="1" spans="1:15">
      <c r="A159" s="377">
        <v>207</v>
      </c>
      <c r="B159" s="378" t="s">
        <v>260</v>
      </c>
      <c r="C159" s="379">
        <f t="shared" ref="C159:M159" si="144">C160+C167+C170+C173</f>
        <v>3554.46</v>
      </c>
      <c r="D159" s="379">
        <f t="shared" si="144"/>
        <v>719.6</v>
      </c>
      <c r="E159" s="379">
        <f t="shared" si="144"/>
        <v>4274.06</v>
      </c>
      <c r="F159" s="379">
        <f t="shared" si="144"/>
        <v>-1298.634025</v>
      </c>
      <c r="G159" s="379">
        <f t="shared" si="144"/>
        <v>0</v>
      </c>
      <c r="H159" s="379">
        <f t="shared" si="144"/>
        <v>-740.769963</v>
      </c>
      <c r="I159" s="379">
        <f t="shared" si="144"/>
        <v>90.58</v>
      </c>
      <c r="J159" s="379">
        <f t="shared" si="144"/>
        <v>-628.92</v>
      </c>
      <c r="K159" s="379">
        <f t="shared" si="144"/>
        <v>1605.636012</v>
      </c>
      <c r="L159" s="379">
        <f t="shared" si="144"/>
        <v>90.68</v>
      </c>
      <c r="M159" s="379">
        <f t="shared" si="144"/>
        <v>1696.316012</v>
      </c>
      <c r="N159" s="379">
        <f t="shared" si="117"/>
        <v>-60.3113664291096</v>
      </c>
      <c r="O159" s="387"/>
    </row>
    <row r="160" s="5" customFormat="1" customHeight="1" spans="1:15">
      <c r="A160" s="380">
        <v>20701</v>
      </c>
      <c r="B160" s="151" t="s">
        <v>261</v>
      </c>
      <c r="C160" s="83">
        <f t="shared" ref="C160:M160" si="145">SUM(C161:C166)</f>
        <v>1937</v>
      </c>
      <c r="D160" s="83">
        <f t="shared" si="145"/>
        <v>371.075</v>
      </c>
      <c r="E160" s="83">
        <f t="shared" si="145"/>
        <v>2308.075</v>
      </c>
      <c r="F160" s="83">
        <f t="shared" si="145"/>
        <v>-691.1143</v>
      </c>
      <c r="G160" s="381">
        <f t="shared" si="145"/>
        <v>0</v>
      </c>
      <c r="H160" s="83">
        <f t="shared" si="145"/>
        <v>-268.795907</v>
      </c>
      <c r="I160" s="83">
        <f t="shared" si="145"/>
        <v>64.13</v>
      </c>
      <c r="J160" s="83">
        <f t="shared" si="145"/>
        <v>-341.095</v>
      </c>
      <c r="K160" s="83">
        <f t="shared" si="145"/>
        <v>1041.219793</v>
      </c>
      <c r="L160" s="83">
        <f t="shared" si="145"/>
        <v>29.98</v>
      </c>
      <c r="M160" s="83">
        <f t="shared" si="145"/>
        <v>1071.199793</v>
      </c>
      <c r="N160" s="83">
        <f t="shared" si="117"/>
        <v>-53.5890387877344</v>
      </c>
      <c r="O160" s="220"/>
    </row>
    <row r="161" s="5" customFormat="1" customHeight="1" spans="1:15">
      <c r="A161" s="380">
        <v>2070101</v>
      </c>
      <c r="B161" s="151" t="s">
        <v>94</v>
      </c>
      <c r="C161" s="83">
        <v>172.93</v>
      </c>
      <c r="D161" s="83">
        <v>0</v>
      </c>
      <c r="E161" s="83">
        <f t="shared" ref="E161:E166" si="146">C161+D161</f>
        <v>172.93</v>
      </c>
      <c r="F161" s="83">
        <v>-8.84</v>
      </c>
      <c r="G161" s="83"/>
      <c r="H161" s="83">
        <v>0</v>
      </c>
      <c r="I161" s="83">
        <v>13.28</v>
      </c>
      <c r="J161" s="83">
        <f t="shared" ref="J161:J166" si="147">L161-D161</f>
        <v>0</v>
      </c>
      <c r="K161" s="83">
        <f t="shared" ref="K161:K166" si="148">C161+F161+G161+H161+I161</f>
        <v>177.37</v>
      </c>
      <c r="L161" s="83"/>
      <c r="M161" s="83">
        <f t="shared" ref="M161:M166" si="149">K161+L161</f>
        <v>177.37</v>
      </c>
      <c r="N161" s="83">
        <f t="shared" si="117"/>
        <v>2.56751286647776</v>
      </c>
      <c r="O161" s="220" t="s">
        <v>115</v>
      </c>
    </row>
    <row r="162" s="5" customFormat="1" customHeight="1" spans="1:15">
      <c r="A162" s="380">
        <v>2070104</v>
      </c>
      <c r="B162" s="151" t="s">
        <v>262</v>
      </c>
      <c r="C162" s="83">
        <v>41.9</v>
      </c>
      <c r="D162" s="83">
        <v>0</v>
      </c>
      <c r="E162" s="83">
        <f t="shared" si="146"/>
        <v>41.9</v>
      </c>
      <c r="F162" s="83">
        <v>-2.37</v>
      </c>
      <c r="G162" s="83">
        <v>0</v>
      </c>
      <c r="H162" s="83">
        <v>0</v>
      </c>
      <c r="I162" s="83">
        <v>10.18</v>
      </c>
      <c r="J162" s="83">
        <f t="shared" si="147"/>
        <v>0</v>
      </c>
      <c r="K162" s="83">
        <f t="shared" si="148"/>
        <v>49.71</v>
      </c>
      <c r="L162" s="83"/>
      <c r="M162" s="83">
        <f t="shared" si="149"/>
        <v>49.71</v>
      </c>
      <c r="N162" s="83">
        <f t="shared" si="117"/>
        <v>18.6396181384248</v>
      </c>
      <c r="O162" s="220" t="s">
        <v>115</v>
      </c>
    </row>
    <row r="163" s="5" customFormat="1" customHeight="1" spans="1:15">
      <c r="A163" s="380">
        <v>2070109</v>
      </c>
      <c r="B163" s="151" t="s">
        <v>263</v>
      </c>
      <c r="C163" s="83">
        <v>187.74</v>
      </c>
      <c r="D163" s="83">
        <v>0</v>
      </c>
      <c r="E163" s="83">
        <f t="shared" si="146"/>
        <v>187.74</v>
      </c>
      <c r="F163" s="83">
        <v>-3.07</v>
      </c>
      <c r="G163" s="83">
        <v>0</v>
      </c>
      <c r="H163" s="83">
        <v>0</v>
      </c>
      <c r="I163" s="83">
        <v>40.67</v>
      </c>
      <c r="J163" s="83">
        <f t="shared" si="147"/>
        <v>0</v>
      </c>
      <c r="K163" s="83">
        <f t="shared" si="148"/>
        <v>225.34</v>
      </c>
      <c r="L163" s="83"/>
      <c r="M163" s="83">
        <f t="shared" si="149"/>
        <v>225.34</v>
      </c>
      <c r="N163" s="83">
        <f t="shared" si="117"/>
        <v>20.0276978800469</v>
      </c>
      <c r="O163" s="220" t="s">
        <v>115</v>
      </c>
    </row>
    <row r="164" s="5" customFormat="1" customHeight="1" spans="1:15">
      <c r="A164" s="380">
        <v>2070112</v>
      </c>
      <c r="B164" s="151" t="s">
        <v>264</v>
      </c>
      <c r="C164" s="83">
        <v>2</v>
      </c>
      <c r="D164" s="83">
        <v>0</v>
      </c>
      <c r="E164" s="83">
        <f t="shared" si="146"/>
        <v>2</v>
      </c>
      <c r="F164" s="83">
        <v>0</v>
      </c>
      <c r="G164" s="83"/>
      <c r="H164" s="83">
        <v>0</v>
      </c>
      <c r="I164" s="83">
        <v>0</v>
      </c>
      <c r="J164" s="83">
        <f t="shared" si="147"/>
        <v>0</v>
      </c>
      <c r="K164" s="83">
        <f t="shared" si="148"/>
        <v>2</v>
      </c>
      <c r="L164" s="83"/>
      <c r="M164" s="83">
        <f t="shared" si="149"/>
        <v>2</v>
      </c>
      <c r="N164" s="83">
        <f t="shared" si="117"/>
        <v>0</v>
      </c>
      <c r="O164" s="220"/>
    </row>
    <row r="165" s="5" customFormat="1" customHeight="1" spans="1:15">
      <c r="A165" s="380">
        <v>2070113</v>
      </c>
      <c r="B165" s="151" t="s">
        <v>265</v>
      </c>
      <c r="C165" s="83">
        <v>6</v>
      </c>
      <c r="D165" s="83">
        <v>0</v>
      </c>
      <c r="E165" s="83">
        <f t="shared" si="146"/>
        <v>6</v>
      </c>
      <c r="F165" s="83">
        <v>0</v>
      </c>
      <c r="G165" s="83"/>
      <c r="H165" s="83">
        <v>0</v>
      </c>
      <c r="I165" s="83">
        <v>0</v>
      </c>
      <c r="J165" s="83">
        <f t="shared" si="147"/>
        <v>0</v>
      </c>
      <c r="K165" s="83">
        <f t="shared" si="148"/>
        <v>6</v>
      </c>
      <c r="L165" s="83"/>
      <c r="M165" s="83">
        <f t="shared" si="149"/>
        <v>6</v>
      </c>
      <c r="N165" s="83">
        <f t="shared" si="117"/>
        <v>0</v>
      </c>
      <c r="O165" s="220"/>
    </row>
    <row r="166" s="5" customFormat="1" customHeight="1" spans="1:15">
      <c r="A166" s="380">
        <v>2070199</v>
      </c>
      <c r="B166" s="151" t="s">
        <v>266</v>
      </c>
      <c r="C166" s="83">
        <v>1526.43</v>
      </c>
      <c r="D166" s="83">
        <v>371.075</v>
      </c>
      <c r="E166" s="83">
        <f t="shared" si="146"/>
        <v>1897.505</v>
      </c>
      <c r="F166" s="83">
        <v>-676.8343</v>
      </c>
      <c r="G166" s="83">
        <v>0</v>
      </c>
      <c r="H166" s="83">
        <v>-268.795907</v>
      </c>
      <c r="I166" s="83">
        <v>0</v>
      </c>
      <c r="J166" s="83">
        <f t="shared" si="147"/>
        <v>-341.095</v>
      </c>
      <c r="K166" s="83">
        <f t="shared" si="148"/>
        <v>580.799793</v>
      </c>
      <c r="L166" s="83">
        <v>29.98</v>
      </c>
      <c r="M166" s="83">
        <f t="shared" si="149"/>
        <v>610.779793</v>
      </c>
      <c r="N166" s="83">
        <f t="shared" si="117"/>
        <v>-67.8114264257538</v>
      </c>
      <c r="O166" s="220" t="s">
        <v>267</v>
      </c>
    </row>
    <row r="167" s="5" customFormat="1" customHeight="1" spans="1:15">
      <c r="A167" s="380">
        <v>20702</v>
      </c>
      <c r="B167" s="151" t="s">
        <v>268</v>
      </c>
      <c r="C167" s="83">
        <f t="shared" ref="C167:M167" si="150">SUM(C168:C169)</f>
        <v>58.45</v>
      </c>
      <c r="D167" s="83">
        <f t="shared" si="150"/>
        <v>39.525</v>
      </c>
      <c r="E167" s="83">
        <f t="shared" si="150"/>
        <v>97.975</v>
      </c>
      <c r="F167" s="83">
        <f t="shared" si="150"/>
        <v>-4.61</v>
      </c>
      <c r="G167" s="381">
        <f t="shared" si="150"/>
        <v>0</v>
      </c>
      <c r="H167" s="83">
        <f t="shared" si="150"/>
        <v>-0.00641299999999978</v>
      </c>
      <c r="I167" s="83">
        <f t="shared" si="150"/>
        <v>20.71</v>
      </c>
      <c r="J167" s="83">
        <f t="shared" si="150"/>
        <v>-19.525</v>
      </c>
      <c r="K167" s="83">
        <f t="shared" si="150"/>
        <v>74.543587</v>
      </c>
      <c r="L167" s="83">
        <f t="shared" si="150"/>
        <v>20</v>
      </c>
      <c r="M167" s="83">
        <f t="shared" si="150"/>
        <v>94.543587</v>
      </c>
      <c r="N167" s="83">
        <f t="shared" si="117"/>
        <v>-3.50233528961469</v>
      </c>
      <c r="O167" s="388"/>
    </row>
    <row r="168" s="5" customFormat="1" customHeight="1" spans="1:15">
      <c r="A168" s="380">
        <v>2070204</v>
      </c>
      <c r="B168" s="151" t="s">
        <v>269</v>
      </c>
      <c r="C168" s="83">
        <v>14.44</v>
      </c>
      <c r="D168" s="83">
        <v>0</v>
      </c>
      <c r="E168" s="83">
        <f t="shared" ref="E168:E172" si="151">C168+D168</f>
        <v>14.44</v>
      </c>
      <c r="F168" s="83">
        <v>0</v>
      </c>
      <c r="G168" s="83">
        <v>0</v>
      </c>
      <c r="H168" s="83">
        <v>-0.00641299999999978</v>
      </c>
      <c r="I168" s="83">
        <v>0</v>
      </c>
      <c r="J168" s="83">
        <f t="shared" ref="J168:J172" si="152">L168-D168</f>
        <v>0</v>
      </c>
      <c r="K168" s="83">
        <f t="shared" ref="K168:K172" si="153">C168+F168+G168+H168+I168</f>
        <v>14.433587</v>
      </c>
      <c r="L168" s="83"/>
      <c r="M168" s="83">
        <f t="shared" ref="M168:M172" si="154">K168+L168</f>
        <v>14.433587</v>
      </c>
      <c r="N168" s="83">
        <f t="shared" si="117"/>
        <v>-0.0444113573407218</v>
      </c>
      <c r="O168" s="220">
        <v>0</v>
      </c>
    </row>
    <row r="169" s="5" customFormat="1" customHeight="1" spans="1:15">
      <c r="A169" s="380">
        <v>2070205</v>
      </c>
      <c r="B169" s="151" t="s">
        <v>270</v>
      </c>
      <c r="C169" s="83">
        <v>44.01</v>
      </c>
      <c r="D169" s="83">
        <v>39.525</v>
      </c>
      <c r="E169" s="83">
        <f t="shared" si="151"/>
        <v>83.535</v>
      </c>
      <c r="F169" s="83">
        <v>-4.61</v>
      </c>
      <c r="G169" s="83">
        <v>0</v>
      </c>
      <c r="H169" s="83">
        <v>0</v>
      </c>
      <c r="I169" s="83">
        <v>20.71</v>
      </c>
      <c r="J169" s="83">
        <f t="shared" si="152"/>
        <v>-19.525</v>
      </c>
      <c r="K169" s="83">
        <f t="shared" si="153"/>
        <v>60.11</v>
      </c>
      <c r="L169" s="83">
        <v>20</v>
      </c>
      <c r="M169" s="83">
        <f t="shared" si="154"/>
        <v>80.11</v>
      </c>
      <c r="N169" s="83">
        <f t="shared" si="117"/>
        <v>-4.10007781169569</v>
      </c>
      <c r="O169" s="220" t="s">
        <v>115</v>
      </c>
    </row>
    <row r="170" s="5" customFormat="1" customHeight="1" spans="1:15">
      <c r="A170" s="380">
        <v>20703</v>
      </c>
      <c r="B170" s="151" t="s">
        <v>271</v>
      </c>
      <c r="C170" s="83">
        <f t="shared" ref="C170:M170" si="155">SUM(C171:C172)</f>
        <v>5</v>
      </c>
      <c r="D170" s="83">
        <f t="shared" si="155"/>
        <v>15</v>
      </c>
      <c r="E170" s="83">
        <f t="shared" si="155"/>
        <v>20</v>
      </c>
      <c r="F170" s="83">
        <f t="shared" si="155"/>
        <v>0</v>
      </c>
      <c r="G170" s="381">
        <f t="shared" si="155"/>
        <v>0</v>
      </c>
      <c r="H170" s="83">
        <f t="shared" si="155"/>
        <v>0</v>
      </c>
      <c r="I170" s="83">
        <f t="shared" si="155"/>
        <v>0</v>
      </c>
      <c r="J170" s="83">
        <f t="shared" si="155"/>
        <v>-10.3</v>
      </c>
      <c r="K170" s="83">
        <f t="shared" si="155"/>
        <v>5</v>
      </c>
      <c r="L170" s="83">
        <f t="shared" si="155"/>
        <v>4.7</v>
      </c>
      <c r="M170" s="83">
        <f t="shared" si="155"/>
        <v>9.7</v>
      </c>
      <c r="N170" s="83">
        <f t="shared" si="117"/>
        <v>-51.5</v>
      </c>
      <c r="O170" s="388"/>
    </row>
    <row r="171" s="5" customFormat="1" customHeight="1" spans="1:15">
      <c r="A171" s="380">
        <v>2070307</v>
      </c>
      <c r="B171" s="151" t="s">
        <v>272</v>
      </c>
      <c r="C171" s="83"/>
      <c r="D171" s="83">
        <v>15</v>
      </c>
      <c r="E171" s="83">
        <f t="shared" si="151"/>
        <v>15</v>
      </c>
      <c r="F171" s="83"/>
      <c r="G171" s="83"/>
      <c r="H171" s="83"/>
      <c r="I171" s="83"/>
      <c r="J171" s="83">
        <f t="shared" si="152"/>
        <v>-10.3</v>
      </c>
      <c r="K171" s="83">
        <f t="shared" si="153"/>
        <v>0</v>
      </c>
      <c r="L171" s="83">
        <v>4.7</v>
      </c>
      <c r="M171" s="83">
        <f t="shared" si="154"/>
        <v>4.7</v>
      </c>
      <c r="N171" s="83">
        <f t="shared" si="117"/>
        <v>-68.6666666666667</v>
      </c>
      <c r="O171" s="388"/>
    </row>
    <row r="172" s="5" customFormat="1" customHeight="1" spans="1:15">
      <c r="A172" s="380">
        <v>2070399</v>
      </c>
      <c r="B172" s="151" t="s">
        <v>273</v>
      </c>
      <c r="C172" s="83">
        <v>5</v>
      </c>
      <c r="D172" s="83">
        <v>0</v>
      </c>
      <c r="E172" s="83">
        <f t="shared" si="151"/>
        <v>5</v>
      </c>
      <c r="F172" s="83">
        <v>0</v>
      </c>
      <c r="G172" s="83">
        <v>0</v>
      </c>
      <c r="H172" s="83">
        <v>0</v>
      </c>
      <c r="I172" s="83">
        <v>0</v>
      </c>
      <c r="J172" s="83">
        <f t="shared" si="152"/>
        <v>0</v>
      </c>
      <c r="K172" s="83">
        <f t="shared" si="153"/>
        <v>5</v>
      </c>
      <c r="L172" s="83"/>
      <c r="M172" s="83">
        <f t="shared" si="154"/>
        <v>5</v>
      </c>
      <c r="N172" s="83">
        <f t="shared" si="117"/>
        <v>0</v>
      </c>
      <c r="O172" s="388">
        <v>0</v>
      </c>
    </row>
    <row r="173" s="5" customFormat="1" customHeight="1" spans="1:15">
      <c r="A173" s="380">
        <v>20799</v>
      </c>
      <c r="B173" s="151" t="s">
        <v>274</v>
      </c>
      <c r="C173" s="83">
        <f t="shared" ref="C173:M173" si="156">SUM(C174)</f>
        <v>1554.01</v>
      </c>
      <c r="D173" s="83">
        <f t="shared" si="156"/>
        <v>294</v>
      </c>
      <c r="E173" s="83">
        <f t="shared" si="156"/>
        <v>1848.01</v>
      </c>
      <c r="F173" s="83">
        <f t="shared" si="156"/>
        <v>-602.909725</v>
      </c>
      <c r="G173" s="381">
        <f t="shared" si="156"/>
        <v>0</v>
      </c>
      <c r="H173" s="83">
        <f t="shared" si="156"/>
        <v>-471.967643</v>
      </c>
      <c r="I173" s="83">
        <f t="shared" si="156"/>
        <v>5.74</v>
      </c>
      <c r="J173" s="83">
        <f t="shared" si="156"/>
        <v>-258</v>
      </c>
      <c r="K173" s="83">
        <f t="shared" si="156"/>
        <v>484.872632</v>
      </c>
      <c r="L173" s="83">
        <f t="shared" si="156"/>
        <v>36</v>
      </c>
      <c r="M173" s="83">
        <f t="shared" si="156"/>
        <v>520.872632</v>
      </c>
      <c r="N173" s="83">
        <f t="shared" si="117"/>
        <v>-71.8144040346102</v>
      </c>
      <c r="O173" s="220"/>
    </row>
    <row r="174" s="5" customFormat="1" customHeight="1" spans="1:15">
      <c r="A174" s="380">
        <v>2079999</v>
      </c>
      <c r="B174" s="151" t="s">
        <v>274</v>
      </c>
      <c r="C174" s="83">
        <v>1554.01</v>
      </c>
      <c r="D174" s="83">
        <v>294</v>
      </c>
      <c r="E174" s="83">
        <f t="shared" ref="E174:E180" si="157">C174+D174</f>
        <v>1848.01</v>
      </c>
      <c r="F174" s="83">
        <v>-602.909725</v>
      </c>
      <c r="G174" s="83">
        <v>0</v>
      </c>
      <c r="H174" s="83">
        <v>-471.967643</v>
      </c>
      <c r="I174" s="83">
        <v>5.74</v>
      </c>
      <c r="J174" s="83">
        <f t="shared" ref="J174:J180" si="158">L174-D174</f>
        <v>-258</v>
      </c>
      <c r="K174" s="83">
        <f t="shared" ref="K174:K180" si="159">C174+F174+G174+H174+I174</f>
        <v>484.872632</v>
      </c>
      <c r="L174" s="83">
        <v>36</v>
      </c>
      <c r="M174" s="83">
        <f t="shared" ref="M174:M180" si="160">K174+L174</f>
        <v>520.872632</v>
      </c>
      <c r="N174" s="83">
        <f t="shared" si="117"/>
        <v>-71.8144040346102</v>
      </c>
      <c r="O174" s="388" t="s">
        <v>275</v>
      </c>
    </row>
    <row r="175" s="5" customFormat="1" customHeight="1" spans="1:15">
      <c r="A175" s="377">
        <v>208</v>
      </c>
      <c r="B175" s="378" t="s">
        <v>276</v>
      </c>
      <c r="C175" s="379">
        <f t="shared" ref="C175:M175" si="161">C176+C181+C187+C194+C197+C202+C207+C213+C219+C222+C225+C228+C231+C234+C237+C243+C245</f>
        <v>31055.1</v>
      </c>
      <c r="D175" s="379">
        <f t="shared" si="161"/>
        <v>15387.83</v>
      </c>
      <c r="E175" s="379">
        <f t="shared" si="161"/>
        <v>46442.93</v>
      </c>
      <c r="F175" s="379">
        <f t="shared" si="161"/>
        <v>-11898.050131</v>
      </c>
      <c r="G175" s="379">
        <f t="shared" si="161"/>
        <v>0</v>
      </c>
      <c r="H175" s="379">
        <f t="shared" si="161"/>
        <v>-337.574005</v>
      </c>
      <c r="I175" s="379">
        <f t="shared" si="161"/>
        <v>689.3413</v>
      </c>
      <c r="J175" s="379">
        <f t="shared" si="161"/>
        <v>-574.85</v>
      </c>
      <c r="K175" s="379">
        <f t="shared" si="161"/>
        <v>19508.817164</v>
      </c>
      <c r="L175" s="379">
        <f t="shared" si="161"/>
        <v>14812.98</v>
      </c>
      <c r="M175" s="379">
        <f t="shared" si="161"/>
        <v>34321.797164</v>
      </c>
      <c r="N175" s="379">
        <f t="shared" si="117"/>
        <v>-26.0989839271553</v>
      </c>
      <c r="O175" s="387">
        <f>O176+O181+O187+O194+O197+O202+O207+O213+O219+O222+O225+O228+O231+O234+O237+O245+O243</f>
        <v>0</v>
      </c>
    </row>
    <row r="176" s="5" customFormat="1" customHeight="1" spans="1:15">
      <c r="A176" s="380">
        <v>20801</v>
      </c>
      <c r="B176" s="151" t="s">
        <v>277</v>
      </c>
      <c r="C176" s="83">
        <f t="shared" ref="C176:M176" si="162">SUM(C177:C180)</f>
        <v>608.8</v>
      </c>
      <c r="D176" s="83">
        <f t="shared" si="162"/>
        <v>274.44</v>
      </c>
      <c r="E176" s="83">
        <f t="shared" si="162"/>
        <v>883.24</v>
      </c>
      <c r="F176" s="83">
        <f t="shared" si="162"/>
        <v>-58.004278</v>
      </c>
      <c r="G176" s="381">
        <f t="shared" si="162"/>
        <v>0</v>
      </c>
      <c r="H176" s="83">
        <f t="shared" si="162"/>
        <v>-30.64</v>
      </c>
      <c r="I176" s="83">
        <f t="shared" si="162"/>
        <v>184.719648</v>
      </c>
      <c r="J176" s="83">
        <f t="shared" si="162"/>
        <v>-19.49</v>
      </c>
      <c r="K176" s="83">
        <f t="shared" si="162"/>
        <v>704.87537</v>
      </c>
      <c r="L176" s="83">
        <f t="shared" si="162"/>
        <v>254.95</v>
      </c>
      <c r="M176" s="83">
        <f t="shared" si="162"/>
        <v>959.82537</v>
      </c>
      <c r="N176" s="83">
        <f t="shared" si="117"/>
        <v>8.6709580634935</v>
      </c>
      <c r="O176" s="220"/>
    </row>
    <row r="177" s="5" customFormat="1" customHeight="1" spans="1:15">
      <c r="A177" s="380">
        <v>2080101</v>
      </c>
      <c r="B177" s="151" t="s">
        <v>94</v>
      </c>
      <c r="C177" s="83">
        <v>301.27</v>
      </c>
      <c r="D177" s="83">
        <v>0</v>
      </c>
      <c r="E177" s="83">
        <f t="shared" si="157"/>
        <v>301.27</v>
      </c>
      <c r="F177" s="83">
        <v>-2.642806</v>
      </c>
      <c r="G177" s="83">
        <v>0</v>
      </c>
      <c r="H177" s="83">
        <v>0</v>
      </c>
      <c r="I177" s="83">
        <v>79.813048</v>
      </c>
      <c r="J177" s="83">
        <f t="shared" si="158"/>
        <v>0</v>
      </c>
      <c r="K177" s="83">
        <f t="shared" si="159"/>
        <v>378.440242</v>
      </c>
      <c r="L177" s="83"/>
      <c r="M177" s="83">
        <f t="shared" si="160"/>
        <v>378.440242</v>
      </c>
      <c r="N177" s="83">
        <f t="shared" si="117"/>
        <v>25.6149772629203</v>
      </c>
      <c r="O177" s="388" t="s">
        <v>115</v>
      </c>
    </row>
    <row r="178" s="5" customFormat="1" customHeight="1" spans="1:15">
      <c r="A178" s="380">
        <v>2080102</v>
      </c>
      <c r="B178" s="151" t="s">
        <v>116</v>
      </c>
      <c r="C178" s="83">
        <v>29</v>
      </c>
      <c r="D178" s="83">
        <v>0</v>
      </c>
      <c r="E178" s="83">
        <f t="shared" si="157"/>
        <v>29</v>
      </c>
      <c r="F178" s="83">
        <v>-27.099729</v>
      </c>
      <c r="G178" s="83"/>
      <c r="H178" s="83">
        <v>0</v>
      </c>
      <c r="I178" s="83">
        <v>50</v>
      </c>
      <c r="J178" s="83">
        <f t="shared" si="158"/>
        <v>0</v>
      </c>
      <c r="K178" s="83">
        <f t="shared" si="159"/>
        <v>51.900271</v>
      </c>
      <c r="L178" s="83"/>
      <c r="M178" s="83">
        <f t="shared" si="160"/>
        <v>51.900271</v>
      </c>
      <c r="N178" s="83">
        <f t="shared" si="117"/>
        <v>78.9664517241379</v>
      </c>
      <c r="O178" s="220" t="s">
        <v>278</v>
      </c>
    </row>
    <row r="179" s="5" customFormat="1" customHeight="1" spans="1:15">
      <c r="A179" s="380">
        <v>2080111</v>
      </c>
      <c r="B179" s="151" t="s">
        <v>279</v>
      </c>
      <c r="C179" s="83">
        <v>179.08</v>
      </c>
      <c r="D179" s="83">
        <v>0</v>
      </c>
      <c r="E179" s="83">
        <f t="shared" si="157"/>
        <v>179.08</v>
      </c>
      <c r="F179" s="83">
        <v>-7.78078</v>
      </c>
      <c r="G179" s="83"/>
      <c r="H179" s="83">
        <v>0</v>
      </c>
      <c r="I179" s="83">
        <v>54.9066</v>
      </c>
      <c r="J179" s="83">
        <f t="shared" si="158"/>
        <v>0</v>
      </c>
      <c r="K179" s="83">
        <f t="shared" si="159"/>
        <v>226.20582</v>
      </c>
      <c r="L179" s="83"/>
      <c r="M179" s="83">
        <f t="shared" si="160"/>
        <v>226.20582</v>
      </c>
      <c r="N179" s="83">
        <f t="shared" si="117"/>
        <v>26.3155126200581</v>
      </c>
      <c r="O179" s="220" t="s">
        <v>115</v>
      </c>
    </row>
    <row r="180" s="5" customFormat="1" customHeight="1" spans="1:15">
      <c r="A180" s="380">
        <v>2080199</v>
      </c>
      <c r="B180" s="151" t="s">
        <v>280</v>
      </c>
      <c r="C180" s="83">
        <v>99.45</v>
      </c>
      <c r="D180" s="83">
        <v>274.44</v>
      </c>
      <c r="E180" s="83">
        <f t="shared" si="157"/>
        <v>373.89</v>
      </c>
      <c r="F180" s="83">
        <v>-20.480963</v>
      </c>
      <c r="G180" s="83"/>
      <c r="H180" s="83">
        <v>-30.64</v>
      </c>
      <c r="I180" s="83">
        <v>0</v>
      </c>
      <c r="J180" s="83">
        <f t="shared" si="158"/>
        <v>-19.49</v>
      </c>
      <c r="K180" s="83">
        <f t="shared" si="159"/>
        <v>48.329037</v>
      </c>
      <c r="L180" s="83">
        <v>254.95</v>
      </c>
      <c r="M180" s="83">
        <f t="shared" si="160"/>
        <v>303.279037</v>
      </c>
      <c r="N180" s="83">
        <f t="shared" si="117"/>
        <v>-18.8854911872476</v>
      </c>
      <c r="O180" s="220" t="s">
        <v>281</v>
      </c>
    </row>
    <row r="181" s="5" customFormat="1" customHeight="1" spans="1:15">
      <c r="A181" s="380">
        <v>20802</v>
      </c>
      <c r="B181" s="151" t="s">
        <v>282</v>
      </c>
      <c r="C181" s="83">
        <f t="shared" ref="C181:M181" si="163">SUM(C182:C186)</f>
        <v>678.17</v>
      </c>
      <c r="D181" s="83">
        <f t="shared" si="163"/>
        <v>304.44</v>
      </c>
      <c r="E181" s="83">
        <f t="shared" si="163"/>
        <v>982.61</v>
      </c>
      <c r="F181" s="83">
        <f t="shared" si="163"/>
        <v>-258.168637</v>
      </c>
      <c r="G181" s="381">
        <f t="shared" si="163"/>
        <v>0</v>
      </c>
      <c r="H181" s="83">
        <f t="shared" si="163"/>
        <v>-4.44457</v>
      </c>
      <c r="I181" s="83">
        <f t="shared" si="163"/>
        <v>42.156282</v>
      </c>
      <c r="J181" s="83">
        <f t="shared" si="163"/>
        <v>-170.12</v>
      </c>
      <c r="K181" s="83">
        <f t="shared" si="163"/>
        <v>457.713075</v>
      </c>
      <c r="L181" s="83">
        <f t="shared" si="163"/>
        <v>134.32</v>
      </c>
      <c r="M181" s="83">
        <f t="shared" si="163"/>
        <v>592.033075</v>
      </c>
      <c r="N181" s="83">
        <f t="shared" si="117"/>
        <v>-39.7489263288588</v>
      </c>
      <c r="O181" s="220"/>
    </row>
    <row r="182" s="5" customFormat="1" customHeight="1" spans="1:15">
      <c r="A182" s="380">
        <v>2080201</v>
      </c>
      <c r="B182" s="151" t="s">
        <v>94</v>
      </c>
      <c r="C182" s="83">
        <v>217.38</v>
      </c>
      <c r="D182" s="83">
        <v>0</v>
      </c>
      <c r="E182" s="83">
        <f t="shared" ref="E182:E186" si="164">C182+D182</f>
        <v>217.38</v>
      </c>
      <c r="F182" s="83">
        <v>-1.133137</v>
      </c>
      <c r="G182" s="83">
        <v>0</v>
      </c>
      <c r="H182" s="83">
        <v>0</v>
      </c>
      <c r="I182" s="83">
        <v>37.486432</v>
      </c>
      <c r="J182" s="83">
        <f t="shared" ref="J182:J186" si="165">L182-D182</f>
        <v>0</v>
      </c>
      <c r="K182" s="83">
        <f t="shared" ref="K182:K186" si="166">C182+F182+G182+H182+I182</f>
        <v>253.733295</v>
      </c>
      <c r="L182" s="83"/>
      <c r="M182" s="83">
        <f t="shared" ref="M182:M186" si="167">K182+L182</f>
        <v>253.733295</v>
      </c>
      <c r="N182" s="83">
        <f t="shared" si="117"/>
        <v>16.7233853160364</v>
      </c>
      <c r="O182" s="388" t="s">
        <v>115</v>
      </c>
    </row>
    <row r="183" s="5" customFormat="1" customHeight="1" spans="1:15">
      <c r="A183" s="380">
        <v>2080206</v>
      </c>
      <c r="B183" s="151" t="s">
        <v>283</v>
      </c>
      <c r="C183" s="83">
        <v>4</v>
      </c>
      <c r="D183" s="83">
        <v>0</v>
      </c>
      <c r="E183" s="83">
        <f t="shared" si="164"/>
        <v>4</v>
      </c>
      <c r="F183" s="83">
        <v>-2.07</v>
      </c>
      <c r="G183" s="83"/>
      <c r="H183" s="83">
        <v>0</v>
      </c>
      <c r="I183" s="83">
        <v>0</v>
      </c>
      <c r="J183" s="83">
        <f t="shared" si="165"/>
        <v>0</v>
      </c>
      <c r="K183" s="83">
        <f t="shared" si="166"/>
        <v>1.93</v>
      </c>
      <c r="L183" s="83"/>
      <c r="M183" s="83">
        <f t="shared" si="167"/>
        <v>1.93</v>
      </c>
      <c r="N183" s="83">
        <f t="shared" si="117"/>
        <v>-51.75</v>
      </c>
      <c r="O183" s="220"/>
    </row>
    <row r="184" s="5" customFormat="1" customHeight="1" spans="1:15">
      <c r="A184" s="380">
        <v>2080207</v>
      </c>
      <c r="B184" s="151" t="s">
        <v>284</v>
      </c>
      <c r="C184" s="83">
        <v>1</v>
      </c>
      <c r="D184" s="83">
        <v>0.24</v>
      </c>
      <c r="E184" s="83">
        <f t="shared" si="164"/>
        <v>1.24</v>
      </c>
      <c r="F184" s="83">
        <v>-1</v>
      </c>
      <c r="G184" s="83"/>
      <c r="H184" s="83">
        <v>0</v>
      </c>
      <c r="I184" s="83">
        <v>0</v>
      </c>
      <c r="J184" s="83">
        <f t="shared" si="165"/>
        <v>-0.24</v>
      </c>
      <c r="K184" s="83">
        <f t="shared" si="166"/>
        <v>0</v>
      </c>
      <c r="L184" s="83"/>
      <c r="M184" s="83">
        <f t="shared" si="167"/>
        <v>0</v>
      </c>
      <c r="N184" s="83">
        <f t="shared" si="117"/>
        <v>-100</v>
      </c>
      <c r="O184" s="220" t="s">
        <v>285</v>
      </c>
    </row>
    <row r="185" s="5" customFormat="1" customHeight="1" spans="1:15">
      <c r="A185" s="380">
        <v>2080208</v>
      </c>
      <c r="B185" s="151" t="s">
        <v>286</v>
      </c>
      <c r="C185" s="83">
        <v>339.24</v>
      </c>
      <c r="D185" s="83">
        <v>70.2</v>
      </c>
      <c r="E185" s="83">
        <f t="shared" si="164"/>
        <v>409.44</v>
      </c>
      <c r="F185" s="83">
        <v>-251.7892</v>
      </c>
      <c r="G185" s="83">
        <v>0</v>
      </c>
      <c r="H185" s="83">
        <v>-0.0064</v>
      </c>
      <c r="I185" s="83">
        <v>0</v>
      </c>
      <c r="J185" s="83">
        <f t="shared" si="165"/>
        <v>-70.2</v>
      </c>
      <c r="K185" s="83">
        <f t="shared" si="166"/>
        <v>87.4444</v>
      </c>
      <c r="L185" s="83"/>
      <c r="M185" s="83">
        <f t="shared" si="167"/>
        <v>87.4444</v>
      </c>
      <c r="N185" s="83">
        <f t="shared" si="117"/>
        <v>-78.6429269245799</v>
      </c>
      <c r="O185" s="388" t="s">
        <v>287</v>
      </c>
    </row>
    <row r="186" s="5" customFormat="1" customHeight="1" spans="1:15">
      <c r="A186" s="380">
        <v>2080299</v>
      </c>
      <c r="B186" s="151" t="s">
        <v>288</v>
      </c>
      <c r="C186" s="83">
        <v>116.55</v>
      </c>
      <c r="D186" s="83">
        <v>234</v>
      </c>
      <c r="E186" s="83">
        <f t="shared" si="164"/>
        <v>350.55</v>
      </c>
      <c r="F186" s="83">
        <v>-2.1763</v>
      </c>
      <c r="G186" s="83">
        <v>0</v>
      </c>
      <c r="H186" s="83">
        <v>-4.43817</v>
      </c>
      <c r="I186" s="83">
        <v>4.66985</v>
      </c>
      <c r="J186" s="83">
        <f t="shared" si="165"/>
        <v>-99.68</v>
      </c>
      <c r="K186" s="83">
        <f t="shared" si="166"/>
        <v>114.60538</v>
      </c>
      <c r="L186" s="83">
        <v>134.32</v>
      </c>
      <c r="M186" s="83">
        <f t="shared" si="167"/>
        <v>248.92538</v>
      </c>
      <c r="N186" s="83">
        <f t="shared" si="117"/>
        <v>-28.9900499215519</v>
      </c>
      <c r="O186" s="388" t="s">
        <v>115</v>
      </c>
    </row>
    <row r="187" s="5" customFormat="1" customHeight="1" spans="1:15">
      <c r="A187" s="380">
        <v>20805</v>
      </c>
      <c r="B187" s="151" t="s">
        <v>289</v>
      </c>
      <c r="C187" s="83">
        <f t="shared" ref="C187:M187" si="168">SUM(C188:C193)</f>
        <v>22911.59</v>
      </c>
      <c r="D187" s="83">
        <f t="shared" si="168"/>
        <v>0</v>
      </c>
      <c r="E187" s="83">
        <f t="shared" si="168"/>
        <v>22911.59</v>
      </c>
      <c r="F187" s="83">
        <f t="shared" si="168"/>
        <v>-9630.595188</v>
      </c>
      <c r="G187" s="381">
        <f t="shared" si="168"/>
        <v>0</v>
      </c>
      <c r="H187" s="83">
        <f t="shared" si="168"/>
        <v>0</v>
      </c>
      <c r="I187" s="83">
        <f t="shared" si="168"/>
        <v>397.729749</v>
      </c>
      <c r="J187" s="83">
        <f t="shared" si="168"/>
        <v>0</v>
      </c>
      <c r="K187" s="83">
        <f t="shared" si="168"/>
        <v>13678.724561</v>
      </c>
      <c r="L187" s="83">
        <f t="shared" si="168"/>
        <v>0</v>
      </c>
      <c r="M187" s="83">
        <f t="shared" si="168"/>
        <v>13678.724561</v>
      </c>
      <c r="N187" s="83">
        <f t="shared" si="117"/>
        <v>-40.297794430679</v>
      </c>
      <c r="O187" s="220"/>
    </row>
    <row r="188" s="5" customFormat="1" customHeight="1" spans="1:15">
      <c r="A188" s="380">
        <v>2080501</v>
      </c>
      <c r="B188" s="151" t="s">
        <v>290</v>
      </c>
      <c r="C188" s="83">
        <v>1574.69</v>
      </c>
      <c r="D188" s="83">
        <v>0</v>
      </c>
      <c r="E188" s="83">
        <f t="shared" ref="E188:E193" si="169">C188+D188</f>
        <v>1574.69</v>
      </c>
      <c r="F188" s="83">
        <v>-36.30165</v>
      </c>
      <c r="G188" s="83">
        <v>0</v>
      </c>
      <c r="H188" s="83">
        <v>0</v>
      </c>
      <c r="I188" s="83">
        <v>231.803197</v>
      </c>
      <c r="J188" s="83">
        <f t="shared" ref="J188:J193" si="170">L188-D188</f>
        <v>0</v>
      </c>
      <c r="K188" s="83">
        <f t="shared" ref="K188:K193" si="171">C188+F188+G188+H188+I188</f>
        <v>1770.191547</v>
      </c>
      <c r="L188" s="83"/>
      <c r="M188" s="83">
        <f t="shared" ref="M188:M193" si="172">K188+L188</f>
        <v>1770.191547</v>
      </c>
      <c r="N188" s="83">
        <f t="shared" si="117"/>
        <v>12.4152402695134</v>
      </c>
      <c r="O188" s="388" t="s">
        <v>115</v>
      </c>
    </row>
    <row r="189" s="5" customFormat="1" customHeight="1" spans="1:15">
      <c r="A189" s="380">
        <v>2080502</v>
      </c>
      <c r="B189" s="151" t="s">
        <v>291</v>
      </c>
      <c r="C189" s="83">
        <v>679.72</v>
      </c>
      <c r="D189" s="83">
        <v>0</v>
      </c>
      <c r="E189" s="83">
        <f t="shared" si="169"/>
        <v>679.72</v>
      </c>
      <c r="F189" s="83">
        <v>-36.497496</v>
      </c>
      <c r="G189" s="83">
        <v>0</v>
      </c>
      <c r="H189" s="83">
        <v>0</v>
      </c>
      <c r="I189" s="83">
        <v>55.6754</v>
      </c>
      <c r="J189" s="83">
        <f t="shared" si="170"/>
        <v>0</v>
      </c>
      <c r="K189" s="83">
        <f t="shared" si="171"/>
        <v>698.897904</v>
      </c>
      <c r="L189" s="83"/>
      <c r="M189" s="83">
        <f t="shared" si="172"/>
        <v>698.897904</v>
      </c>
      <c r="N189" s="83">
        <f t="shared" si="117"/>
        <v>2.82144177014065</v>
      </c>
      <c r="O189" s="388" t="s">
        <v>115</v>
      </c>
    </row>
    <row r="190" s="5" customFormat="1" customHeight="1" spans="1:15">
      <c r="A190" s="380">
        <v>2080503</v>
      </c>
      <c r="B190" s="151" t="s">
        <v>292</v>
      </c>
      <c r="C190" s="83">
        <v>83.79</v>
      </c>
      <c r="D190" s="83">
        <v>0</v>
      </c>
      <c r="E190" s="83">
        <f t="shared" si="169"/>
        <v>83.79</v>
      </c>
      <c r="F190" s="83">
        <v>-0.07</v>
      </c>
      <c r="G190" s="83">
        <v>0</v>
      </c>
      <c r="H190" s="83">
        <v>0</v>
      </c>
      <c r="I190" s="83">
        <v>15.37</v>
      </c>
      <c r="J190" s="83">
        <f t="shared" si="170"/>
        <v>0</v>
      </c>
      <c r="K190" s="83">
        <f t="shared" si="171"/>
        <v>99.09</v>
      </c>
      <c r="L190" s="83"/>
      <c r="M190" s="83">
        <f t="shared" si="172"/>
        <v>99.09</v>
      </c>
      <c r="N190" s="83">
        <f t="shared" si="117"/>
        <v>18.2599355531686</v>
      </c>
      <c r="O190" s="388" t="s">
        <v>95</v>
      </c>
    </row>
    <row r="191" s="5" customFormat="1" customHeight="1" spans="1:15">
      <c r="A191" s="380">
        <v>2080505</v>
      </c>
      <c r="B191" s="151" t="s">
        <v>293</v>
      </c>
      <c r="C191" s="83">
        <v>2061.79</v>
      </c>
      <c r="D191" s="83">
        <v>0</v>
      </c>
      <c r="E191" s="83">
        <f t="shared" si="169"/>
        <v>2061.79</v>
      </c>
      <c r="F191" s="83">
        <v>-36.956104</v>
      </c>
      <c r="G191" s="83">
        <v>0</v>
      </c>
      <c r="H191" s="83">
        <v>0</v>
      </c>
      <c r="I191" s="83">
        <v>62.746809</v>
      </c>
      <c r="J191" s="83">
        <f t="shared" si="170"/>
        <v>0</v>
      </c>
      <c r="K191" s="83">
        <f t="shared" si="171"/>
        <v>2087.580705</v>
      </c>
      <c r="L191" s="83"/>
      <c r="M191" s="83">
        <f t="shared" si="172"/>
        <v>2087.580705</v>
      </c>
      <c r="N191" s="83">
        <f t="shared" si="117"/>
        <v>1.25088903331571</v>
      </c>
      <c r="O191" s="388" t="s">
        <v>294</v>
      </c>
    </row>
    <row r="192" s="5" customFormat="1" customHeight="1" spans="1:15">
      <c r="A192" s="380">
        <v>2080506</v>
      </c>
      <c r="B192" s="151" t="s">
        <v>295</v>
      </c>
      <c r="C192" s="83">
        <v>7030.6</v>
      </c>
      <c r="D192" s="83">
        <v>0</v>
      </c>
      <c r="E192" s="83">
        <f t="shared" si="169"/>
        <v>7030.6</v>
      </c>
      <c r="F192" s="83">
        <v>-919.769938</v>
      </c>
      <c r="G192" s="83">
        <v>0</v>
      </c>
      <c r="H192" s="83">
        <v>0</v>
      </c>
      <c r="I192" s="83">
        <v>32.134343</v>
      </c>
      <c r="J192" s="83">
        <f t="shared" si="170"/>
        <v>0</v>
      </c>
      <c r="K192" s="83">
        <f t="shared" si="171"/>
        <v>6142.964405</v>
      </c>
      <c r="L192" s="83"/>
      <c r="M192" s="83">
        <f t="shared" si="172"/>
        <v>6142.964405</v>
      </c>
      <c r="N192" s="83">
        <f t="shared" si="117"/>
        <v>-12.6253178249367</v>
      </c>
      <c r="O192" s="388" t="s">
        <v>296</v>
      </c>
    </row>
    <row r="193" s="5" customFormat="1" customHeight="1" spans="1:15">
      <c r="A193" s="380">
        <v>2080507</v>
      </c>
      <c r="B193" s="151" t="s">
        <v>297</v>
      </c>
      <c r="C193" s="83">
        <v>11481</v>
      </c>
      <c r="D193" s="83">
        <v>0</v>
      </c>
      <c r="E193" s="83">
        <f t="shared" si="169"/>
        <v>11481</v>
      </c>
      <c r="F193" s="83">
        <v>-8601</v>
      </c>
      <c r="G193" s="83">
        <v>0</v>
      </c>
      <c r="H193" s="83">
        <v>0</v>
      </c>
      <c r="I193" s="83">
        <v>0</v>
      </c>
      <c r="J193" s="83">
        <f t="shared" si="170"/>
        <v>0</v>
      </c>
      <c r="K193" s="83">
        <f t="shared" si="171"/>
        <v>2880</v>
      </c>
      <c r="L193" s="83"/>
      <c r="M193" s="83">
        <f t="shared" si="172"/>
        <v>2880</v>
      </c>
      <c r="N193" s="83">
        <f t="shared" si="117"/>
        <v>-74.9150770838777</v>
      </c>
      <c r="O193" s="388" t="s">
        <v>298</v>
      </c>
    </row>
    <row r="194" s="5" customFormat="1" customHeight="1" spans="1:15">
      <c r="A194" s="380">
        <v>20807</v>
      </c>
      <c r="B194" s="151" t="s">
        <v>299</v>
      </c>
      <c r="C194" s="83">
        <f t="shared" ref="C194:M194" si="173">SUM(C195:C196)</f>
        <v>67</v>
      </c>
      <c r="D194" s="83">
        <f t="shared" si="173"/>
        <v>442</v>
      </c>
      <c r="E194" s="83">
        <f t="shared" si="173"/>
        <v>509</v>
      </c>
      <c r="F194" s="83">
        <f t="shared" si="173"/>
        <v>-67</v>
      </c>
      <c r="G194" s="381">
        <f t="shared" si="173"/>
        <v>0</v>
      </c>
      <c r="H194" s="83">
        <f t="shared" si="173"/>
        <v>0</v>
      </c>
      <c r="I194" s="83">
        <f t="shared" si="173"/>
        <v>0</v>
      </c>
      <c r="J194" s="83">
        <f t="shared" si="173"/>
        <v>0</v>
      </c>
      <c r="K194" s="83">
        <f t="shared" si="173"/>
        <v>0</v>
      </c>
      <c r="L194" s="83">
        <f t="shared" si="173"/>
        <v>442</v>
      </c>
      <c r="M194" s="83">
        <f t="shared" si="173"/>
        <v>442</v>
      </c>
      <c r="N194" s="83">
        <f t="shared" si="117"/>
        <v>-13.1630648330059</v>
      </c>
      <c r="O194" s="220"/>
    </row>
    <row r="195" s="5" customFormat="1" customHeight="1" spans="1:15">
      <c r="A195" s="380">
        <v>2080701</v>
      </c>
      <c r="B195" s="151" t="s">
        <v>300</v>
      </c>
      <c r="C195" s="83"/>
      <c r="D195" s="83">
        <v>285</v>
      </c>
      <c r="E195" s="83">
        <f t="shared" ref="E195:E201" si="174">C195+D195</f>
        <v>285</v>
      </c>
      <c r="F195" s="83"/>
      <c r="G195" s="83"/>
      <c r="H195" s="83"/>
      <c r="I195" s="83"/>
      <c r="J195" s="83">
        <f t="shared" ref="J195:J201" si="175">L195-D195</f>
        <v>0</v>
      </c>
      <c r="K195" s="83">
        <f t="shared" ref="K195:K201" si="176">C195+F195+G195+H195+I195</f>
        <v>0</v>
      </c>
      <c r="L195" s="83">
        <v>285</v>
      </c>
      <c r="M195" s="83">
        <f t="shared" ref="M195:M201" si="177">K195+L195</f>
        <v>285</v>
      </c>
      <c r="N195" s="83">
        <f t="shared" si="117"/>
        <v>0</v>
      </c>
      <c r="O195" s="220"/>
    </row>
    <row r="196" s="5" customFormat="1" customHeight="1" spans="1:15">
      <c r="A196" s="380">
        <v>2080799</v>
      </c>
      <c r="B196" s="151" t="s">
        <v>301</v>
      </c>
      <c r="C196" s="83">
        <v>67</v>
      </c>
      <c r="D196" s="83">
        <v>157</v>
      </c>
      <c r="E196" s="83">
        <f t="shared" si="174"/>
        <v>224</v>
      </c>
      <c r="F196" s="83">
        <v>-67</v>
      </c>
      <c r="G196" s="83"/>
      <c r="H196" s="83">
        <v>0</v>
      </c>
      <c r="I196" s="83">
        <v>0</v>
      </c>
      <c r="J196" s="83">
        <f t="shared" si="175"/>
        <v>0</v>
      </c>
      <c r="K196" s="83">
        <f t="shared" si="176"/>
        <v>0</v>
      </c>
      <c r="L196" s="83">
        <v>157</v>
      </c>
      <c r="M196" s="83">
        <f t="shared" si="177"/>
        <v>157</v>
      </c>
      <c r="N196" s="83">
        <f t="shared" si="117"/>
        <v>-29.9107142857143</v>
      </c>
      <c r="O196" s="220" t="s">
        <v>302</v>
      </c>
    </row>
    <row r="197" s="5" customFormat="1" customHeight="1" spans="1:15">
      <c r="A197" s="380">
        <v>20808</v>
      </c>
      <c r="B197" s="151" t="s">
        <v>303</v>
      </c>
      <c r="C197" s="83">
        <f t="shared" ref="C197:M197" si="178">SUM(C198:C201)</f>
        <v>871.73</v>
      </c>
      <c r="D197" s="83">
        <f t="shared" si="178"/>
        <v>1014.21</v>
      </c>
      <c r="E197" s="83">
        <f t="shared" si="178"/>
        <v>1885.94</v>
      </c>
      <c r="F197" s="83">
        <f t="shared" si="178"/>
        <v>-367.5856</v>
      </c>
      <c r="G197" s="381">
        <f t="shared" si="178"/>
        <v>0</v>
      </c>
      <c r="H197" s="83">
        <f t="shared" si="178"/>
        <v>-0.62</v>
      </c>
      <c r="I197" s="83">
        <f t="shared" si="178"/>
        <v>0.00359999999999872</v>
      </c>
      <c r="J197" s="83">
        <f t="shared" si="178"/>
        <v>192.05</v>
      </c>
      <c r="K197" s="83">
        <f t="shared" si="178"/>
        <v>503.528</v>
      </c>
      <c r="L197" s="83">
        <f t="shared" si="178"/>
        <v>1206.26</v>
      </c>
      <c r="M197" s="83">
        <f t="shared" si="178"/>
        <v>1709.788</v>
      </c>
      <c r="N197" s="83">
        <f t="shared" si="117"/>
        <v>-9.34027593666819</v>
      </c>
      <c r="O197" s="388"/>
    </row>
    <row r="198" s="5" customFormat="1" customHeight="1" spans="1:15">
      <c r="A198" s="380">
        <v>2080801</v>
      </c>
      <c r="B198" s="151" t="s">
        <v>304</v>
      </c>
      <c r="C198" s="83">
        <v>504.14</v>
      </c>
      <c r="D198" s="83">
        <v>0</v>
      </c>
      <c r="E198" s="83">
        <f t="shared" si="174"/>
        <v>504.14</v>
      </c>
      <c r="F198" s="83">
        <v>-349</v>
      </c>
      <c r="G198" s="83">
        <v>0</v>
      </c>
      <c r="H198" s="83">
        <v>0</v>
      </c>
      <c r="I198" s="83">
        <v>0.00359999999999872</v>
      </c>
      <c r="J198" s="83">
        <f t="shared" si="175"/>
        <v>0</v>
      </c>
      <c r="K198" s="83">
        <f t="shared" si="176"/>
        <v>155.1436</v>
      </c>
      <c r="L198" s="83"/>
      <c r="M198" s="83">
        <f t="shared" si="177"/>
        <v>155.1436</v>
      </c>
      <c r="N198" s="83">
        <f t="shared" ref="N198:N261" si="179">(M198-E198)/E198*100</f>
        <v>-69.2260879914309</v>
      </c>
      <c r="O198" s="388" t="s">
        <v>305</v>
      </c>
    </row>
    <row r="199" s="5" customFormat="1" customHeight="1" spans="1:15">
      <c r="A199" s="380">
        <v>2080803</v>
      </c>
      <c r="B199" s="151" t="s">
        <v>306</v>
      </c>
      <c r="C199" s="83">
        <v>33</v>
      </c>
      <c r="D199" s="83">
        <v>18</v>
      </c>
      <c r="E199" s="83">
        <f t="shared" si="174"/>
        <v>51</v>
      </c>
      <c r="F199" s="83">
        <v>-15</v>
      </c>
      <c r="G199" s="83">
        <v>0</v>
      </c>
      <c r="H199" s="83">
        <v>0</v>
      </c>
      <c r="I199" s="83">
        <v>0</v>
      </c>
      <c r="J199" s="83">
        <f t="shared" si="175"/>
        <v>-18</v>
      </c>
      <c r="K199" s="83">
        <f t="shared" si="176"/>
        <v>18</v>
      </c>
      <c r="L199" s="83"/>
      <c r="M199" s="83">
        <f t="shared" si="177"/>
        <v>18</v>
      </c>
      <c r="N199" s="83">
        <f t="shared" si="179"/>
        <v>-64.7058823529412</v>
      </c>
      <c r="O199" s="388" t="s">
        <v>307</v>
      </c>
    </row>
    <row r="200" s="5" customFormat="1" customHeight="1" spans="1:15">
      <c r="A200" s="380">
        <v>2080805</v>
      </c>
      <c r="B200" s="151" t="s">
        <v>308</v>
      </c>
      <c r="C200" s="83">
        <v>123.2</v>
      </c>
      <c r="D200" s="83">
        <v>0</v>
      </c>
      <c r="E200" s="83">
        <f t="shared" si="174"/>
        <v>123.2</v>
      </c>
      <c r="F200" s="83">
        <v>-3.5856</v>
      </c>
      <c r="G200" s="83">
        <v>0</v>
      </c>
      <c r="H200" s="83">
        <v>0</v>
      </c>
      <c r="I200" s="83">
        <v>0</v>
      </c>
      <c r="J200" s="83">
        <f t="shared" si="175"/>
        <v>181</v>
      </c>
      <c r="K200" s="83">
        <f t="shared" si="176"/>
        <v>119.6144</v>
      </c>
      <c r="L200" s="83">
        <v>181</v>
      </c>
      <c r="M200" s="83">
        <f t="shared" si="177"/>
        <v>300.6144</v>
      </c>
      <c r="N200" s="83">
        <f t="shared" si="179"/>
        <v>144.005194805195</v>
      </c>
      <c r="O200" s="388"/>
    </row>
    <row r="201" s="5" customFormat="1" customHeight="1" spans="1:15">
      <c r="A201" s="380">
        <v>2080899</v>
      </c>
      <c r="B201" s="151" t="s">
        <v>309</v>
      </c>
      <c r="C201" s="83">
        <v>211.39</v>
      </c>
      <c r="D201" s="83">
        <v>996.21</v>
      </c>
      <c r="E201" s="83">
        <f t="shared" si="174"/>
        <v>1207.6</v>
      </c>
      <c r="F201" s="83">
        <v>0</v>
      </c>
      <c r="G201" s="83">
        <v>0</v>
      </c>
      <c r="H201" s="83">
        <v>-0.62</v>
      </c>
      <c r="I201" s="83">
        <v>0</v>
      </c>
      <c r="J201" s="83">
        <f t="shared" si="175"/>
        <v>29.05</v>
      </c>
      <c r="K201" s="83">
        <f t="shared" si="176"/>
        <v>210.77</v>
      </c>
      <c r="L201" s="83">
        <v>1025.26</v>
      </c>
      <c r="M201" s="83">
        <f t="shared" si="177"/>
        <v>1236.03</v>
      </c>
      <c r="N201" s="83">
        <f t="shared" si="179"/>
        <v>2.35425637628354</v>
      </c>
      <c r="O201" s="388"/>
    </row>
    <row r="202" s="5" customFormat="1" customHeight="1" spans="1:15">
      <c r="A202" s="380">
        <v>20809</v>
      </c>
      <c r="B202" s="151" t="s">
        <v>310</v>
      </c>
      <c r="C202" s="83">
        <f t="shared" ref="C202:M202" si="180">SUM(C203:C206)</f>
        <v>275.02</v>
      </c>
      <c r="D202" s="83">
        <f t="shared" si="180"/>
        <v>246.1</v>
      </c>
      <c r="E202" s="83">
        <f t="shared" si="180"/>
        <v>521.12</v>
      </c>
      <c r="F202" s="83">
        <f t="shared" si="180"/>
        <v>-103.316929</v>
      </c>
      <c r="G202" s="381">
        <f t="shared" si="180"/>
        <v>0</v>
      </c>
      <c r="H202" s="83">
        <f t="shared" si="180"/>
        <v>-13.159085</v>
      </c>
      <c r="I202" s="83">
        <f t="shared" si="180"/>
        <v>0</v>
      </c>
      <c r="J202" s="83">
        <f t="shared" si="180"/>
        <v>-65.33</v>
      </c>
      <c r="K202" s="83">
        <f t="shared" si="180"/>
        <v>158.543986</v>
      </c>
      <c r="L202" s="83">
        <f t="shared" si="180"/>
        <v>180.77</v>
      </c>
      <c r="M202" s="83">
        <f t="shared" si="180"/>
        <v>339.313986</v>
      </c>
      <c r="N202" s="83">
        <f t="shared" si="179"/>
        <v>-34.8875525790605</v>
      </c>
      <c r="O202" s="388"/>
    </row>
    <row r="203" s="5" customFormat="1" customHeight="1" spans="1:15">
      <c r="A203" s="380">
        <v>2080901</v>
      </c>
      <c r="B203" s="151" t="s">
        <v>311</v>
      </c>
      <c r="C203" s="83">
        <v>116.23</v>
      </c>
      <c r="D203" s="83">
        <v>167</v>
      </c>
      <c r="E203" s="83">
        <f t="shared" ref="E203:E206" si="181">C203+D203</f>
        <v>283.23</v>
      </c>
      <c r="F203" s="83">
        <v>-18.618509</v>
      </c>
      <c r="G203" s="83">
        <v>0</v>
      </c>
      <c r="H203" s="83">
        <v>0</v>
      </c>
      <c r="I203" s="83">
        <v>0</v>
      </c>
      <c r="J203" s="83">
        <f t="shared" ref="J203:J206" si="182">L203-D203</f>
        <v>0</v>
      </c>
      <c r="K203" s="83">
        <f t="shared" ref="K203:K206" si="183">C203+F203+G203+H203+I203</f>
        <v>97.611491</v>
      </c>
      <c r="L203" s="83">
        <v>167</v>
      </c>
      <c r="M203" s="83">
        <f t="shared" ref="M203:M206" si="184">K203+L203</f>
        <v>264.611491</v>
      </c>
      <c r="N203" s="83">
        <f t="shared" si="179"/>
        <v>-6.57363591427462</v>
      </c>
      <c r="O203" s="388" t="s">
        <v>312</v>
      </c>
    </row>
    <row r="204" s="5" customFormat="1" customHeight="1" spans="1:15">
      <c r="A204" s="380">
        <v>2080904</v>
      </c>
      <c r="B204" s="151" t="s">
        <v>313</v>
      </c>
      <c r="C204" s="83">
        <v>0.12</v>
      </c>
      <c r="D204" s="83">
        <v>26.1</v>
      </c>
      <c r="E204" s="83">
        <f t="shared" si="181"/>
        <v>26.22</v>
      </c>
      <c r="F204" s="83">
        <v>0</v>
      </c>
      <c r="G204" s="83">
        <v>0</v>
      </c>
      <c r="H204" s="83">
        <v>0</v>
      </c>
      <c r="I204" s="83">
        <v>0</v>
      </c>
      <c r="J204" s="83">
        <f t="shared" si="182"/>
        <v>-26.1</v>
      </c>
      <c r="K204" s="83">
        <f t="shared" si="183"/>
        <v>0.12</v>
      </c>
      <c r="L204" s="83"/>
      <c r="M204" s="83">
        <f t="shared" si="184"/>
        <v>0.12</v>
      </c>
      <c r="N204" s="83">
        <f t="shared" si="179"/>
        <v>-99.5423340961098</v>
      </c>
      <c r="O204" s="388">
        <v>0</v>
      </c>
    </row>
    <row r="205" s="5" customFormat="1" customHeight="1" spans="1:15">
      <c r="A205" s="380">
        <v>2080905</v>
      </c>
      <c r="B205" s="151" t="s">
        <v>314</v>
      </c>
      <c r="C205" s="83">
        <v>91.99</v>
      </c>
      <c r="D205" s="83">
        <v>0</v>
      </c>
      <c r="E205" s="83">
        <f t="shared" si="181"/>
        <v>91.99</v>
      </c>
      <c r="F205" s="83">
        <v>-35.4626</v>
      </c>
      <c r="G205" s="83">
        <v>0</v>
      </c>
      <c r="H205" s="83">
        <v>-0.8627</v>
      </c>
      <c r="I205" s="83">
        <v>0</v>
      </c>
      <c r="J205" s="83">
        <f t="shared" si="182"/>
        <v>0</v>
      </c>
      <c r="K205" s="83">
        <f t="shared" si="183"/>
        <v>55.6647</v>
      </c>
      <c r="L205" s="83"/>
      <c r="M205" s="83">
        <f t="shared" si="184"/>
        <v>55.6647</v>
      </c>
      <c r="N205" s="83">
        <f t="shared" si="179"/>
        <v>-39.4883139471682</v>
      </c>
      <c r="O205" s="388" t="s">
        <v>315</v>
      </c>
    </row>
    <row r="206" s="5" customFormat="1" customHeight="1" spans="1:15">
      <c r="A206" s="380">
        <v>2080999</v>
      </c>
      <c r="B206" s="151" t="s">
        <v>316</v>
      </c>
      <c r="C206" s="83">
        <v>66.68</v>
      </c>
      <c r="D206" s="83">
        <v>53</v>
      </c>
      <c r="E206" s="83">
        <f t="shared" si="181"/>
        <v>119.68</v>
      </c>
      <c r="F206" s="83">
        <v>-49.23582</v>
      </c>
      <c r="G206" s="83">
        <v>0</v>
      </c>
      <c r="H206" s="83">
        <v>-12.296385</v>
      </c>
      <c r="I206" s="83">
        <v>0</v>
      </c>
      <c r="J206" s="83">
        <f t="shared" si="182"/>
        <v>-39.23</v>
      </c>
      <c r="K206" s="83">
        <f t="shared" si="183"/>
        <v>5.14779500000001</v>
      </c>
      <c r="L206" s="83">
        <v>13.77</v>
      </c>
      <c r="M206" s="83">
        <f t="shared" si="184"/>
        <v>18.917795</v>
      </c>
      <c r="N206" s="83">
        <f t="shared" si="179"/>
        <v>-84.1930188836898</v>
      </c>
      <c r="O206" s="388" t="s">
        <v>317</v>
      </c>
    </row>
    <row r="207" s="5" customFormat="1" customHeight="1" spans="1:15">
      <c r="A207" s="380">
        <v>20810</v>
      </c>
      <c r="B207" s="151" t="s">
        <v>318</v>
      </c>
      <c r="C207" s="83">
        <f t="shared" ref="C207:M207" si="185">SUM(C208:C212)</f>
        <v>740.27</v>
      </c>
      <c r="D207" s="83">
        <f t="shared" si="185"/>
        <v>329.456</v>
      </c>
      <c r="E207" s="83">
        <f t="shared" si="185"/>
        <v>1069.726</v>
      </c>
      <c r="F207" s="83">
        <f t="shared" si="185"/>
        <v>-130.24895</v>
      </c>
      <c r="G207" s="381">
        <f t="shared" si="185"/>
        <v>0</v>
      </c>
      <c r="H207" s="83">
        <f t="shared" si="185"/>
        <v>-150</v>
      </c>
      <c r="I207" s="83">
        <f t="shared" si="185"/>
        <v>13.5989</v>
      </c>
      <c r="J207" s="83">
        <f t="shared" si="185"/>
        <v>-242.316</v>
      </c>
      <c r="K207" s="83">
        <f t="shared" si="185"/>
        <v>473.61995</v>
      </c>
      <c r="L207" s="83">
        <f t="shared" si="185"/>
        <v>87.14</v>
      </c>
      <c r="M207" s="83">
        <f t="shared" si="185"/>
        <v>560.75995</v>
      </c>
      <c r="N207" s="83">
        <f t="shared" si="179"/>
        <v>-47.5791043687823</v>
      </c>
      <c r="O207" s="388"/>
    </row>
    <row r="208" s="5" customFormat="1" customHeight="1" spans="1:15">
      <c r="A208" s="380">
        <v>2081001</v>
      </c>
      <c r="B208" s="151" t="s">
        <v>319</v>
      </c>
      <c r="C208" s="83">
        <v>2</v>
      </c>
      <c r="D208" s="83">
        <v>21.3</v>
      </c>
      <c r="E208" s="83">
        <f t="shared" ref="E208:E212" si="186">C208+D208</f>
        <v>23.3</v>
      </c>
      <c r="F208" s="83">
        <v>-1</v>
      </c>
      <c r="G208" s="83">
        <v>0</v>
      </c>
      <c r="H208" s="83">
        <v>0</v>
      </c>
      <c r="I208" s="83">
        <v>0</v>
      </c>
      <c r="J208" s="83">
        <f t="shared" ref="J208:J212" si="187">L208-D208</f>
        <v>9.5</v>
      </c>
      <c r="K208" s="83">
        <f t="shared" ref="K208:K212" si="188">C208+F208+G208+H208+I208</f>
        <v>1</v>
      </c>
      <c r="L208" s="83">
        <v>30.8</v>
      </c>
      <c r="M208" s="83">
        <f t="shared" ref="M208:M212" si="189">K208+L208</f>
        <v>31.8</v>
      </c>
      <c r="N208" s="83">
        <f t="shared" si="179"/>
        <v>36.480686695279</v>
      </c>
      <c r="O208" s="388">
        <v>0</v>
      </c>
    </row>
    <row r="209" s="5" customFormat="1" customHeight="1" spans="1:15">
      <c r="A209" s="380">
        <v>2081002</v>
      </c>
      <c r="B209" s="151" t="s">
        <v>320</v>
      </c>
      <c r="C209" s="83">
        <v>320.95</v>
      </c>
      <c r="D209" s="83">
        <v>139</v>
      </c>
      <c r="E209" s="83">
        <f t="shared" si="186"/>
        <v>459.95</v>
      </c>
      <c r="F209" s="83">
        <v>-106.087</v>
      </c>
      <c r="G209" s="83">
        <v>0</v>
      </c>
      <c r="H209" s="83">
        <v>0</v>
      </c>
      <c r="I209" s="83">
        <v>0</v>
      </c>
      <c r="J209" s="83">
        <f t="shared" si="187"/>
        <v>-139</v>
      </c>
      <c r="K209" s="83">
        <f t="shared" si="188"/>
        <v>214.863</v>
      </c>
      <c r="L209" s="83"/>
      <c r="M209" s="83">
        <f t="shared" si="189"/>
        <v>214.863</v>
      </c>
      <c r="N209" s="83">
        <f t="shared" si="179"/>
        <v>-53.2855745189694</v>
      </c>
      <c r="O209" s="388" t="s">
        <v>321</v>
      </c>
    </row>
    <row r="210" s="5" customFormat="1" customHeight="1" spans="1:15">
      <c r="A210" s="380">
        <v>2081004</v>
      </c>
      <c r="B210" s="151" t="s">
        <v>322</v>
      </c>
      <c r="C210" s="83">
        <v>195.11</v>
      </c>
      <c r="D210" s="83">
        <v>51.136</v>
      </c>
      <c r="E210" s="83">
        <f t="shared" si="186"/>
        <v>246.246</v>
      </c>
      <c r="F210" s="83">
        <v>-22.3782</v>
      </c>
      <c r="G210" s="83"/>
      <c r="H210" s="83">
        <v>0</v>
      </c>
      <c r="I210" s="83">
        <v>0</v>
      </c>
      <c r="J210" s="83">
        <f t="shared" si="187"/>
        <v>0.00399999999999778</v>
      </c>
      <c r="K210" s="83">
        <f t="shared" si="188"/>
        <v>172.7318</v>
      </c>
      <c r="L210" s="83">
        <v>51.14</v>
      </c>
      <c r="M210" s="83">
        <f t="shared" si="189"/>
        <v>223.8718</v>
      </c>
      <c r="N210" s="83">
        <f t="shared" si="179"/>
        <v>-9.08611713489762</v>
      </c>
      <c r="O210" s="220" t="s">
        <v>323</v>
      </c>
    </row>
    <row r="211" s="5" customFormat="1" customHeight="1" spans="1:15">
      <c r="A211" s="380">
        <v>2081005</v>
      </c>
      <c r="B211" s="151" t="s">
        <v>324</v>
      </c>
      <c r="C211" s="83">
        <v>42.21</v>
      </c>
      <c r="D211" s="83">
        <v>0</v>
      </c>
      <c r="E211" s="83">
        <f t="shared" si="186"/>
        <v>42.21</v>
      </c>
      <c r="F211" s="83">
        <v>-0.78375</v>
      </c>
      <c r="G211" s="83"/>
      <c r="H211" s="83">
        <v>0</v>
      </c>
      <c r="I211" s="83">
        <v>13.5989</v>
      </c>
      <c r="J211" s="83">
        <f t="shared" si="187"/>
        <v>0</v>
      </c>
      <c r="K211" s="83">
        <f t="shared" si="188"/>
        <v>55.02515</v>
      </c>
      <c r="L211" s="83"/>
      <c r="M211" s="83">
        <f t="shared" si="189"/>
        <v>55.02515</v>
      </c>
      <c r="N211" s="83">
        <f t="shared" si="179"/>
        <v>30.3604596067283</v>
      </c>
      <c r="O211" s="220" t="s">
        <v>95</v>
      </c>
    </row>
    <row r="212" s="5" customFormat="1" customHeight="1" spans="1:15">
      <c r="A212" s="380">
        <v>2081006</v>
      </c>
      <c r="B212" s="151" t="s">
        <v>325</v>
      </c>
      <c r="C212" s="83">
        <v>180</v>
      </c>
      <c r="D212" s="83">
        <v>118.02</v>
      </c>
      <c r="E212" s="83">
        <f t="shared" si="186"/>
        <v>298.02</v>
      </c>
      <c r="F212" s="83">
        <v>0</v>
      </c>
      <c r="G212" s="83">
        <v>0</v>
      </c>
      <c r="H212" s="83">
        <v>-150</v>
      </c>
      <c r="I212" s="83">
        <v>0</v>
      </c>
      <c r="J212" s="83">
        <f t="shared" si="187"/>
        <v>-112.82</v>
      </c>
      <c r="K212" s="83">
        <f t="shared" si="188"/>
        <v>30</v>
      </c>
      <c r="L212" s="83">
        <v>5.2</v>
      </c>
      <c r="M212" s="83">
        <f t="shared" si="189"/>
        <v>35.2</v>
      </c>
      <c r="N212" s="83">
        <f t="shared" si="179"/>
        <v>-88.1887121669687</v>
      </c>
      <c r="O212" s="388" t="s">
        <v>326</v>
      </c>
    </row>
    <row r="213" s="5" customFormat="1" customHeight="1" spans="1:15">
      <c r="A213" s="380">
        <v>20811</v>
      </c>
      <c r="B213" s="151" t="s">
        <v>327</v>
      </c>
      <c r="C213" s="83">
        <f t="shared" ref="C213:M213" si="190">SUM(C214:C218)</f>
        <v>936.06</v>
      </c>
      <c r="D213" s="83">
        <f t="shared" si="190"/>
        <v>1396.206</v>
      </c>
      <c r="E213" s="83">
        <f t="shared" si="190"/>
        <v>2332.266</v>
      </c>
      <c r="F213" s="83">
        <f t="shared" si="190"/>
        <v>-119.268039</v>
      </c>
      <c r="G213" s="381">
        <f t="shared" si="190"/>
        <v>0</v>
      </c>
      <c r="H213" s="83">
        <f t="shared" si="190"/>
        <v>-117.7464</v>
      </c>
      <c r="I213" s="83">
        <f t="shared" si="190"/>
        <v>48.134142</v>
      </c>
      <c r="J213" s="83">
        <f t="shared" si="190"/>
        <v>-252.586</v>
      </c>
      <c r="K213" s="83">
        <f t="shared" si="190"/>
        <v>747.179703</v>
      </c>
      <c r="L213" s="83">
        <f t="shared" si="190"/>
        <v>1143.62</v>
      </c>
      <c r="M213" s="83">
        <f t="shared" si="190"/>
        <v>1890.799703</v>
      </c>
      <c r="N213" s="83">
        <f t="shared" si="179"/>
        <v>-18.9286426591135</v>
      </c>
      <c r="O213" s="220"/>
    </row>
    <row r="214" s="5" customFormat="1" customHeight="1" spans="1:15">
      <c r="A214" s="380">
        <v>2081101</v>
      </c>
      <c r="B214" s="151" t="s">
        <v>94</v>
      </c>
      <c r="C214" s="83">
        <v>193.48</v>
      </c>
      <c r="D214" s="83">
        <v>0</v>
      </c>
      <c r="E214" s="83">
        <f t="shared" ref="E214:E218" si="191">C214+D214</f>
        <v>193.48</v>
      </c>
      <c r="F214" s="83">
        <v>-1.4541</v>
      </c>
      <c r="G214" s="83"/>
      <c r="H214" s="83">
        <v>0</v>
      </c>
      <c r="I214" s="83">
        <v>46.667142</v>
      </c>
      <c r="J214" s="83">
        <f t="shared" ref="J214:J218" si="192">L214-D214</f>
        <v>0</v>
      </c>
      <c r="K214" s="83">
        <f t="shared" ref="K214:K218" si="193">C214+F214+G214+H214+I214</f>
        <v>238.693042</v>
      </c>
      <c r="L214" s="83"/>
      <c r="M214" s="83">
        <f t="shared" ref="M214:M218" si="194">K214+L214</f>
        <v>238.693042</v>
      </c>
      <c r="N214" s="83">
        <f t="shared" si="179"/>
        <v>23.3683285094067</v>
      </c>
      <c r="O214" s="220" t="s">
        <v>115</v>
      </c>
    </row>
    <row r="215" s="5" customFormat="1" customHeight="1" spans="1:15">
      <c r="A215" s="380">
        <v>2081104</v>
      </c>
      <c r="B215" s="151" t="s">
        <v>328</v>
      </c>
      <c r="C215" s="83">
        <v>1</v>
      </c>
      <c r="D215" s="83">
        <v>10.1</v>
      </c>
      <c r="E215" s="83">
        <f t="shared" si="191"/>
        <v>11.1</v>
      </c>
      <c r="F215" s="83">
        <v>-1</v>
      </c>
      <c r="G215" s="83"/>
      <c r="H215" s="83">
        <v>0</v>
      </c>
      <c r="I215" s="83">
        <v>0</v>
      </c>
      <c r="J215" s="83">
        <f t="shared" si="192"/>
        <v>-6.94</v>
      </c>
      <c r="K215" s="83">
        <f t="shared" si="193"/>
        <v>0</v>
      </c>
      <c r="L215" s="83">
        <v>3.16</v>
      </c>
      <c r="M215" s="83">
        <f t="shared" si="194"/>
        <v>3.16</v>
      </c>
      <c r="N215" s="83">
        <f t="shared" si="179"/>
        <v>-71.5315315315315</v>
      </c>
      <c r="O215" s="220"/>
    </row>
    <row r="216" s="5" customFormat="1" customHeight="1" spans="1:15">
      <c r="A216" s="380">
        <v>2081105</v>
      </c>
      <c r="B216" s="151" t="s">
        <v>329</v>
      </c>
      <c r="C216" s="83">
        <v>1.53</v>
      </c>
      <c r="D216" s="83">
        <v>347.5</v>
      </c>
      <c r="E216" s="83">
        <f t="shared" si="191"/>
        <v>349.03</v>
      </c>
      <c r="F216" s="83">
        <v>0</v>
      </c>
      <c r="G216" s="83"/>
      <c r="H216" s="83">
        <v>0</v>
      </c>
      <c r="I216" s="83">
        <v>0</v>
      </c>
      <c r="J216" s="83">
        <f t="shared" si="192"/>
        <v>-213.79</v>
      </c>
      <c r="K216" s="83">
        <f t="shared" si="193"/>
        <v>1.53</v>
      </c>
      <c r="L216" s="83">
        <v>133.71</v>
      </c>
      <c r="M216" s="83">
        <f t="shared" si="194"/>
        <v>135.24</v>
      </c>
      <c r="N216" s="83">
        <f t="shared" si="179"/>
        <v>-61.252614388448</v>
      </c>
      <c r="O216" s="220"/>
    </row>
    <row r="217" s="5" customFormat="1" customHeight="1" spans="1:15">
      <c r="A217" s="380">
        <v>2081107</v>
      </c>
      <c r="B217" s="151" t="s">
        <v>330</v>
      </c>
      <c r="C217" s="83">
        <v>243.01</v>
      </c>
      <c r="D217" s="83">
        <v>964.8661</v>
      </c>
      <c r="E217" s="83">
        <f t="shared" si="191"/>
        <v>1207.8761</v>
      </c>
      <c r="F217" s="83">
        <v>-29.358339</v>
      </c>
      <c r="G217" s="83">
        <v>0</v>
      </c>
      <c r="H217" s="83">
        <v>0</v>
      </c>
      <c r="I217" s="83">
        <v>0</v>
      </c>
      <c r="J217" s="83">
        <f t="shared" si="192"/>
        <v>-0.0260999999999285</v>
      </c>
      <c r="K217" s="83">
        <f t="shared" si="193"/>
        <v>213.651661</v>
      </c>
      <c r="L217" s="83">
        <v>964.84</v>
      </c>
      <c r="M217" s="83">
        <f t="shared" si="194"/>
        <v>1178.491661</v>
      </c>
      <c r="N217" s="83">
        <f t="shared" si="179"/>
        <v>-2.43273618875313</v>
      </c>
      <c r="O217" s="388" t="s">
        <v>331</v>
      </c>
    </row>
    <row r="218" s="5" customFormat="1" customHeight="1" spans="1:15">
      <c r="A218" s="380">
        <v>2081199</v>
      </c>
      <c r="B218" s="151" t="s">
        <v>332</v>
      </c>
      <c r="C218" s="83">
        <v>497.04</v>
      </c>
      <c r="D218" s="83">
        <v>73.7399</v>
      </c>
      <c r="E218" s="83">
        <f t="shared" si="191"/>
        <v>570.7799</v>
      </c>
      <c r="F218" s="83">
        <v>-87.4556</v>
      </c>
      <c r="G218" s="83">
        <v>0</v>
      </c>
      <c r="H218" s="83">
        <v>-117.7464</v>
      </c>
      <c r="I218" s="83">
        <v>1.467</v>
      </c>
      <c r="J218" s="83">
        <f t="shared" si="192"/>
        <v>-31.8299</v>
      </c>
      <c r="K218" s="83">
        <f t="shared" si="193"/>
        <v>293.305</v>
      </c>
      <c r="L218" s="83">
        <v>41.91</v>
      </c>
      <c r="M218" s="83">
        <f t="shared" si="194"/>
        <v>335.215</v>
      </c>
      <c r="N218" s="83">
        <f t="shared" si="179"/>
        <v>-41.2707069747901</v>
      </c>
      <c r="O218" s="388" t="s">
        <v>333</v>
      </c>
    </row>
    <row r="219" s="5" customFormat="1" customHeight="1" spans="1:15">
      <c r="A219" s="380">
        <v>20816</v>
      </c>
      <c r="B219" s="151" t="s">
        <v>334</v>
      </c>
      <c r="C219" s="83">
        <f t="shared" ref="C219:M219" si="195">SUM(C220:C221)</f>
        <v>64.51</v>
      </c>
      <c r="D219" s="83">
        <f t="shared" si="195"/>
        <v>0</v>
      </c>
      <c r="E219" s="83">
        <f t="shared" si="195"/>
        <v>64.51</v>
      </c>
      <c r="F219" s="83">
        <f t="shared" si="195"/>
        <v>-1.032</v>
      </c>
      <c r="G219" s="381">
        <f t="shared" si="195"/>
        <v>0</v>
      </c>
      <c r="H219" s="83">
        <f t="shared" si="195"/>
        <v>0</v>
      </c>
      <c r="I219" s="83">
        <f t="shared" si="195"/>
        <v>6.8876</v>
      </c>
      <c r="J219" s="83">
        <f t="shared" si="195"/>
        <v>0</v>
      </c>
      <c r="K219" s="83">
        <f t="shared" si="195"/>
        <v>70.3656</v>
      </c>
      <c r="L219" s="83">
        <f t="shared" si="195"/>
        <v>0</v>
      </c>
      <c r="M219" s="83">
        <f t="shared" si="195"/>
        <v>70.3656</v>
      </c>
      <c r="N219" s="83">
        <f t="shared" si="179"/>
        <v>9.07704231902032</v>
      </c>
      <c r="O219" s="220"/>
    </row>
    <row r="220" s="5" customFormat="1" customHeight="1" spans="1:15">
      <c r="A220" s="380">
        <v>2081601</v>
      </c>
      <c r="B220" s="151" t="s">
        <v>94</v>
      </c>
      <c r="C220" s="83">
        <v>46.51</v>
      </c>
      <c r="D220" s="83">
        <v>0</v>
      </c>
      <c r="E220" s="83">
        <f t="shared" ref="E220:E224" si="196">C220+D220</f>
        <v>46.51</v>
      </c>
      <c r="F220" s="83">
        <v>-0.135</v>
      </c>
      <c r="G220" s="83">
        <v>0</v>
      </c>
      <c r="H220" s="83">
        <v>0</v>
      </c>
      <c r="I220" s="83">
        <v>6.8876</v>
      </c>
      <c r="J220" s="83">
        <f t="shared" ref="J220:J224" si="197">L220-D220</f>
        <v>0</v>
      </c>
      <c r="K220" s="83">
        <f t="shared" ref="K220:K224" si="198">C220+F220+G220+H220+I220</f>
        <v>53.2626</v>
      </c>
      <c r="L220" s="83"/>
      <c r="M220" s="83">
        <f t="shared" ref="M220:M224" si="199">K220+L220</f>
        <v>53.2626</v>
      </c>
      <c r="N220" s="83">
        <f t="shared" si="179"/>
        <v>14.5185981509353</v>
      </c>
      <c r="O220" s="388" t="s">
        <v>115</v>
      </c>
    </row>
    <row r="221" s="5" customFormat="1" customHeight="1" spans="1:15">
      <c r="A221" s="380">
        <v>2081699</v>
      </c>
      <c r="B221" s="151" t="s">
        <v>335</v>
      </c>
      <c r="C221" s="83">
        <v>18</v>
      </c>
      <c r="D221" s="83">
        <v>0</v>
      </c>
      <c r="E221" s="83">
        <f t="shared" si="196"/>
        <v>18</v>
      </c>
      <c r="F221" s="83">
        <v>-0.897</v>
      </c>
      <c r="G221" s="83"/>
      <c r="H221" s="83">
        <v>0</v>
      </c>
      <c r="I221" s="83">
        <v>0</v>
      </c>
      <c r="J221" s="83">
        <f t="shared" si="197"/>
        <v>0</v>
      </c>
      <c r="K221" s="83">
        <f t="shared" si="198"/>
        <v>17.103</v>
      </c>
      <c r="L221" s="83"/>
      <c r="M221" s="83">
        <f t="shared" si="199"/>
        <v>17.103</v>
      </c>
      <c r="N221" s="83">
        <f t="shared" si="179"/>
        <v>-4.98333333333333</v>
      </c>
      <c r="O221" s="220"/>
    </row>
    <row r="222" s="5" customFormat="1" customHeight="1" spans="1:15">
      <c r="A222" s="380">
        <v>20819</v>
      </c>
      <c r="B222" s="151" t="s">
        <v>336</v>
      </c>
      <c r="C222" s="83">
        <f t="shared" ref="C222:M222" si="200">SUM(C223:C224)</f>
        <v>1290</v>
      </c>
      <c r="D222" s="83">
        <f t="shared" si="200"/>
        <v>2687.815</v>
      </c>
      <c r="E222" s="83">
        <f t="shared" si="200"/>
        <v>3977.815</v>
      </c>
      <c r="F222" s="83">
        <f t="shared" si="200"/>
        <v>-65.0777</v>
      </c>
      <c r="G222" s="381">
        <f t="shared" si="200"/>
        <v>0</v>
      </c>
      <c r="H222" s="83">
        <f t="shared" si="200"/>
        <v>0</v>
      </c>
      <c r="I222" s="83">
        <f t="shared" si="200"/>
        <v>9.72</v>
      </c>
      <c r="J222" s="83">
        <f t="shared" si="200"/>
        <v>-27.9349999999999</v>
      </c>
      <c r="K222" s="83">
        <f t="shared" si="200"/>
        <v>1234.6423</v>
      </c>
      <c r="L222" s="83">
        <f t="shared" si="200"/>
        <v>2659.88</v>
      </c>
      <c r="M222" s="83">
        <f t="shared" si="200"/>
        <v>3894.5223</v>
      </c>
      <c r="N222" s="83">
        <f t="shared" si="179"/>
        <v>-2.09393096461249</v>
      </c>
      <c r="O222" s="388"/>
    </row>
    <row r="223" s="5" customFormat="1" customHeight="1" spans="1:15">
      <c r="A223" s="380">
        <v>2081901</v>
      </c>
      <c r="B223" s="151" t="s">
        <v>337</v>
      </c>
      <c r="C223" s="83">
        <v>540</v>
      </c>
      <c r="D223" s="83">
        <v>1038.72</v>
      </c>
      <c r="E223" s="83">
        <f t="shared" si="196"/>
        <v>1578.72</v>
      </c>
      <c r="F223" s="83">
        <v>-65.0777</v>
      </c>
      <c r="G223" s="83">
        <v>0</v>
      </c>
      <c r="H223" s="83">
        <v>0</v>
      </c>
      <c r="I223" s="83">
        <v>9.72</v>
      </c>
      <c r="J223" s="83">
        <f t="shared" si="197"/>
        <v>61.74</v>
      </c>
      <c r="K223" s="83">
        <f t="shared" si="198"/>
        <v>484.6423</v>
      </c>
      <c r="L223" s="83">
        <v>1100.46</v>
      </c>
      <c r="M223" s="83">
        <f t="shared" si="199"/>
        <v>1585.1023</v>
      </c>
      <c r="N223" s="83">
        <f t="shared" si="179"/>
        <v>0.404270548292287</v>
      </c>
      <c r="O223" s="388" t="s">
        <v>338</v>
      </c>
    </row>
    <row r="224" s="5" customFormat="1" customHeight="1" spans="1:15">
      <c r="A224" s="380">
        <v>2081902</v>
      </c>
      <c r="B224" s="151" t="s">
        <v>339</v>
      </c>
      <c r="C224" s="83">
        <v>750</v>
      </c>
      <c r="D224" s="83">
        <v>1649.095</v>
      </c>
      <c r="E224" s="83">
        <f t="shared" si="196"/>
        <v>2399.095</v>
      </c>
      <c r="F224" s="83">
        <v>0</v>
      </c>
      <c r="G224" s="83">
        <v>0</v>
      </c>
      <c r="H224" s="83">
        <v>0</v>
      </c>
      <c r="I224" s="83">
        <v>0</v>
      </c>
      <c r="J224" s="83">
        <f t="shared" si="197"/>
        <v>-89.675</v>
      </c>
      <c r="K224" s="83">
        <f t="shared" si="198"/>
        <v>750</v>
      </c>
      <c r="L224" s="83">
        <v>1559.42</v>
      </c>
      <c r="M224" s="83">
        <f t="shared" si="199"/>
        <v>2309.42</v>
      </c>
      <c r="N224" s="83">
        <f t="shared" si="179"/>
        <v>-3.73786782099084</v>
      </c>
      <c r="O224" s="220"/>
    </row>
    <row r="225" s="5" customFormat="1" customHeight="1" spans="1:15">
      <c r="A225" s="380">
        <v>20820</v>
      </c>
      <c r="B225" s="151" t="s">
        <v>340</v>
      </c>
      <c r="C225" s="83">
        <f t="shared" ref="C225:M225" si="201">SUM(C226:C227)</f>
        <v>16</v>
      </c>
      <c r="D225" s="83">
        <f t="shared" si="201"/>
        <v>0</v>
      </c>
      <c r="E225" s="83">
        <f t="shared" si="201"/>
        <v>16</v>
      </c>
      <c r="F225" s="83">
        <f t="shared" si="201"/>
        <v>-15.3025</v>
      </c>
      <c r="G225" s="381">
        <f t="shared" si="201"/>
        <v>0</v>
      </c>
      <c r="H225" s="83">
        <f t="shared" si="201"/>
        <v>0</v>
      </c>
      <c r="I225" s="83">
        <f t="shared" si="201"/>
        <v>0</v>
      </c>
      <c r="J225" s="83">
        <f t="shared" si="201"/>
        <v>0</v>
      </c>
      <c r="K225" s="83">
        <f t="shared" si="201"/>
        <v>0.6975</v>
      </c>
      <c r="L225" s="83">
        <f t="shared" si="201"/>
        <v>0</v>
      </c>
      <c r="M225" s="83">
        <f t="shared" si="201"/>
        <v>0.6975</v>
      </c>
      <c r="N225" s="83">
        <f t="shared" si="179"/>
        <v>-95.640625</v>
      </c>
      <c r="O225" s="220"/>
    </row>
    <row r="226" s="5" customFormat="1" customHeight="1" spans="1:15">
      <c r="A226" s="380">
        <v>2082001</v>
      </c>
      <c r="B226" s="151" t="s">
        <v>341</v>
      </c>
      <c r="C226" s="83">
        <v>15</v>
      </c>
      <c r="D226" s="83">
        <v>0</v>
      </c>
      <c r="E226" s="83">
        <f t="shared" ref="E226:E230" si="202">C226+D226</f>
        <v>15</v>
      </c>
      <c r="F226" s="83">
        <v>-15</v>
      </c>
      <c r="G226" s="83"/>
      <c r="H226" s="83">
        <v>0</v>
      </c>
      <c r="I226" s="83">
        <v>0</v>
      </c>
      <c r="J226" s="83">
        <f t="shared" ref="J226:J230" si="203">L226-D226</f>
        <v>0</v>
      </c>
      <c r="K226" s="83">
        <f t="shared" ref="K226:K230" si="204">C226+F226+G226+H226+I226</f>
        <v>0</v>
      </c>
      <c r="L226" s="83"/>
      <c r="M226" s="83">
        <f t="shared" ref="M226:M230" si="205">K226+L226</f>
        <v>0</v>
      </c>
      <c r="N226" s="83">
        <f t="shared" si="179"/>
        <v>-100</v>
      </c>
      <c r="O226" s="220" t="s">
        <v>342</v>
      </c>
    </row>
    <row r="227" s="5" customFormat="1" customHeight="1" spans="1:15">
      <c r="A227" s="380">
        <v>2082002</v>
      </c>
      <c r="B227" s="151" t="s">
        <v>343</v>
      </c>
      <c r="C227" s="83">
        <v>1</v>
      </c>
      <c r="D227" s="83">
        <v>0</v>
      </c>
      <c r="E227" s="83">
        <f t="shared" si="202"/>
        <v>1</v>
      </c>
      <c r="F227" s="83">
        <v>-0.3025</v>
      </c>
      <c r="G227" s="83">
        <v>0</v>
      </c>
      <c r="H227" s="83">
        <v>0</v>
      </c>
      <c r="I227" s="83">
        <v>0</v>
      </c>
      <c r="J227" s="83">
        <f t="shared" si="203"/>
        <v>0</v>
      </c>
      <c r="K227" s="83">
        <f t="shared" si="204"/>
        <v>0.6975</v>
      </c>
      <c r="L227" s="83"/>
      <c r="M227" s="83">
        <f t="shared" si="205"/>
        <v>0.6975</v>
      </c>
      <c r="N227" s="83">
        <f t="shared" si="179"/>
        <v>-30.25</v>
      </c>
      <c r="O227" s="388">
        <v>0</v>
      </c>
    </row>
    <row r="228" s="5" customFormat="1" customHeight="1" spans="1:15">
      <c r="A228" s="380">
        <v>20821</v>
      </c>
      <c r="B228" s="151" t="s">
        <v>344</v>
      </c>
      <c r="C228" s="83">
        <f t="shared" ref="C228:M228" si="206">SUM(C229:C230)</f>
        <v>62</v>
      </c>
      <c r="D228" s="83">
        <f t="shared" si="206"/>
        <v>325.175</v>
      </c>
      <c r="E228" s="83">
        <f t="shared" si="206"/>
        <v>387.175</v>
      </c>
      <c r="F228" s="83">
        <f t="shared" si="206"/>
        <v>0</v>
      </c>
      <c r="G228" s="381">
        <f t="shared" si="206"/>
        <v>0</v>
      </c>
      <c r="H228" s="83">
        <f t="shared" si="206"/>
        <v>0</v>
      </c>
      <c r="I228" s="83">
        <f t="shared" si="206"/>
        <v>16.541</v>
      </c>
      <c r="J228" s="83">
        <f t="shared" si="206"/>
        <v>94.485</v>
      </c>
      <c r="K228" s="83">
        <f t="shared" si="206"/>
        <v>78.541</v>
      </c>
      <c r="L228" s="83">
        <f t="shared" si="206"/>
        <v>419.66</v>
      </c>
      <c r="M228" s="83">
        <f t="shared" si="206"/>
        <v>498.201</v>
      </c>
      <c r="N228" s="83">
        <f t="shared" si="179"/>
        <v>28.6759217408149</v>
      </c>
      <c r="O228" s="220"/>
    </row>
    <row r="229" s="5" customFormat="1" customHeight="1" spans="1:15">
      <c r="A229" s="380">
        <v>2082101</v>
      </c>
      <c r="B229" s="151" t="s">
        <v>345</v>
      </c>
      <c r="C229" s="83">
        <v>5</v>
      </c>
      <c r="D229" s="83">
        <v>42.005</v>
      </c>
      <c r="E229" s="83">
        <f t="shared" si="202"/>
        <v>47.005</v>
      </c>
      <c r="F229" s="83">
        <v>0</v>
      </c>
      <c r="G229" s="83">
        <v>0</v>
      </c>
      <c r="H229" s="83">
        <v>0</v>
      </c>
      <c r="I229" s="83">
        <v>15.371</v>
      </c>
      <c r="J229" s="83">
        <f t="shared" si="203"/>
        <v>17.265</v>
      </c>
      <c r="K229" s="83">
        <f t="shared" si="204"/>
        <v>20.371</v>
      </c>
      <c r="L229" s="83">
        <v>59.27</v>
      </c>
      <c r="M229" s="83">
        <f t="shared" si="205"/>
        <v>79.641</v>
      </c>
      <c r="N229" s="83">
        <f t="shared" si="179"/>
        <v>69.4309116051484</v>
      </c>
      <c r="O229" s="388" t="s">
        <v>346</v>
      </c>
    </row>
    <row r="230" s="5" customFormat="1" customHeight="1" spans="1:15">
      <c r="A230" s="380">
        <v>2082102</v>
      </c>
      <c r="B230" s="151" t="s">
        <v>347</v>
      </c>
      <c r="C230" s="83">
        <v>57</v>
      </c>
      <c r="D230" s="83">
        <v>283.17</v>
      </c>
      <c r="E230" s="83">
        <f t="shared" si="202"/>
        <v>340.17</v>
      </c>
      <c r="F230" s="83">
        <v>0</v>
      </c>
      <c r="G230" s="83">
        <v>0</v>
      </c>
      <c r="H230" s="83">
        <v>0</v>
      </c>
      <c r="I230" s="83">
        <v>1.17</v>
      </c>
      <c r="J230" s="83">
        <f t="shared" si="203"/>
        <v>77.22</v>
      </c>
      <c r="K230" s="83">
        <f t="shared" si="204"/>
        <v>58.17</v>
      </c>
      <c r="L230" s="83">
        <v>360.39</v>
      </c>
      <c r="M230" s="83">
        <f t="shared" si="205"/>
        <v>418.56</v>
      </c>
      <c r="N230" s="83">
        <f t="shared" si="179"/>
        <v>23.0443601728547</v>
      </c>
      <c r="O230" s="388"/>
    </row>
    <row r="231" s="5" customFormat="1" customHeight="1" spans="1:15">
      <c r="A231" s="380">
        <v>20825</v>
      </c>
      <c r="B231" s="151" t="s">
        <v>348</v>
      </c>
      <c r="C231" s="83">
        <f t="shared" ref="C231:M231" si="207">SUM(C232:C233)</f>
        <v>8.46</v>
      </c>
      <c r="D231" s="83">
        <f t="shared" si="207"/>
        <v>39.6</v>
      </c>
      <c r="E231" s="83">
        <f t="shared" si="207"/>
        <v>48.06</v>
      </c>
      <c r="F231" s="83">
        <f t="shared" si="207"/>
        <v>-0.032</v>
      </c>
      <c r="G231" s="381">
        <f t="shared" si="207"/>
        <v>0</v>
      </c>
      <c r="H231" s="83">
        <f t="shared" si="207"/>
        <v>0</v>
      </c>
      <c r="I231" s="83">
        <f t="shared" si="207"/>
        <v>0</v>
      </c>
      <c r="J231" s="83">
        <f t="shared" si="207"/>
        <v>-13.11</v>
      </c>
      <c r="K231" s="83">
        <f t="shared" si="207"/>
        <v>8.428</v>
      </c>
      <c r="L231" s="83">
        <f t="shared" si="207"/>
        <v>26.49</v>
      </c>
      <c r="M231" s="83">
        <f t="shared" si="207"/>
        <v>34.918</v>
      </c>
      <c r="N231" s="83">
        <f t="shared" si="179"/>
        <v>-27.3449854348731</v>
      </c>
      <c r="O231" s="388">
        <v>0</v>
      </c>
    </row>
    <row r="232" s="5" customFormat="1" customHeight="1" spans="1:15">
      <c r="A232" s="380">
        <v>2082501</v>
      </c>
      <c r="B232" s="151" t="s">
        <v>349</v>
      </c>
      <c r="C232" s="83">
        <v>3.33</v>
      </c>
      <c r="D232" s="83">
        <v>15.4</v>
      </c>
      <c r="E232" s="83">
        <f t="shared" ref="E232:E236" si="208">C232+D232</f>
        <v>18.73</v>
      </c>
      <c r="F232" s="83">
        <v>-0.032</v>
      </c>
      <c r="G232" s="83">
        <v>0</v>
      </c>
      <c r="H232" s="83">
        <v>0</v>
      </c>
      <c r="I232" s="83">
        <v>0</v>
      </c>
      <c r="J232" s="83">
        <f t="shared" ref="J232:J236" si="209">L232-D232</f>
        <v>-4.69</v>
      </c>
      <c r="K232" s="83">
        <f t="shared" ref="K232:K236" si="210">C232+F232+G232+H232+I232</f>
        <v>3.298</v>
      </c>
      <c r="L232" s="83">
        <v>10.71</v>
      </c>
      <c r="M232" s="83">
        <f t="shared" ref="M232:M236" si="211">K232+L232</f>
        <v>14.008</v>
      </c>
      <c r="N232" s="83">
        <f t="shared" si="179"/>
        <v>-25.2108916177256</v>
      </c>
      <c r="O232" s="388">
        <v>0</v>
      </c>
    </row>
    <row r="233" s="5" customFormat="1" customHeight="1" spans="1:15">
      <c r="A233" s="380">
        <v>2082502</v>
      </c>
      <c r="B233" s="151" t="s">
        <v>350</v>
      </c>
      <c r="C233" s="83">
        <v>5.13</v>
      </c>
      <c r="D233" s="83">
        <v>24.2</v>
      </c>
      <c r="E233" s="83">
        <f t="shared" si="208"/>
        <v>29.33</v>
      </c>
      <c r="F233" s="83">
        <v>0</v>
      </c>
      <c r="G233" s="83">
        <v>0</v>
      </c>
      <c r="H233" s="83">
        <v>0</v>
      </c>
      <c r="I233" s="83">
        <v>0</v>
      </c>
      <c r="J233" s="83">
        <f t="shared" si="209"/>
        <v>-8.42</v>
      </c>
      <c r="K233" s="83">
        <f t="shared" si="210"/>
        <v>5.13</v>
      </c>
      <c r="L233" s="83">
        <v>15.78</v>
      </c>
      <c r="M233" s="83">
        <f t="shared" si="211"/>
        <v>20.91</v>
      </c>
      <c r="N233" s="83">
        <f t="shared" si="179"/>
        <v>-28.7078077054211</v>
      </c>
      <c r="O233" s="388">
        <v>0</v>
      </c>
    </row>
    <row r="234" s="5" customFormat="1" customHeight="1" spans="1:15">
      <c r="A234" s="380">
        <v>20826</v>
      </c>
      <c r="B234" s="151" t="s">
        <v>351</v>
      </c>
      <c r="C234" s="83">
        <f t="shared" ref="C234:M234" si="212">SUM(C235:C236)</f>
        <v>1149.98</v>
      </c>
      <c r="D234" s="83">
        <f t="shared" si="212"/>
        <v>7684.2</v>
      </c>
      <c r="E234" s="83">
        <f t="shared" si="212"/>
        <v>8834.18</v>
      </c>
      <c r="F234" s="83">
        <f t="shared" si="212"/>
        <v>-672.3476</v>
      </c>
      <c r="G234" s="381">
        <f t="shared" si="212"/>
        <v>0</v>
      </c>
      <c r="H234" s="83">
        <f t="shared" si="212"/>
        <v>0</v>
      </c>
      <c r="I234" s="83">
        <f t="shared" si="212"/>
        <v>0</v>
      </c>
      <c r="J234" s="83">
        <f t="shared" si="212"/>
        <v>169.31</v>
      </c>
      <c r="K234" s="83">
        <f t="shared" si="212"/>
        <v>477.6324</v>
      </c>
      <c r="L234" s="83">
        <f t="shared" si="212"/>
        <v>7853.51</v>
      </c>
      <c r="M234" s="83">
        <f t="shared" si="212"/>
        <v>8331.1424</v>
      </c>
      <c r="N234" s="83">
        <f t="shared" si="179"/>
        <v>-5.69421949745194</v>
      </c>
      <c r="O234" s="388"/>
    </row>
    <row r="235" s="5" customFormat="1" customHeight="1" spans="1:15">
      <c r="A235" s="380">
        <v>2082602</v>
      </c>
      <c r="B235" s="151" t="s">
        <v>352</v>
      </c>
      <c r="C235" s="83">
        <v>1145.66</v>
      </c>
      <c r="D235" s="83">
        <v>7684.2</v>
      </c>
      <c r="E235" s="83">
        <f t="shared" si="208"/>
        <v>8829.86</v>
      </c>
      <c r="F235" s="83">
        <v>-672.3476</v>
      </c>
      <c r="G235" s="83"/>
      <c r="H235" s="83">
        <v>0</v>
      </c>
      <c r="I235" s="83">
        <v>0</v>
      </c>
      <c r="J235" s="83">
        <f t="shared" si="209"/>
        <v>169.31</v>
      </c>
      <c r="K235" s="83">
        <f t="shared" si="210"/>
        <v>473.3124</v>
      </c>
      <c r="L235" s="83">
        <v>7853.51</v>
      </c>
      <c r="M235" s="83">
        <f t="shared" si="211"/>
        <v>8326.8224</v>
      </c>
      <c r="N235" s="83">
        <f t="shared" si="179"/>
        <v>-5.6970053885339</v>
      </c>
      <c r="O235" s="220" t="s">
        <v>353</v>
      </c>
    </row>
    <row r="236" s="5" customFormat="1" customHeight="1" spans="1:15">
      <c r="A236" s="380">
        <v>2082699</v>
      </c>
      <c r="B236" s="151" t="s">
        <v>354</v>
      </c>
      <c r="C236" s="83">
        <v>4.32</v>
      </c>
      <c r="D236" s="83">
        <v>0</v>
      </c>
      <c r="E236" s="83">
        <f t="shared" si="208"/>
        <v>4.32</v>
      </c>
      <c r="F236" s="83">
        <v>0</v>
      </c>
      <c r="G236" s="83"/>
      <c r="H236" s="83">
        <v>0</v>
      </c>
      <c r="I236" s="83">
        <v>0</v>
      </c>
      <c r="J236" s="83">
        <f t="shared" si="209"/>
        <v>0</v>
      </c>
      <c r="K236" s="83">
        <f t="shared" si="210"/>
        <v>4.32</v>
      </c>
      <c r="L236" s="83"/>
      <c r="M236" s="83">
        <f t="shared" si="211"/>
        <v>4.32</v>
      </c>
      <c r="N236" s="83">
        <f t="shared" si="179"/>
        <v>0</v>
      </c>
      <c r="O236" s="220"/>
    </row>
    <row r="237" s="5" customFormat="1" customHeight="1" spans="1:15">
      <c r="A237" s="380">
        <v>20828</v>
      </c>
      <c r="B237" s="151" t="s">
        <v>355</v>
      </c>
      <c r="C237" s="83">
        <f t="shared" ref="C237:M237" si="213">SUM(C238:C242)</f>
        <v>756.5</v>
      </c>
      <c r="D237" s="83">
        <f t="shared" si="213"/>
        <v>171.82</v>
      </c>
      <c r="E237" s="83">
        <f t="shared" si="213"/>
        <v>928.32</v>
      </c>
      <c r="F237" s="83">
        <f t="shared" si="213"/>
        <v>-248.742126</v>
      </c>
      <c r="G237" s="381">
        <f t="shared" si="213"/>
        <v>0</v>
      </c>
      <c r="H237" s="83">
        <f t="shared" si="213"/>
        <v>-20.96395</v>
      </c>
      <c r="I237" s="83">
        <f t="shared" si="213"/>
        <v>50.5795</v>
      </c>
      <c r="J237" s="83">
        <f t="shared" si="213"/>
        <v>-166.21</v>
      </c>
      <c r="K237" s="83">
        <f t="shared" si="213"/>
        <v>537.373424</v>
      </c>
      <c r="L237" s="83">
        <f t="shared" si="213"/>
        <v>5.61</v>
      </c>
      <c r="M237" s="83">
        <f t="shared" si="213"/>
        <v>542.983424</v>
      </c>
      <c r="N237" s="83">
        <f t="shared" si="179"/>
        <v>-41.5090244743192</v>
      </c>
      <c r="O237" s="220"/>
    </row>
    <row r="238" s="5" customFormat="1" customHeight="1" spans="1:15">
      <c r="A238" s="380">
        <v>2082801</v>
      </c>
      <c r="B238" s="151" t="s">
        <v>94</v>
      </c>
      <c r="C238" s="83">
        <v>180</v>
      </c>
      <c r="D238" s="83">
        <v>0</v>
      </c>
      <c r="E238" s="83">
        <f t="shared" ref="E238:E242" si="214">C238+D238</f>
        <v>180</v>
      </c>
      <c r="F238" s="83">
        <v>-1.523966</v>
      </c>
      <c r="G238" s="83">
        <v>0</v>
      </c>
      <c r="H238" s="83">
        <v>0</v>
      </c>
      <c r="I238" s="83">
        <v>24.0472</v>
      </c>
      <c r="J238" s="83">
        <f t="shared" ref="J238:J242" si="215">L238-D238</f>
        <v>0</v>
      </c>
      <c r="K238" s="83">
        <f t="shared" ref="K238:K242" si="216">C238+F238+G238+H238+I238</f>
        <v>202.523234</v>
      </c>
      <c r="L238" s="83"/>
      <c r="M238" s="83">
        <f t="shared" ref="M238:M242" si="217">K238+L238</f>
        <v>202.523234</v>
      </c>
      <c r="N238" s="83">
        <f t="shared" si="179"/>
        <v>12.5129077777778</v>
      </c>
      <c r="O238" s="388" t="s">
        <v>115</v>
      </c>
    </row>
    <row r="239" s="5" customFormat="1" customHeight="1" spans="1:15">
      <c r="A239" s="380">
        <v>2082802</v>
      </c>
      <c r="B239" s="151" t="s">
        <v>116</v>
      </c>
      <c r="C239" s="83">
        <v>114</v>
      </c>
      <c r="D239" s="83">
        <v>0</v>
      </c>
      <c r="E239" s="83">
        <f t="shared" si="214"/>
        <v>114</v>
      </c>
      <c r="F239" s="83">
        <v>-64</v>
      </c>
      <c r="G239" s="83"/>
      <c r="H239" s="83">
        <v>0</v>
      </c>
      <c r="I239" s="83">
        <v>0</v>
      </c>
      <c r="J239" s="83">
        <f t="shared" si="215"/>
        <v>0</v>
      </c>
      <c r="K239" s="83">
        <f t="shared" si="216"/>
        <v>50</v>
      </c>
      <c r="L239" s="83"/>
      <c r="M239" s="83">
        <f t="shared" si="217"/>
        <v>50</v>
      </c>
      <c r="N239" s="83">
        <f t="shared" si="179"/>
        <v>-56.140350877193</v>
      </c>
      <c r="O239" s="220" t="s">
        <v>356</v>
      </c>
    </row>
    <row r="240" s="5" customFormat="1" customHeight="1" spans="1:15">
      <c r="A240" s="380">
        <v>2082804</v>
      </c>
      <c r="B240" s="151" t="s">
        <v>357</v>
      </c>
      <c r="C240" s="83">
        <v>265.36</v>
      </c>
      <c r="D240" s="83">
        <v>107.82</v>
      </c>
      <c r="E240" s="83">
        <f t="shared" si="214"/>
        <v>373.18</v>
      </c>
      <c r="F240" s="83">
        <v>-181.40684</v>
      </c>
      <c r="G240" s="83">
        <v>0</v>
      </c>
      <c r="H240" s="83">
        <v>0</v>
      </c>
      <c r="I240" s="83">
        <v>3.092</v>
      </c>
      <c r="J240" s="83">
        <f t="shared" si="215"/>
        <v>-107.1</v>
      </c>
      <c r="K240" s="83">
        <f t="shared" si="216"/>
        <v>87.04516</v>
      </c>
      <c r="L240" s="83">
        <v>0.72</v>
      </c>
      <c r="M240" s="83">
        <f t="shared" si="217"/>
        <v>87.76516</v>
      </c>
      <c r="N240" s="83">
        <f t="shared" si="179"/>
        <v>-76.4818157457527</v>
      </c>
      <c r="O240" s="388" t="s">
        <v>358</v>
      </c>
    </row>
    <row r="241" s="5" customFormat="1" customHeight="1" spans="1:15">
      <c r="A241" s="380">
        <v>2082850</v>
      </c>
      <c r="B241" s="151" t="s">
        <v>125</v>
      </c>
      <c r="C241" s="83">
        <v>74.25</v>
      </c>
      <c r="D241" s="83">
        <v>0</v>
      </c>
      <c r="E241" s="83">
        <f t="shared" si="214"/>
        <v>74.25</v>
      </c>
      <c r="F241" s="83">
        <v>-0.98132</v>
      </c>
      <c r="G241" s="83">
        <v>0</v>
      </c>
      <c r="H241" s="83">
        <v>0</v>
      </c>
      <c r="I241" s="83">
        <v>23.4403</v>
      </c>
      <c r="J241" s="83">
        <f t="shared" si="215"/>
        <v>0</v>
      </c>
      <c r="K241" s="83">
        <f t="shared" si="216"/>
        <v>96.70898</v>
      </c>
      <c r="L241" s="83"/>
      <c r="M241" s="83">
        <f t="shared" si="217"/>
        <v>96.70898</v>
      </c>
      <c r="N241" s="83">
        <f t="shared" si="179"/>
        <v>30.2477845117845</v>
      </c>
      <c r="O241" s="388" t="s">
        <v>95</v>
      </c>
    </row>
    <row r="242" s="5" customFormat="1" customHeight="1" spans="1:15">
      <c r="A242" s="380">
        <v>2082899</v>
      </c>
      <c r="B242" s="151" t="s">
        <v>359</v>
      </c>
      <c r="C242" s="83">
        <v>122.89</v>
      </c>
      <c r="D242" s="83">
        <v>64</v>
      </c>
      <c r="E242" s="83">
        <f t="shared" si="214"/>
        <v>186.89</v>
      </c>
      <c r="F242" s="83">
        <v>-0.83</v>
      </c>
      <c r="G242" s="83">
        <v>0</v>
      </c>
      <c r="H242" s="83">
        <v>-20.96395</v>
      </c>
      <c r="I242" s="83">
        <v>0</v>
      </c>
      <c r="J242" s="83">
        <f t="shared" si="215"/>
        <v>-59.11</v>
      </c>
      <c r="K242" s="83">
        <f t="shared" si="216"/>
        <v>101.09605</v>
      </c>
      <c r="L242" s="83">
        <v>4.89</v>
      </c>
      <c r="M242" s="83">
        <f t="shared" si="217"/>
        <v>105.98605</v>
      </c>
      <c r="N242" s="83">
        <f t="shared" si="179"/>
        <v>-43.2896088608272</v>
      </c>
      <c r="O242" s="388" t="s">
        <v>360</v>
      </c>
    </row>
    <row r="243" s="5" customFormat="1" customHeight="1" spans="1:15">
      <c r="A243" s="380">
        <v>20830</v>
      </c>
      <c r="B243" s="151" t="s">
        <v>361</v>
      </c>
      <c r="C243" s="83">
        <f t="shared" ref="C243:M243" si="218">SUM(C244)</f>
        <v>28.38</v>
      </c>
      <c r="D243" s="83">
        <f t="shared" si="218"/>
        <v>22.704</v>
      </c>
      <c r="E243" s="83">
        <f t="shared" si="218"/>
        <v>51.084</v>
      </c>
      <c r="F243" s="83">
        <f t="shared" si="218"/>
        <v>0</v>
      </c>
      <c r="G243" s="381">
        <f t="shared" si="218"/>
        <v>0</v>
      </c>
      <c r="H243" s="83">
        <f t="shared" si="218"/>
        <v>0</v>
      </c>
      <c r="I243" s="83">
        <f t="shared" si="218"/>
        <v>0</v>
      </c>
      <c r="J243" s="83">
        <f t="shared" si="218"/>
        <v>5.666</v>
      </c>
      <c r="K243" s="83">
        <f t="shared" si="218"/>
        <v>28.38</v>
      </c>
      <c r="L243" s="83">
        <f t="shared" si="218"/>
        <v>28.37</v>
      </c>
      <c r="M243" s="83">
        <f t="shared" si="218"/>
        <v>56.75</v>
      </c>
      <c r="N243" s="83">
        <f t="shared" si="179"/>
        <v>11.0915355101402</v>
      </c>
      <c r="O243" s="388">
        <v>0</v>
      </c>
    </row>
    <row r="244" s="5" customFormat="1" customHeight="1" spans="1:15">
      <c r="A244" s="151">
        <v>2083001</v>
      </c>
      <c r="B244" s="389" t="s">
        <v>362</v>
      </c>
      <c r="C244" s="83">
        <v>28.38</v>
      </c>
      <c r="D244" s="83">
        <v>22.704</v>
      </c>
      <c r="E244" s="83">
        <f t="shared" ref="E244:E250" si="219">C244+D244</f>
        <v>51.084</v>
      </c>
      <c r="F244" s="83">
        <v>0</v>
      </c>
      <c r="G244" s="83">
        <v>0</v>
      </c>
      <c r="H244" s="83">
        <v>0</v>
      </c>
      <c r="I244" s="83">
        <v>0</v>
      </c>
      <c r="J244" s="83">
        <f t="shared" ref="J244:J250" si="220">L244-D244</f>
        <v>5.666</v>
      </c>
      <c r="K244" s="83">
        <f t="shared" ref="K244:K250" si="221">C244+F244+G244+H244+I244</f>
        <v>28.38</v>
      </c>
      <c r="L244" s="83">
        <v>28.37</v>
      </c>
      <c r="M244" s="83">
        <f t="shared" ref="M244:M250" si="222">K244+L244</f>
        <v>56.75</v>
      </c>
      <c r="N244" s="83">
        <f t="shared" si="179"/>
        <v>11.0915355101402</v>
      </c>
      <c r="O244" s="388">
        <v>0</v>
      </c>
    </row>
    <row r="245" s="5" customFormat="1" customHeight="1" spans="1:15">
      <c r="A245" s="380">
        <v>20899</v>
      </c>
      <c r="B245" s="151" t="s">
        <v>363</v>
      </c>
      <c r="C245" s="83">
        <f t="shared" ref="C245:M245" si="223">SUM(C246)</f>
        <v>590.63</v>
      </c>
      <c r="D245" s="83">
        <f t="shared" si="223"/>
        <v>449.664</v>
      </c>
      <c r="E245" s="83">
        <f t="shared" si="223"/>
        <v>1040.294</v>
      </c>
      <c r="F245" s="83">
        <f t="shared" si="223"/>
        <v>-161.328584</v>
      </c>
      <c r="G245" s="381">
        <f t="shared" si="223"/>
        <v>0</v>
      </c>
      <c r="H245" s="83">
        <f t="shared" si="223"/>
        <v>0</v>
      </c>
      <c r="I245" s="83">
        <f t="shared" si="223"/>
        <v>-80.729121</v>
      </c>
      <c r="J245" s="83">
        <f t="shared" si="223"/>
        <v>-79.264</v>
      </c>
      <c r="K245" s="83">
        <f t="shared" si="223"/>
        <v>348.572295</v>
      </c>
      <c r="L245" s="83">
        <f t="shared" si="223"/>
        <v>370.4</v>
      </c>
      <c r="M245" s="83">
        <f t="shared" si="223"/>
        <v>718.972295</v>
      </c>
      <c r="N245" s="83">
        <f t="shared" si="179"/>
        <v>-30.8875861054663</v>
      </c>
      <c r="O245" s="220"/>
    </row>
    <row r="246" s="5" customFormat="1" customHeight="1" spans="1:15">
      <c r="A246" s="380">
        <v>2089999</v>
      </c>
      <c r="B246" s="151" t="s">
        <v>363</v>
      </c>
      <c r="C246" s="83">
        <v>590.63</v>
      </c>
      <c r="D246" s="83">
        <v>449.664</v>
      </c>
      <c r="E246" s="83">
        <f t="shared" si="219"/>
        <v>1040.294</v>
      </c>
      <c r="F246" s="83">
        <v>-161.328584</v>
      </c>
      <c r="G246" s="83">
        <v>0</v>
      </c>
      <c r="H246" s="83">
        <v>0</v>
      </c>
      <c r="I246" s="83">
        <v>-80.729121</v>
      </c>
      <c r="J246" s="83">
        <f t="shared" si="220"/>
        <v>-79.264</v>
      </c>
      <c r="K246" s="83">
        <f t="shared" si="221"/>
        <v>348.572295</v>
      </c>
      <c r="L246" s="83">
        <v>370.4</v>
      </c>
      <c r="M246" s="83">
        <f t="shared" si="222"/>
        <v>718.972295</v>
      </c>
      <c r="N246" s="83">
        <f t="shared" si="179"/>
        <v>-30.8875861054663</v>
      </c>
      <c r="O246" s="388" t="s">
        <v>364</v>
      </c>
    </row>
    <row r="247" s="5" customFormat="1" customHeight="1" spans="1:15">
      <c r="A247" s="377">
        <v>210</v>
      </c>
      <c r="B247" s="378" t="s">
        <v>365</v>
      </c>
      <c r="C247" s="379">
        <f t="shared" ref="C247:M247" si="224">C248+C251+C255+C259+C266+C268+C271+C275+C278+C280+C282+C284+C286</f>
        <v>10740.09</v>
      </c>
      <c r="D247" s="379">
        <f t="shared" si="224"/>
        <v>16894.0834</v>
      </c>
      <c r="E247" s="379">
        <f t="shared" si="224"/>
        <v>27634.1734</v>
      </c>
      <c r="F247" s="379">
        <f t="shared" si="224"/>
        <v>-1575.368205</v>
      </c>
      <c r="G247" s="379">
        <f t="shared" si="224"/>
        <v>0</v>
      </c>
      <c r="H247" s="379">
        <f t="shared" si="224"/>
        <v>-1412.901838</v>
      </c>
      <c r="I247" s="379">
        <f t="shared" si="224"/>
        <v>760.890544</v>
      </c>
      <c r="J247" s="379">
        <f t="shared" si="224"/>
        <v>2094.5666</v>
      </c>
      <c r="K247" s="379">
        <f t="shared" si="224"/>
        <v>8512.710501</v>
      </c>
      <c r="L247" s="379">
        <f t="shared" si="224"/>
        <v>18988.65</v>
      </c>
      <c r="M247" s="379">
        <f t="shared" si="224"/>
        <v>27501.360501</v>
      </c>
      <c r="N247" s="379">
        <f t="shared" si="179"/>
        <v>-0.480611079179246</v>
      </c>
      <c r="O247" s="387"/>
    </row>
    <row r="248" s="5" customFormat="1" customHeight="1" spans="1:15">
      <c r="A248" s="380">
        <v>21001</v>
      </c>
      <c r="B248" s="151" t="s">
        <v>366</v>
      </c>
      <c r="C248" s="83">
        <f t="shared" ref="C248:M248" si="225">SUM(C249:C250)</f>
        <v>321.41</v>
      </c>
      <c r="D248" s="83">
        <f t="shared" si="225"/>
        <v>0</v>
      </c>
      <c r="E248" s="83">
        <f t="shared" si="225"/>
        <v>321.41</v>
      </c>
      <c r="F248" s="83">
        <f t="shared" si="225"/>
        <v>-18.830136</v>
      </c>
      <c r="G248" s="381">
        <f t="shared" si="225"/>
        <v>0</v>
      </c>
      <c r="H248" s="83">
        <f t="shared" si="225"/>
        <v>0</v>
      </c>
      <c r="I248" s="83">
        <f t="shared" si="225"/>
        <v>50.36263</v>
      </c>
      <c r="J248" s="83">
        <f t="shared" si="225"/>
        <v>0</v>
      </c>
      <c r="K248" s="83">
        <f t="shared" si="225"/>
        <v>352.942494</v>
      </c>
      <c r="L248" s="83">
        <f t="shared" si="225"/>
        <v>0</v>
      </c>
      <c r="M248" s="83">
        <f t="shared" si="225"/>
        <v>352.942494</v>
      </c>
      <c r="N248" s="83">
        <f t="shared" si="179"/>
        <v>9.81067608350706</v>
      </c>
      <c r="O248" s="388"/>
    </row>
    <row r="249" s="5" customFormat="1" customHeight="1" spans="1:15">
      <c r="A249" s="380">
        <v>2100101</v>
      </c>
      <c r="B249" s="151" t="s">
        <v>94</v>
      </c>
      <c r="C249" s="83">
        <v>298.41</v>
      </c>
      <c r="D249" s="83">
        <v>0</v>
      </c>
      <c r="E249" s="83">
        <f t="shared" si="219"/>
        <v>298.41</v>
      </c>
      <c r="F249" s="83">
        <v>-3.278636</v>
      </c>
      <c r="G249" s="83"/>
      <c r="H249" s="83">
        <v>0</v>
      </c>
      <c r="I249" s="83">
        <v>50.36263</v>
      </c>
      <c r="J249" s="83">
        <f t="shared" si="220"/>
        <v>0</v>
      </c>
      <c r="K249" s="83">
        <f t="shared" si="221"/>
        <v>345.493994</v>
      </c>
      <c r="L249" s="83"/>
      <c r="M249" s="83">
        <f t="shared" si="222"/>
        <v>345.493994</v>
      </c>
      <c r="N249" s="83">
        <f t="shared" si="179"/>
        <v>15.7782896015549</v>
      </c>
      <c r="O249" s="220" t="s">
        <v>115</v>
      </c>
    </row>
    <row r="250" s="5" customFormat="1" customHeight="1" spans="1:15">
      <c r="A250" s="380">
        <v>2100199</v>
      </c>
      <c r="B250" s="151" t="s">
        <v>367</v>
      </c>
      <c r="C250" s="83">
        <v>23</v>
      </c>
      <c r="D250" s="83">
        <v>0</v>
      </c>
      <c r="E250" s="83">
        <f t="shared" si="219"/>
        <v>23</v>
      </c>
      <c r="F250" s="83">
        <v>-15.5515</v>
      </c>
      <c r="G250" s="83"/>
      <c r="H250" s="83">
        <v>0</v>
      </c>
      <c r="I250" s="83">
        <v>0</v>
      </c>
      <c r="J250" s="83">
        <f t="shared" si="220"/>
        <v>0</v>
      </c>
      <c r="K250" s="83">
        <f t="shared" si="221"/>
        <v>7.4485</v>
      </c>
      <c r="L250" s="83"/>
      <c r="M250" s="83">
        <f t="shared" si="222"/>
        <v>7.4485</v>
      </c>
      <c r="N250" s="83">
        <f t="shared" si="179"/>
        <v>-67.6152173913044</v>
      </c>
      <c r="O250" s="220" t="s">
        <v>368</v>
      </c>
    </row>
    <row r="251" s="5" customFormat="1" customHeight="1" spans="1:15">
      <c r="A251" s="380">
        <v>21002</v>
      </c>
      <c r="B251" s="151" t="s">
        <v>369</v>
      </c>
      <c r="C251" s="83">
        <f t="shared" ref="C251:M251" si="226">SUM(C252:C254)</f>
        <v>734.04</v>
      </c>
      <c r="D251" s="83">
        <f t="shared" si="226"/>
        <v>95</v>
      </c>
      <c r="E251" s="83">
        <f t="shared" si="226"/>
        <v>829.04</v>
      </c>
      <c r="F251" s="83">
        <f t="shared" si="226"/>
        <v>-13.9</v>
      </c>
      <c r="G251" s="381">
        <f t="shared" si="226"/>
        <v>0</v>
      </c>
      <c r="H251" s="83">
        <f t="shared" si="226"/>
        <v>0</v>
      </c>
      <c r="I251" s="83">
        <f t="shared" si="226"/>
        <v>37.59</v>
      </c>
      <c r="J251" s="83">
        <f t="shared" si="226"/>
        <v>-2.23</v>
      </c>
      <c r="K251" s="83">
        <f t="shared" si="226"/>
        <v>757.73</v>
      </c>
      <c r="L251" s="83">
        <f t="shared" si="226"/>
        <v>92.77</v>
      </c>
      <c r="M251" s="83">
        <f t="shared" si="226"/>
        <v>850.5</v>
      </c>
      <c r="N251" s="83">
        <f t="shared" si="179"/>
        <v>2.58853613818393</v>
      </c>
      <c r="O251" s="388"/>
    </row>
    <row r="252" s="5" customFormat="1" customHeight="1" spans="1:15">
      <c r="A252" s="380">
        <v>2100201</v>
      </c>
      <c r="B252" s="151" t="s">
        <v>370</v>
      </c>
      <c r="C252" s="83">
        <v>728.87</v>
      </c>
      <c r="D252" s="83">
        <v>0</v>
      </c>
      <c r="E252" s="83">
        <f t="shared" ref="E252:E254" si="227">C252+D252</f>
        <v>728.87</v>
      </c>
      <c r="F252" s="83">
        <v>-10</v>
      </c>
      <c r="G252" s="83">
        <v>0</v>
      </c>
      <c r="H252" s="83">
        <v>0</v>
      </c>
      <c r="I252" s="83">
        <v>37.59</v>
      </c>
      <c r="J252" s="83">
        <f t="shared" ref="J252:J254" si="228">L252-D252</f>
        <v>0</v>
      </c>
      <c r="K252" s="83">
        <f t="shared" ref="K252:K254" si="229">C252+F252+G252+H252+I252</f>
        <v>756.46</v>
      </c>
      <c r="L252" s="83"/>
      <c r="M252" s="83">
        <f t="shared" ref="M252:M254" si="230">K252+L252</f>
        <v>756.46</v>
      </c>
      <c r="N252" s="83">
        <f t="shared" si="179"/>
        <v>3.78531150959705</v>
      </c>
      <c r="O252" s="388" t="s">
        <v>115</v>
      </c>
    </row>
    <row r="253" s="5" customFormat="1" customHeight="1" spans="1:15">
      <c r="A253" s="380">
        <v>2100206</v>
      </c>
      <c r="B253" s="151" t="s">
        <v>371</v>
      </c>
      <c r="C253" s="83">
        <v>3.9</v>
      </c>
      <c r="D253" s="83">
        <v>0</v>
      </c>
      <c r="E253" s="83">
        <f t="shared" si="227"/>
        <v>3.9</v>
      </c>
      <c r="F253" s="83">
        <v>-3.9</v>
      </c>
      <c r="G253" s="83">
        <v>0</v>
      </c>
      <c r="H253" s="83">
        <v>0</v>
      </c>
      <c r="I253" s="83">
        <v>0</v>
      </c>
      <c r="J253" s="83">
        <f t="shared" si="228"/>
        <v>0</v>
      </c>
      <c r="K253" s="83">
        <f t="shared" si="229"/>
        <v>0</v>
      </c>
      <c r="L253" s="83"/>
      <c r="M253" s="83">
        <f t="shared" si="230"/>
        <v>0</v>
      </c>
      <c r="N253" s="83">
        <f t="shared" si="179"/>
        <v>-100</v>
      </c>
      <c r="O253" s="388" t="s">
        <v>372</v>
      </c>
    </row>
    <row r="254" s="5" customFormat="1" customHeight="1" spans="1:15">
      <c r="A254" s="380">
        <v>2100299</v>
      </c>
      <c r="B254" s="151" t="s">
        <v>373</v>
      </c>
      <c r="C254" s="83">
        <v>1.27</v>
      </c>
      <c r="D254" s="83">
        <v>95</v>
      </c>
      <c r="E254" s="83">
        <f t="shared" si="227"/>
        <v>96.27</v>
      </c>
      <c r="F254" s="83">
        <v>0</v>
      </c>
      <c r="G254" s="83">
        <v>0</v>
      </c>
      <c r="H254" s="83">
        <v>0</v>
      </c>
      <c r="I254" s="83">
        <v>0</v>
      </c>
      <c r="J254" s="83">
        <f t="shared" si="228"/>
        <v>-2.23</v>
      </c>
      <c r="K254" s="83">
        <f t="shared" si="229"/>
        <v>1.27</v>
      </c>
      <c r="L254" s="83">
        <v>92.77</v>
      </c>
      <c r="M254" s="83">
        <f t="shared" si="230"/>
        <v>94.04</v>
      </c>
      <c r="N254" s="83">
        <f t="shared" si="179"/>
        <v>-2.31640178664174</v>
      </c>
      <c r="O254" s="388">
        <v>0</v>
      </c>
    </row>
    <row r="255" s="5" customFormat="1" customHeight="1" spans="1:15">
      <c r="A255" s="380">
        <v>21003</v>
      </c>
      <c r="B255" s="151" t="s">
        <v>374</v>
      </c>
      <c r="C255" s="83">
        <f t="shared" ref="C255:M255" si="231">SUM(C256:C258)</f>
        <v>1515.51</v>
      </c>
      <c r="D255" s="83">
        <f t="shared" si="231"/>
        <v>358.89</v>
      </c>
      <c r="E255" s="83">
        <f t="shared" si="231"/>
        <v>1874.4</v>
      </c>
      <c r="F255" s="83">
        <f t="shared" si="231"/>
        <v>-50.648841</v>
      </c>
      <c r="G255" s="381">
        <f t="shared" si="231"/>
        <v>0</v>
      </c>
      <c r="H255" s="83">
        <f t="shared" si="231"/>
        <v>-661.592633</v>
      </c>
      <c r="I255" s="83">
        <f t="shared" si="231"/>
        <v>31.992796</v>
      </c>
      <c r="J255" s="83">
        <f t="shared" si="231"/>
        <v>-193.97</v>
      </c>
      <c r="K255" s="83">
        <f t="shared" si="231"/>
        <v>835.261322</v>
      </c>
      <c r="L255" s="83">
        <f t="shared" si="231"/>
        <v>164.92</v>
      </c>
      <c r="M255" s="83">
        <f t="shared" si="231"/>
        <v>1000.181322</v>
      </c>
      <c r="N255" s="83">
        <f t="shared" si="179"/>
        <v>-46.6399209346991</v>
      </c>
      <c r="O255" s="220"/>
    </row>
    <row r="256" s="5" customFormat="1" customHeight="1" spans="1:15">
      <c r="A256" s="380">
        <v>2100301</v>
      </c>
      <c r="B256" s="151" t="s">
        <v>375</v>
      </c>
      <c r="C256" s="83">
        <v>453.22</v>
      </c>
      <c r="D256" s="83">
        <v>0</v>
      </c>
      <c r="E256" s="83">
        <f t="shared" ref="E256:E258" si="232">C256+D256</f>
        <v>453.22</v>
      </c>
      <c r="F256" s="83">
        <v>-23.555575</v>
      </c>
      <c r="G256" s="83"/>
      <c r="H256" s="83">
        <v>0</v>
      </c>
      <c r="I256" s="83">
        <v>23.9978</v>
      </c>
      <c r="J256" s="83">
        <f t="shared" ref="J256:J258" si="233">L256-D256</f>
        <v>0</v>
      </c>
      <c r="K256" s="83">
        <f t="shared" ref="K256:K258" si="234">C256+F256+G256+H256+I256</f>
        <v>453.662225</v>
      </c>
      <c r="L256" s="83"/>
      <c r="M256" s="83">
        <f t="shared" ref="M256:M258" si="235">K256+L256</f>
        <v>453.662225</v>
      </c>
      <c r="N256" s="83">
        <f t="shared" si="179"/>
        <v>0.0975740258594077</v>
      </c>
      <c r="O256" s="220" t="s">
        <v>115</v>
      </c>
    </row>
    <row r="257" s="5" customFormat="1" customHeight="1" spans="1:15">
      <c r="A257" s="380">
        <v>2100302</v>
      </c>
      <c r="B257" s="151" t="s">
        <v>376</v>
      </c>
      <c r="C257" s="83">
        <v>157.08</v>
      </c>
      <c r="D257" s="83">
        <v>0</v>
      </c>
      <c r="E257" s="83">
        <f t="shared" si="232"/>
        <v>157.08</v>
      </c>
      <c r="F257" s="83">
        <v>-26.004066</v>
      </c>
      <c r="G257" s="83">
        <v>0</v>
      </c>
      <c r="H257" s="83">
        <v>0</v>
      </c>
      <c r="I257" s="83">
        <v>7.994996</v>
      </c>
      <c r="J257" s="83">
        <f t="shared" si="233"/>
        <v>0</v>
      </c>
      <c r="K257" s="83">
        <f t="shared" si="234"/>
        <v>139.07093</v>
      </c>
      <c r="L257" s="83"/>
      <c r="M257" s="83">
        <f t="shared" si="235"/>
        <v>139.07093</v>
      </c>
      <c r="N257" s="83">
        <f t="shared" si="179"/>
        <v>-11.4649032340209</v>
      </c>
      <c r="O257" s="388" t="s">
        <v>115</v>
      </c>
    </row>
    <row r="258" s="5" customFormat="1" customHeight="1" spans="1:15">
      <c r="A258" s="380">
        <v>2100399</v>
      </c>
      <c r="B258" s="151" t="s">
        <v>377</v>
      </c>
      <c r="C258" s="83">
        <v>905.21</v>
      </c>
      <c r="D258" s="83">
        <v>358.89</v>
      </c>
      <c r="E258" s="83">
        <f t="shared" si="232"/>
        <v>1264.1</v>
      </c>
      <c r="F258" s="83">
        <v>-1.0892</v>
      </c>
      <c r="G258" s="83">
        <v>0</v>
      </c>
      <c r="H258" s="83">
        <v>-661.592633</v>
      </c>
      <c r="I258" s="83">
        <v>0</v>
      </c>
      <c r="J258" s="83">
        <f t="shared" si="233"/>
        <v>-193.97</v>
      </c>
      <c r="K258" s="83">
        <f t="shared" si="234"/>
        <v>242.528167</v>
      </c>
      <c r="L258" s="83">
        <v>164.92</v>
      </c>
      <c r="M258" s="83">
        <f t="shared" si="235"/>
        <v>407.448167</v>
      </c>
      <c r="N258" s="83">
        <f t="shared" si="179"/>
        <v>-67.7677266830156</v>
      </c>
      <c r="O258" s="388" t="s">
        <v>378</v>
      </c>
    </row>
    <row r="259" s="5" customFormat="1" customHeight="1" spans="1:15">
      <c r="A259" s="380">
        <v>21004</v>
      </c>
      <c r="B259" s="151" t="s">
        <v>379</v>
      </c>
      <c r="C259" s="83">
        <f t="shared" ref="C259:M259" si="236">SUM(C260:C265)</f>
        <v>4853.86</v>
      </c>
      <c r="D259" s="83">
        <f t="shared" si="236"/>
        <v>2740.42</v>
      </c>
      <c r="E259" s="83">
        <f t="shared" si="236"/>
        <v>7594.28</v>
      </c>
      <c r="F259" s="83">
        <f t="shared" si="236"/>
        <v>-1049.523052</v>
      </c>
      <c r="G259" s="381">
        <f t="shared" si="236"/>
        <v>0</v>
      </c>
      <c r="H259" s="83">
        <f t="shared" si="236"/>
        <v>-725.905265</v>
      </c>
      <c r="I259" s="83">
        <f t="shared" si="236"/>
        <v>109.702805</v>
      </c>
      <c r="J259" s="83">
        <f t="shared" si="236"/>
        <v>1898.88</v>
      </c>
      <c r="K259" s="83">
        <f t="shared" si="236"/>
        <v>3188.134488</v>
      </c>
      <c r="L259" s="83">
        <f t="shared" si="236"/>
        <v>4639.3</v>
      </c>
      <c r="M259" s="83">
        <f t="shared" si="236"/>
        <v>7827.434488</v>
      </c>
      <c r="N259" s="83">
        <f t="shared" si="179"/>
        <v>3.07013288949051</v>
      </c>
      <c r="O259" s="388"/>
    </row>
    <row r="260" s="5" customFormat="1" customHeight="1" spans="1:15">
      <c r="A260" s="380">
        <v>2100401</v>
      </c>
      <c r="B260" s="151" t="s">
        <v>380</v>
      </c>
      <c r="C260" s="83">
        <v>1353.1</v>
      </c>
      <c r="D260" s="83">
        <v>208</v>
      </c>
      <c r="E260" s="83">
        <f t="shared" ref="E260:E265" si="237">C260+D260</f>
        <v>1561.1</v>
      </c>
      <c r="F260" s="83">
        <v>-153.16</v>
      </c>
      <c r="G260" s="83">
        <v>0</v>
      </c>
      <c r="H260" s="83">
        <v>-195.02675</v>
      </c>
      <c r="I260" s="83">
        <v>63.0172</v>
      </c>
      <c r="J260" s="83">
        <f t="shared" ref="J260:J265" si="238">L260-D260</f>
        <v>-198.79</v>
      </c>
      <c r="K260" s="83">
        <f t="shared" ref="K260:K265" si="239">C260+F260+G260+H260+I260</f>
        <v>1067.93045</v>
      </c>
      <c r="L260" s="83">
        <v>9.21</v>
      </c>
      <c r="M260" s="83">
        <f t="shared" ref="M260:M265" si="240">K260+L260</f>
        <v>1077.14045</v>
      </c>
      <c r="N260" s="83">
        <f t="shared" si="179"/>
        <v>-31.0011882646852</v>
      </c>
      <c r="O260" s="388" t="s">
        <v>381</v>
      </c>
    </row>
    <row r="261" s="5" customFormat="1" customHeight="1" spans="1:15">
      <c r="A261" s="380">
        <v>2100403</v>
      </c>
      <c r="B261" s="151" t="s">
        <v>382</v>
      </c>
      <c r="C261" s="83">
        <v>179.25</v>
      </c>
      <c r="D261" s="83">
        <v>31</v>
      </c>
      <c r="E261" s="83">
        <f t="shared" si="237"/>
        <v>210.25</v>
      </c>
      <c r="F261" s="83">
        <v>-2.094925</v>
      </c>
      <c r="G261" s="83">
        <v>0</v>
      </c>
      <c r="H261" s="83">
        <v>-1.617623</v>
      </c>
      <c r="I261" s="83">
        <v>45.855605</v>
      </c>
      <c r="J261" s="83">
        <f t="shared" si="238"/>
        <v>-11.13</v>
      </c>
      <c r="K261" s="83">
        <f t="shared" si="239"/>
        <v>221.393057</v>
      </c>
      <c r="L261" s="83">
        <v>19.87</v>
      </c>
      <c r="M261" s="83">
        <f t="shared" si="240"/>
        <v>241.263057</v>
      </c>
      <c r="N261" s="83">
        <f t="shared" si="179"/>
        <v>14.7505621878716</v>
      </c>
      <c r="O261" s="388" t="s">
        <v>115</v>
      </c>
    </row>
    <row r="262" s="5" customFormat="1" customHeight="1" spans="1:15">
      <c r="A262" s="380">
        <v>2100408</v>
      </c>
      <c r="B262" s="151" t="s">
        <v>383</v>
      </c>
      <c r="C262" s="83">
        <v>803.24</v>
      </c>
      <c r="D262" s="83">
        <v>2075.38</v>
      </c>
      <c r="E262" s="83">
        <f t="shared" si="237"/>
        <v>2878.62</v>
      </c>
      <c r="F262" s="83">
        <v>-175.762626</v>
      </c>
      <c r="G262" s="83">
        <v>0</v>
      </c>
      <c r="H262" s="83">
        <v>-371.720094</v>
      </c>
      <c r="I262" s="83">
        <v>0.83</v>
      </c>
      <c r="J262" s="83">
        <f t="shared" si="238"/>
        <v>-734.56</v>
      </c>
      <c r="K262" s="83">
        <f t="shared" si="239"/>
        <v>256.58728</v>
      </c>
      <c r="L262" s="83">
        <v>1340.82</v>
      </c>
      <c r="M262" s="83">
        <f t="shared" si="240"/>
        <v>1597.40728</v>
      </c>
      <c r="N262" s="83">
        <f t="shared" ref="N262:N325" si="241">(M262-E262)/E262*100</f>
        <v>-44.5078794700238</v>
      </c>
      <c r="O262" s="388" t="s">
        <v>384</v>
      </c>
    </row>
    <row r="263" s="5" customFormat="1" customHeight="1" spans="1:15">
      <c r="A263" s="380">
        <v>2100409</v>
      </c>
      <c r="B263" s="151" t="s">
        <v>385</v>
      </c>
      <c r="C263" s="83">
        <v>261.78</v>
      </c>
      <c r="D263" s="83">
        <v>65.48</v>
      </c>
      <c r="E263" s="83">
        <f t="shared" si="237"/>
        <v>327.26</v>
      </c>
      <c r="F263" s="83">
        <v>-87.059</v>
      </c>
      <c r="G263" s="83">
        <v>0</v>
      </c>
      <c r="H263" s="83">
        <v>-57.784776</v>
      </c>
      <c r="I263" s="83">
        <v>0</v>
      </c>
      <c r="J263" s="83">
        <f t="shared" si="238"/>
        <v>-51.98</v>
      </c>
      <c r="K263" s="83">
        <f t="shared" si="239"/>
        <v>116.936224</v>
      </c>
      <c r="L263" s="83">
        <v>13.5</v>
      </c>
      <c r="M263" s="83">
        <f t="shared" si="240"/>
        <v>130.436224</v>
      </c>
      <c r="N263" s="83">
        <f t="shared" si="241"/>
        <v>-60.1429371142211</v>
      </c>
      <c r="O263" s="388" t="s">
        <v>386</v>
      </c>
    </row>
    <row r="264" s="5" customFormat="1" customHeight="1" spans="1:15">
      <c r="A264" s="380">
        <v>2100410</v>
      </c>
      <c r="B264" s="151" t="s">
        <v>387</v>
      </c>
      <c r="C264" s="83">
        <v>2032.33</v>
      </c>
      <c r="D264" s="83">
        <v>138.78</v>
      </c>
      <c r="E264" s="83">
        <f t="shared" si="237"/>
        <v>2171.11</v>
      </c>
      <c r="F264" s="83">
        <v>-504.642871</v>
      </c>
      <c r="G264" s="83">
        <v>0</v>
      </c>
      <c r="H264" s="83">
        <v>-99.756022</v>
      </c>
      <c r="I264" s="83">
        <v>0</v>
      </c>
      <c r="J264" s="83">
        <f t="shared" si="238"/>
        <v>3038.64</v>
      </c>
      <c r="K264" s="83">
        <f t="shared" si="239"/>
        <v>1427.931107</v>
      </c>
      <c r="L264" s="83">
        <v>3177.42</v>
      </c>
      <c r="M264" s="83">
        <f t="shared" si="240"/>
        <v>4605.351107</v>
      </c>
      <c r="N264" s="83">
        <f t="shared" si="241"/>
        <v>112.119658009037</v>
      </c>
      <c r="O264" s="388" t="s">
        <v>388</v>
      </c>
    </row>
    <row r="265" s="5" customFormat="1" customHeight="1" spans="1:15">
      <c r="A265" s="380">
        <v>2100499</v>
      </c>
      <c r="B265" s="151" t="s">
        <v>389</v>
      </c>
      <c r="C265" s="83">
        <v>224.16</v>
      </c>
      <c r="D265" s="83">
        <v>221.78</v>
      </c>
      <c r="E265" s="83">
        <f t="shared" si="237"/>
        <v>445.94</v>
      </c>
      <c r="F265" s="83">
        <v>-126.80363</v>
      </c>
      <c r="G265" s="83">
        <v>0</v>
      </c>
      <c r="H265" s="83">
        <v>0</v>
      </c>
      <c r="I265" s="83">
        <v>0</v>
      </c>
      <c r="J265" s="83">
        <f t="shared" si="238"/>
        <v>-143.3</v>
      </c>
      <c r="K265" s="83">
        <f t="shared" si="239"/>
        <v>97.35637</v>
      </c>
      <c r="L265" s="83">
        <v>78.48</v>
      </c>
      <c r="M265" s="83">
        <f t="shared" si="240"/>
        <v>175.83637</v>
      </c>
      <c r="N265" s="83">
        <f t="shared" si="241"/>
        <v>-60.5695003812172</v>
      </c>
      <c r="O265" s="388" t="s">
        <v>390</v>
      </c>
    </row>
    <row r="266" s="5" customFormat="1" customHeight="1" spans="1:15">
      <c r="A266" s="380">
        <v>21006</v>
      </c>
      <c r="B266" s="151" t="s">
        <v>391</v>
      </c>
      <c r="C266" s="83">
        <f t="shared" ref="C266:M266" si="242">SUM(C267)</f>
        <v>0.78</v>
      </c>
      <c r="D266" s="83">
        <f t="shared" si="242"/>
        <v>5</v>
      </c>
      <c r="E266" s="83">
        <f t="shared" si="242"/>
        <v>5.78</v>
      </c>
      <c r="F266" s="83">
        <f t="shared" si="242"/>
        <v>0</v>
      </c>
      <c r="G266" s="381">
        <f t="shared" si="242"/>
        <v>0</v>
      </c>
      <c r="H266" s="83">
        <f t="shared" si="242"/>
        <v>-0.699486</v>
      </c>
      <c r="I266" s="83">
        <f t="shared" si="242"/>
        <v>0</v>
      </c>
      <c r="J266" s="83">
        <f t="shared" si="242"/>
        <v>-5</v>
      </c>
      <c r="K266" s="83">
        <f t="shared" si="242"/>
        <v>0.080514</v>
      </c>
      <c r="L266" s="83">
        <f t="shared" si="242"/>
        <v>0</v>
      </c>
      <c r="M266" s="83">
        <f t="shared" si="242"/>
        <v>0.080514</v>
      </c>
      <c r="N266" s="83">
        <f t="shared" si="241"/>
        <v>-98.6070242214533</v>
      </c>
      <c r="O266" s="388"/>
    </row>
    <row r="267" s="5" customFormat="1" customHeight="1" spans="1:15">
      <c r="A267" s="380">
        <v>2100699</v>
      </c>
      <c r="B267" s="151" t="s">
        <v>392</v>
      </c>
      <c r="C267" s="83">
        <v>0.78</v>
      </c>
      <c r="D267" s="83">
        <v>5</v>
      </c>
      <c r="E267" s="83">
        <f t="shared" ref="E267:E270" si="243">C267+D267</f>
        <v>5.78</v>
      </c>
      <c r="F267" s="83">
        <v>0</v>
      </c>
      <c r="G267" s="83">
        <v>0</v>
      </c>
      <c r="H267" s="83">
        <v>-0.699486</v>
      </c>
      <c r="I267" s="83">
        <v>0</v>
      </c>
      <c r="J267" s="83">
        <f t="shared" ref="J267:J270" si="244">L267-D267</f>
        <v>-5</v>
      </c>
      <c r="K267" s="83">
        <f t="shared" ref="K267:K270" si="245">C267+F267+G267+H267+I267</f>
        <v>0.080514</v>
      </c>
      <c r="L267" s="83"/>
      <c r="M267" s="83">
        <f t="shared" ref="M267:M270" si="246">K267+L267</f>
        <v>0.080514</v>
      </c>
      <c r="N267" s="83">
        <f t="shared" si="241"/>
        <v>-98.6070242214533</v>
      </c>
      <c r="O267" s="388">
        <v>0</v>
      </c>
    </row>
    <row r="268" s="5" customFormat="1" customHeight="1" spans="1:15">
      <c r="A268" s="380">
        <v>21007</v>
      </c>
      <c r="B268" s="151" t="s">
        <v>393</v>
      </c>
      <c r="C268" s="83">
        <f t="shared" ref="C268:M268" si="247">SUM(C269:C270)</f>
        <v>130.04</v>
      </c>
      <c r="D268" s="83">
        <f t="shared" si="247"/>
        <v>123.66</v>
      </c>
      <c r="E268" s="83">
        <f t="shared" si="247"/>
        <v>253.7</v>
      </c>
      <c r="F268" s="83">
        <f t="shared" si="247"/>
        <v>-11.264</v>
      </c>
      <c r="G268" s="381">
        <f t="shared" si="247"/>
        <v>0</v>
      </c>
      <c r="H268" s="83">
        <f t="shared" si="247"/>
        <v>-14.71</v>
      </c>
      <c r="I268" s="83">
        <f t="shared" si="247"/>
        <v>0</v>
      </c>
      <c r="J268" s="83">
        <f t="shared" si="247"/>
        <v>-25.86</v>
      </c>
      <c r="K268" s="83">
        <f t="shared" si="247"/>
        <v>104.066</v>
      </c>
      <c r="L268" s="83">
        <f t="shared" si="247"/>
        <v>97.8</v>
      </c>
      <c r="M268" s="83">
        <f t="shared" si="247"/>
        <v>201.866</v>
      </c>
      <c r="N268" s="83">
        <f t="shared" si="241"/>
        <v>-20.431217973985</v>
      </c>
      <c r="O268" s="220"/>
    </row>
    <row r="269" s="5" customFormat="1" customHeight="1" spans="1:15">
      <c r="A269" s="380">
        <v>2100717</v>
      </c>
      <c r="B269" s="151" t="s">
        <v>394</v>
      </c>
      <c r="C269" s="83">
        <v>17.45</v>
      </c>
      <c r="D269" s="83">
        <v>0</v>
      </c>
      <c r="E269" s="83">
        <f t="shared" si="243"/>
        <v>17.45</v>
      </c>
      <c r="F269" s="83">
        <v>0</v>
      </c>
      <c r="G269" s="83">
        <v>0</v>
      </c>
      <c r="H269" s="83">
        <v>-14.71</v>
      </c>
      <c r="I269" s="83">
        <v>0</v>
      </c>
      <c r="J269" s="83">
        <f t="shared" si="244"/>
        <v>0</v>
      </c>
      <c r="K269" s="83">
        <f t="shared" si="245"/>
        <v>2.74</v>
      </c>
      <c r="L269" s="83"/>
      <c r="M269" s="83">
        <f t="shared" si="246"/>
        <v>2.74</v>
      </c>
      <c r="N269" s="83">
        <f t="shared" si="241"/>
        <v>-84.297994269341</v>
      </c>
      <c r="O269" s="388" t="s">
        <v>395</v>
      </c>
    </row>
    <row r="270" s="5" customFormat="1" customHeight="1" spans="1:15">
      <c r="A270" s="380">
        <v>2100799</v>
      </c>
      <c r="B270" s="151" t="s">
        <v>396</v>
      </c>
      <c r="C270" s="83">
        <v>112.59</v>
      </c>
      <c r="D270" s="83">
        <v>123.66</v>
      </c>
      <c r="E270" s="83">
        <f t="shared" si="243"/>
        <v>236.25</v>
      </c>
      <c r="F270" s="83">
        <v>-11.264</v>
      </c>
      <c r="G270" s="83"/>
      <c r="H270" s="83">
        <v>0</v>
      </c>
      <c r="I270" s="83">
        <v>0</v>
      </c>
      <c r="J270" s="83">
        <f t="shared" si="244"/>
        <v>-25.86</v>
      </c>
      <c r="K270" s="83">
        <f t="shared" si="245"/>
        <v>101.326</v>
      </c>
      <c r="L270" s="83">
        <v>97.8</v>
      </c>
      <c r="M270" s="83">
        <f t="shared" si="246"/>
        <v>199.126</v>
      </c>
      <c r="N270" s="83">
        <f t="shared" si="241"/>
        <v>-15.7138624338624</v>
      </c>
      <c r="O270" s="220" t="s">
        <v>397</v>
      </c>
    </row>
    <row r="271" s="5" customFormat="1" customHeight="1" spans="1:15">
      <c r="A271" s="380">
        <v>21011</v>
      </c>
      <c r="B271" s="151" t="s">
        <v>398</v>
      </c>
      <c r="C271" s="83">
        <f t="shared" ref="C271:M271" si="248">SUM(C272:C274)</f>
        <v>1944.91</v>
      </c>
      <c r="D271" s="83">
        <f t="shared" si="248"/>
        <v>0</v>
      </c>
      <c r="E271" s="83">
        <f t="shared" si="248"/>
        <v>1944.91</v>
      </c>
      <c r="F271" s="83">
        <f t="shared" si="248"/>
        <v>-106.076076</v>
      </c>
      <c r="G271" s="381">
        <f t="shared" si="248"/>
        <v>0</v>
      </c>
      <c r="H271" s="83">
        <f t="shared" si="248"/>
        <v>0</v>
      </c>
      <c r="I271" s="83">
        <f t="shared" si="248"/>
        <v>532.071313</v>
      </c>
      <c r="J271" s="83">
        <f t="shared" si="248"/>
        <v>0</v>
      </c>
      <c r="K271" s="83">
        <f t="shared" si="248"/>
        <v>2370.905237</v>
      </c>
      <c r="L271" s="83">
        <f t="shared" si="248"/>
        <v>0</v>
      </c>
      <c r="M271" s="83">
        <f t="shared" si="248"/>
        <v>2370.905237</v>
      </c>
      <c r="N271" s="83">
        <f t="shared" si="241"/>
        <v>21.9030822505926</v>
      </c>
      <c r="O271" s="388"/>
    </row>
    <row r="272" s="5" customFormat="1" customHeight="1" spans="1:15">
      <c r="A272" s="355">
        <v>2101101</v>
      </c>
      <c r="B272" s="390" t="s">
        <v>399</v>
      </c>
      <c r="C272" s="83">
        <v>1204</v>
      </c>
      <c r="D272" s="83">
        <v>0</v>
      </c>
      <c r="E272" s="83">
        <f t="shared" ref="E272:E274" si="249">C272+D272</f>
        <v>1204</v>
      </c>
      <c r="F272" s="83">
        <v>-23.749003</v>
      </c>
      <c r="G272" s="83">
        <v>0</v>
      </c>
      <c r="H272" s="83">
        <v>0</v>
      </c>
      <c r="I272" s="83">
        <v>416.749224</v>
      </c>
      <c r="J272" s="83">
        <f t="shared" ref="J272:J274" si="250">L272-D272</f>
        <v>0</v>
      </c>
      <c r="K272" s="83">
        <f t="shared" ref="K272:K274" si="251">C272+F272+G272+H272+I272</f>
        <v>1597.000221</v>
      </c>
      <c r="L272" s="83"/>
      <c r="M272" s="83">
        <f t="shared" ref="M272:M274" si="252">K272+L272</f>
        <v>1597.000221</v>
      </c>
      <c r="N272" s="83">
        <f t="shared" si="241"/>
        <v>32.6412143687708</v>
      </c>
      <c r="O272" s="388" t="s">
        <v>400</v>
      </c>
    </row>
    <row r="273" s="5" customFormat="1" customHeight="1" spans="1:15">
      <c r="A273" s="390" t="s">
        <v>401</v>
      </c>
      <c r="B273" s="390" t="s">
        <v>402</v>
      </c>
      <c r="C273" s="83">
        <v>291.94</v>
      </c>
      <c r="D273" s="83">
        <v>0</v>
      </c>
      <c r="E273" s="83">
        <f t="shared" si="249"/>
        <v>291.94</v>
      </c>
      <c r="F273" s="83">
        <v>-29.201525</v>
      </c>
      <c r="G273" s="83">
        <v>0</v>
      </c>
      <c r="H273" s="83">
        <v>0</v>
      </c>
      <c r="I273" s="83">
        <v>44.582113</v>
      </c>
      <c r="J273" s="83">
        <f t="shared" si="250"/>
        <v>0</v>
      </c>
      <c r="K273" s="83">
        <f t="shared" si="251"/>
        <v>307.320588</v>
      </c>
      <c r="L273" s="83"/>
      <c r="M273" s="83">
        <f t="shared" si="252"/>
        <v>307.320588</v>
      </c>
      <c r="N273" s="83">
        <f t="shared" si="241"/>
        <v>5.26840720696033</v>
      </c>
      <c r="O273" s="388" t="s">
        <v>400</v>
      </c>
    </row>
    <row r="274" s="5" customFormat="1" customHeight="1" spans="1:15">
      <c r="A274" s="380">
        <v>2101199</v>
      </c>
      <c r="B274" s="151" t="s">
        <v>403</v>
      </c>
      <c r="C274" s="83">
        <v>448.97</v>
      </c>
      <c r="D274" s="83">
        <v>0</v>
      </c>
      <c r="E274" s="83">
        <f t="shared" si="249"/>
        <v>448.97</v>
      </c>
      <c r="F274" s="83">
        <v>-53.125548</v>
      </c>
      <c r="G274" s="83">
        <v>0</v>
      </c>
      <c r="H274" s="83">
        <v>0</v>
      </c>
      <c r="I274" s="83">
        <v>70.739976</v>
      </c>
      <c r="J274" s="83">
        <f t="shared" si="250"/>
        <v>0</v>
      </c>
      <c r="K274" s="83">
        <f t="shared" si="251"/>
        <v>466.584428</v>
      </c>
      <c r="L274" s="83"/>
      <c r="M274" s="83">
        <f t="shared" si="252"/>
        <v>466.584428</v>
      </c>
      <c r="N274" s="83">
        <f t="shared" si="241"/>
        <v>3.92329732498831</v>
      </c>
      <c r="O274" s="388" t="s">
        <v>400</v>
      </c>
    </row>
    <row r="275" s="5" customFormat="1" customHeight="1" spans="1:15">
      <c r="A275" s="380">
        <v>21012</v>
      </c>
      <c r="B275" s="151" t="s">
        <v>404</v>
      </c>
      <c r="C275" s="83">
        <f t="shared" ref="C275:M275" si="253">SUM(C276:C277)</f>
        <v>926.88</v>
      </c>
      <c r="D275" s="83">
        <f t="shared" si="253"/>
        <v>12502.2554</v>
      </c>
      <c r="E275" s="83">
        <f t="shared" si="253"/>
        <v>13429.1354</v>
      </c>
      <c r="F275" s="83">
        <f t="shared" si="253"/>
        <v>-105.4191</v>
      </c>
      <c r="G275" s="381">
        <f t="shared" si="253"/>
        <v>0</v>
      </c>
      <c r="H275" s="83">
        <f t="shared" si="253"/>
        <v>0</v>
      </c>
      <c r="I275" s="83">
        <f t="shared" si="253"/>
        <v>0</v>
      </c>
      <c r="J275" s="83">
        <f t="shared" si="253"/>
        <v>514.2746</v>
      </c>
      <c r="K275" s="83">
        <f t="shared" si="253"/>
        <v>821.4609</v>
      </c>
      <c r="L275" s="83">
        <f t="shared" si="253"/>
        <v>13016.53</v>
      </c>
      <c r="M275" s="83">
        <f t="shared" si="253"/>
        <v>13837.9909</v>
      </c>
      <c r="N275" s="83">
        <f t="shared" si="241"/>
        <v>3.0445407527874</v>
      </c>
      <c r="O275" s="220"/>
    </row>
    <row r="276" s="5" customFormat="1" customHeight="1" spans="1:15">
      <c r="A276" s="380">
        <v>2101201</v>
      </c>
      <c r="B276" s="391" t="s">
        <v>405</v>
      </c>
      <c r="C276" s="83">
        <v>1.82</v>
      </c>
      <c r="D276" s="83">
        <v>0</v>
      </c>
      <c r="E276" s="83">
        <f t="shared" ref="E276:E279" si="254">C276+D276</f>
        <v>1.82</v>
      </c>
      <c r="F276" s="83">
        <v>-0.9944</v>
      </c>
      <c r="G276" s="83">
        <v>0</v>
      </c>
      <c r="H276" s="83">
        <v>0</v>
      </c>
      <c r="I276" s="83">
        <v>0</v>
      </c>
      <c r="J276" s="83">
        <f t="shared" ref="J276:J279" si="255">L276-D276</f>
        <v>6.88</v>
      </c>
      <c r="K276" s="83">
        <f t="shared" ref="K276:K279" si="256">C276+F276+G276+H276+I276</f>
        <v>0.8256</v>
      </c>
      <c r="L276" s="83">
        <v>6.88</v>
      </c>
      <c r="M276" s="83">
        <f t="shared" ref="M276:M279" si="257">K276+L276</f>
        <v>7.7056</v>
      </c>
      <c r="N276" s="83">
        <f t="shared" si="241"/>
        <v>323.384615384615</v>
      </c>
      <c r="O276" s="388">
        <v>0</v>
      </c>
    </row>
    <row r="277" s="5" customFormat="1" customHeight="1" spans="1:15">
      <c r="A277" s="380">
        <v>2101202</v>
      </c>
      <c r="B277" s="151" t="s">
        <v>406</v>
      </c>
      <c r="C277" s="83">
        <v>925.06</v>
      </c>
      <c r="D277" s="83">
        <v>12502.2554</v>
      </c>
      <c r="E277" s="83">
        <f t="shared" si="254"/>
        <v>13427.3154</v>
      </c>
      <c r="F277" s="83">
        <v>-104.4247</v>
      </c>
      <c r="G277" s="83">
        <v>0</v>
      </c>
      <c r="H277" s="83">
        <v>0</v>
      </c>
      <c r="I277" s="83">
        <v>0</v>
      </c>
      <c r="J277" s="83">
        <f t="shared" si="255"/>
        <v>507.3946</v>
      </c>
      <c r="K277" s="83">
        <f t="shared" si="256"/>
        <v>820.6353</v>
      </c>
      <c r="L277" s="83">
        <v>13009.65</v>
      </c>
      <c r="M277" s="83">
        <f t="shared" si="257"/>
        <v>13830.2853</v>
      </c>
      <c r="N277" s="83">
        <f t="shared" si="241"/>
        <v>3.00112038777312</v>
      </c>
      <c r="O277" s="388" t="s">
        <v>407</v>
      </c>
    </row>
    <row r="278" s="5" customFormat="1" customHeight="1" spans="1:15">
      <c r="A278" s="380">
        <v>21013</v>
      </c>
      <c r="B278" s="151" t="s">
        <v>408</v>
      </c>
      <c r="C278" s="83">
        <f t="shared" ref="C278:M278" si="258">SUM(C279)</f>
        <v>0</v>
      </c>
      <c r="D278" s="83">
        <f t="shared" si="258"/>
        <v>899</v>
      </c>
      <c r="E278" s="83">
        <f t="shared" si="258"/>
        <v>899</v>
      </c>
      <c r="F278" s="83">
        <f t="shared" si="258"/>
        <v>0</v>
      </c>
      <c r="G278" s="381">
        <f t="shared" si="258"/>
        <v>0</v>
      </c>
      <c r="H278" s="83">
        <f t="shared" si="258"/>
        <v>0</v>
      </c>
      <c r="I278" s="83">
        <f t="shared" si="258"/>
        <v>0</v>
      </c>
      <c r="J278" s="83">
        <f t="shared" si="258"/>
        <v>0</v>
      </c>
      <c r="K278" s="83">
        <f t="shared" si="258"/>
        <v>0</v>
      </c>
      <c r="L278" s="83">
        <f t="shared" si="258"/>
        <v>899</v>
      </c>
      <c r="M278" s="83">
        <f t="shared" si="258"/>
        <v>899</v>
      </c>
      <c r="N278" s="83">
        <f t="shared" si="241"/>
        <v>0</v>
      </c>
      <c r="O278" s="220"/>
    </row>
    <row r="279" s="5" customFormat="1" customHeight="1" spans="1:15">
      <c r="A279" s="380">
        <v>2101301</v>
      </c>
      <c r="B279" s="151" t="s">
        <v>409</v>
      </c>
      <c r="C279" s="83"/>
      <c r="D279" s="83">
        <v>899</v>
      </c>
      <c r="E279" s="83">
        <f t="shared" si="254"/>
        <v>899</v>
      </c>
      <c r="F279" s="83"/>
      <c r="G279" s="83"/>
      <c r="H279" s="83"/>
      <c r="I279" s="83"/>
      <c r="J279" s="83">
        <f t="shared" si="255"/>
        <v>0</v>
      </c>
      <c r="K279" s="83">
        <f t="shared" si="256"/>
        <v>0</v>
      </c>
      <c r="L279" s="83">
        <v>899</v>
      </c>
      <c r="M279" s="83">
        <f t="shared" si="257"/>
        <v>899</v>
      </c>
      <c r="N279" s="83">
        <f t="shared" si="241"/>
        <v>0</v>
      </c>
      <c r="O279" s="220"/>
    </row>
    <row r="280" s="5" customFormat="1" customHeight="1" spans="1:15">
      <c r="A280" s="380">
        <v>21014</v>
      </c>
      <c r="B280" s="151" t="s">
        <v>410</v>
      </c>
      <c r="C280" s="83">
        <f t="shared" ref="C280:M280" si="259">SUM(C281)</f>
        <v>7.01</v>
      </c>
      <c r="D280" s="83">
        <f t="shared" si="259"/>
        <v>31.09</v>
      </c>
      <c r="E280" s="83">
        <f t="shared" si="259"/>
        <v>38.1</v>
      </c>
      <c r="F280" s="83">
        <f t="shared" si="259"/>
        <v>-2</v>
      </c>
      <c r="G280" s="381">
        <f t="shared" si="259"/>
        <v>0</v>
      </c>
      <c r="H280" s="83">
        <f t="shared" si="259"/>
        <v>-3.69</v>
      </c>
      <c r="I280" s="83">
        <f t="shared" si="259"/>
        <v>0</v>
      </c>
      <c r="J280" s="83">
        <f t="shared" si="259"/>
        <v>-5.43</v>
      </c>
      <c r="K280" s="83">
        <f t="shared" si="259"/>
        <v>1.32</v>
      </c>
      <c r="L280" s="83">
        <f t="shared" si="259"/>
        <v>25.66</v>
      </c>
      <c r="M280" s="83">
        <f t="shared" si="259"/>
        <v>26.98</v>
      </c>
      <c r="N280" s="83">
        <f t="shared" si="241"/>
        <v>-29.1863517060367</v>
      </c>
      <c r="O280" s="220"/>
    </row>
    <row r="281" s="5" customFormat="1" customHeight="1" spans="1:15">
      <c r="A281" s="380">
        <v>2101401</v>
      </c>
      <c r="B281" s="151" t="s">
        <v>411</v>
      </c>
      <c r="C281" s="83">
        <v>7.01</v>
      </c>
      <c r="D281" s="83">
        <v>31.09</v>
      </c>
      <c r="E281" s="83">
        <f t="shared" ref="E281:E285" si="260">C281+D281</f>
        <v>38.1</v>
      </c>
      <c r="F281" s="83">
        <v>-2</v>
      </c>
      <c r="G281" s="83">
        <v>0</v>
      </c>
      <c r="H281" s="83">
        <v>-3.69</v>
      </c>
      <c r="I281" s="83">
        <v>0</v>
      </c>
      <c r="J281" s="83">
        <f t="shared" ref="J281:J285" si="261">L281-D281</f>
        <v>-5.43</v>
      </c>
      <c r="K281" s="83">
        <f t="shared" ref="K281:K285" si="262">C281+F281+G281+H281+I281</f>
        <v>1.32</v>
      </c>
      <c r="L281" s="83">
        <v>25.66</v>
      </c>
      <c r="M281" s="83">
        <f t="shared" ref="M281:M285" si="263">K281+L281</f>
        <v>26.98</v>
      </c>
      <c r="N281" s="83">
        <f t="shared" si="241"/>
        <v>-29.1863517060367</v>
      </c>
      <c r="O281" s="388" t="s">
        <v>412</v>
      </c>
    </row>
    <row r="282" s="5" customFormat="1" customHeight="1" spans="1:15">
      <c r="A282" s="380">
        <v>21015</v>
      </c>
      <c r="B282" s="151" t="s">
        <v>413</v>
      </c>
      <c r="C282" s="83">
        <f t="shared" ref="C282:M282" si="264">SUM(C283)</f>
        <v>40</v>
      </c>
      <c r="D282" s="83">
        <f t="shared" si="264"/>
        <v>0</v>
      </c>
      <c r="E282" s="83">
        <f t="shared" si="264"/>
        <v>40</v>
      </c>
      <c r="F282" s="83">
        <f t="shared" si="264"/>
        <v>-30</v>
      </c>
      <c r="G282" s="381">
        <f t="shared" si="264"/>
        <v>0</v>
      </c>
      <c r="H282" s="83">
        <f t="shared" si="264"/>
        <v>0</v>
      </c>
      <c r="I282" s="83">
        <f t="shared" si="264"/>
        <v>0</v>
      </c>
      <c r="J282" s="83">
        <f t="shared" si="264"/>
        <v>0</v>
      </c>
      <c r="K282" s="83">
        <f t="shared" si="264"/>
        <v>10</v>
      </c>
      <c r="L282" s="83">
        <f t="shared" si="264"/>
        <v>0</v>
      </c>
      <c r="M282" s="83">
        <f t="shared" si="264"/>
        <v>10</v>
      </c>
      <c r="N282" s="83">
        <f t="shared" si="241"/>
        <v>-75</v>
      </c>
      <c r="O282" s="220"/>
    </row>
    <row r="283" s="5" customFormat="1" customHeight="1" spans="1:15">
      <c r="A283" s="380">
        <v>2101504</v>
      </c>
      <c r="B283" s="151" t="s">
        <v>129</v>
      </c>
      <c r="C283" s="83">
        <v>40</v>
      </c>
      <c r="D283" s="83">
        <v>0</v>
      </c>
      <c r="E283" s="83">
        <f t="shared" si="260"/>
        <v>40</v>
      </c>
      <c r="F283" s="83">
        <v>-30</v>
      </c>
      <c r="G283" s="83"/>
      <c r="H283" s="83">
        <v>0</v>
      </c>
      <c r="I283" s="83">
        <v>0</v>
      </c>
      <c r="J283" s="83">
        <f t="shared" si="261"/>
        <v>0</v>
      </c>
      <c r="K283" s="83">
        <f t="shared" si="262"/>
        <v>10</v>
      </c>
      <c r="L283" s="83"/>
      <c r="M283" s="83">
        <f t="shared" si="263"/>
        <v>10</v>
      </c>
      <c r="N283" s="83">
        <f t="shared" si="241"/>
        <v>-75</v>
      </c>
      <c r="O283" s="220"/>
    </row>
    <row r="284" s="5" customFormat="1" customHeight="1" spans="1:15">
      <c r="A284" s="380">
        <v>21016</v>
      </c>
      <c r="B284" s="151" t="s">
        <v>414</v>
      </c>
      <c r="C284" s="83">
        <f t="shared" ref="C284:M284" si="265">SUM(C285)</f>
        <v>69</v>
      </c>
      <c r="D284" s="83">
        <f t="shared" si="265"/>
        <v>118.15</v>
      </c>
      <c r="E284" s="83">
        <f t="shared" si="265"/>
        <v>187.15</v>
      </c>
      <c r="F284" s="83">
        <f t="shared" si="265"/>
        <v>-7.466</v>
      </c>
      <c r="G284" s="381">
        <f t="shared" si="265"/>
        <v>0</v>
      </c>
      <c r="H284" s="83">
        <f t="shared" si="265"/>
        <v>0</v>
      </c>
      <c r="I284" s="83">
        <f t="shared" si="265"/>
        <v>0.5</v>
      </c>
      <c r="J284" s="83">
        <f t="shared" si="265"/>
        <v>-85</v>
      </c>
      <c r="K284" s="83">
        <f t="shared" si="265"/>
        <v>62.034</v>
      </c>
      <c r="L284" s="83">
        <f t="shared" si="265"/>
        <v>33.15</v>
      </c>
      <c r="M284" s="83">
        <f t="shared" si="265"/>
        <v>95.184</v>
      </c>
      <c r="N284" s="83">
        <f t="shared" si="241"/>
        <v>-49.1402618220679</v>
      </c>
      <c r="O284" s="220"/>
    </row>
    <row r="285" s="5" customFormat="1" customHeight="1" spans="1:15">
      <c r="A285" s="380">
        <v>2101601</v>
      </c>
      <c r="B285" s="151" t="s">
        <v>414</v>
      </c>
      <c r="C285" s="83">
        <v>69</v>
      </c>
      <c r="D285" s="83">
        <v>118.15</v>
      </c>
      <c r="E285" s="83">
        <f t="shared" si="260"/>
        <v>187.15</v>
      </c>
      <c r="F285" s="83">
        <v>-7.466</v>
      </c>
      <c r="G285" s="83">
        <v>0</v>
      </c>
      <c r="H285" s="83">
        <v>0</v>
      </c>
      <c r="I285" s="83">
        <v>0.5</v>
      </c>
      <c r="J285" s="83">
        <f t="shared" si="261"/>
        <v>-85</v>
      </c>
      <c r="K285" s="83">
        <f t="shared" si="262"/>
        <v>62.034</v>
      </c>
      <c r="L285" s="83">
        <v>33.15</v>
      </c>
      <c r="M285" s="83">
        <f t="shared" si="263"/>
        <v>95.184</v>
      </c>
      <c r="N285" s="83">
        <f t="shared" si="241"/>
        <v>-49.1402618220679</v>
      </c>
      <c r="O285" s="388" t="s">
        <v>415</v>
      </c>
    </row>
    <row r="286" s="5" customFormat="1" customHeight="1" spans="1:15">
      <c r="A286" s="380">
        <v>21099</v>
      </c>
      <c r="B286" s="151" t="s">
        <v>416</v>
      </c>
      <c r="C286" s="83">
        <f t="shared" ref="C286:M286" si="266">SUM(C287)</f>
        <v>196.65</v>
      </c>
      <c r="D286" s="83">
        <f t="shared" si="266"/>
        <v>20.618</v>
      </c>
      <c r="E286" s="83">
        <f t="shared" si="266"/>
        <v>217.268</v>
      </c>
      <c r="F286" s="83">
        <f t="shared" si="266"/>
        <v>-180.241</v>
      </c>
      <c r="G286" s="381">
        <f t="shared" si="266"/>
        <v>0</v>
      </c>
      <c r="H286" s="83">
        <f t="shared" si="266"/>
        <v>-6.304454</v>
      </c>
      <c r="I286" s="83">
        <f t="shared" si="266"/>
        <v>-1.329</v>
      </c>
      <c r="J286" s="83">
        <f t="shared" si="266"/>
        <v>-1.098</v>
      </c>
      <c r="K286" s="83">
        <f t="shared" si="266"/>
        <v>8.77554599999999</v>
      </c>
      <c r="L286" s="83">
        <f t="shared" si="266"/>
        <v>19.52</v>
      </c>
      <c r="M286" s="83">
        <f t="shared" si="266"/>
        <v>28.295546</v>
      </c>
      <c r="N286" s="83">
        <f t="shared" si="241"/>
        <v>-86.9766620026879</v>
      </c>
      <c r="O286" s="388"/>
    </row>
    <row r="287" s="5" customFormat="1" customHeight="1" spans="1:15">
      <c r="A287" s="380">
        <v>2109999</v>
      </c>
      <c r="B287" s="151" t="s">
        <v>416</v>
      </c>
      <c r="C287" s="83">
        <v>196.65</v>
      </c>
      <c r="D287" s="83">
        <v>20.618</v>
      </c>
      <c r="E287" s="83">
        <f t="shared" ref="E287:E294" si="267">C287+D287</f>
        <v>217.268</v>
      </c>
      <c r="F287" s="83">
        <v>-180.241</v>
      </c>
      <c r="G287" s="83">
        <v>0</v>
      </c>
      <c r="H287" s="83">
        <v>-6.304454</v>
      </c>
      <c r="I287" s="83">
        <v>-1.329</v>
      </c>
      <c r="J287" s="83">
        <f t="shared" ref="J287:J294" si="268">L287-D287</f>
        <v>-1.098</v>
      </c>
      <c r="K287" s="83">
        <f t="shared" ref="K287:K294" si="269">C287+F287+G287+H287+I287</f>
        <v>8.77554599999999</v>
      </c>
      <c r="L287" s="83">
        <v>19.52</v>
      </c>
      <c r="M287" s="83">
        <f t="shared" ref="M287:M294" si="270">K287+L287</f>
        <v>28.295546</v>
      </c>
      <c r="N287" s="83">
        <f t="shared" si="241"/>
        <v>-86.9766620026879</v>
      </c>
      <c r="O287" s="388" t="s">
        <v>417</v>
      </c>
    </row>
    <row r="288" s="5" customFormat="1" customHeight="1" spans="1:15">
      <c r="A288" s="377">
        <v>211</v>
      </c>
      <c r="B288" s="378" t="s">
        <v>418</v>
      </c>
      <c r="C288" s="379">
        <f t="shared" ref="C288:M288" si="271">C289+C291+C295+C297</f>
        <v>178.3</v>
      </c>
      <c r="D288" s="379">
        <f t="shared" si="271"/>
        <v>3961</v>
      </c>
      <c r="E288" s="379">
        <f t="shared" si="271"/>
        <v>4139.3</v>
      </c>
      <c r="F288" s="379">
        <f t="shared" si="271"/>
        <v>-127.54</v>
      </c>
      <c r="G288" s="379">
        <f t="shared" si="271"/>
        <v>0</v>
      </c>
      <c r="H288" s="379">
        <f t="shared" si="271"/>
        <v>0</v>
      </c>
      <c r="I288" s="379">
        <f t="shared" si="271"/>
        <v>0</v>
      </c>
      <c r="J288" s="379">
        <f t="shared" si="271"/>
        <v>-3936</v>
      </c>
      <c r="K288" s="379">
        <f t="shared" si="271"/>
        <v>50.76</v>
      </c>
      <c r="L288" s="379">
        <f t="shared" si="271"/>
        <v>25</v>
      </c>
      <c r="M288" s="379">
        <f t="shared" si="271"/>
        <v>75.76</v>
      </c>
      <c r="N288" s="379">
        <f t="shared" si="241"/>
        <v>-98.1697388447322</v>
      </c>
      <c r="O288" s="387"/>
    </row>
    <row r="289" s="5" customFormat="1" customHeight="1" spans="1:15">
      <c r="A289" s="380">
        <v>21102</v>
      </c>
      <c r="B289" s="151" t="s">
        <v>419</v>
      </c>
      <c r="C289" s="83">
        <f t="shared" ref="C289:M289" si="272">SUM(C290)</f>
        <v>97.5</v>
      </c>
      <c r="D289" s="83">
        <f t="shared" si="272"/>
        <v>0</v>
      </c>
      <c r="E289" s="83">
        <f t="shared" si="272"/>
        <v>97.5</v>
      </c>
      <c r="F289" s="83">
        <f t="shared" si="272"/>
        <v>-76.74</v>
      </c>
      <c r="G289" s="381">
        <f t="shared" si="272"/>
        <v>0</v>
      </c>
      <c r="H289" s="83">
        <f t="shared" si="272"/>
        <v>0</v>
      </c>
      <c r="I289" s="83">
        <f t="shared" si="272"/>
        <v>0</v>
      </c>
      <c r="J289" s="83">
        <f t="shared" si="272"/>
        <v>0</v>
      </c>
      <c r="K289" s="83">
        <f t="shared" si="272"/>
        <v>20.76</v>
      </c>
      <c r="L289" s="83">
        <f t="shared" si="272"/>
        <v>0</v>
      </c>
      <c r="M289" s="83">
        <f t="shared" si="272"/>
        <v>20.76</v>
      </c>
      <c r="N289" s="83">
        <f t="shared" si="241"/>
        <v>-78.7076923076923</v>
      </c>
      <c r="O289" s="220"/>
    </row>
    <row r="290" s="5" customFormat="1" customHeight="1" spans="1:15">
      <c r="A290" s="380">
        <v>2110299</v>
      </c>
      <c r="B290" s="151" t="s">
        <v>420</v>
      </c>
      <c r="C290" s="83">
        <v>97.5</v>
      </c>
      <c r="D290" s="83">
        <v>0</v>
      </c>
      <c r="E290" s="83">
        <f t="shared" si="267"/>
        <v>97.5</v>
      </c>
      <c r="F290" s="83">
        <v>-76.74</v>
      </c>
      <c r="G290" s="83"/>
      <c r="H290" s="83">
        <v>0</v>
      </c>
      <c r="I290" s="83">
        <v>0</v>
      </c>
      <c r="J290" s="83">
        <f t="shared" si="268"/>
        <v>0</v>
      </c>
      <c r="K290" s="83">
        <f t="shared" si="269"/>
        <v>20.76</v>
      </c>
      <c r="L290" s="83"/>
      <c r="M290" s="83">
        <f t="shared" si="270"/>
        <v>20.76</v>
      </c>
      <c r="N290" s="83">
        <f t="shared" si="241"/>
        <v>-78.7076923076923</v>
      </c>
      <c r="O290" s="220" t="s">
        <v>421</v>
      </c>
    </row>
    <row r="291" s="5" customFormat="1" customHeight="1" spans="1:15">
      <c r="A291" s="380">
        <v>21103</v>
      </c>
      <c r="B291" s="151" t="s">
        <v>422</v>
      </c>
      <c r="C291" s="83">
        <f t="shared" ref="C291:M291" si="273">SUM(C292:C294)</f>
        <v>37.8</v>
      </c>
      <c r="D291" s="83">
        <f t="shared" si="273"/>
        <v>3956</v>
      </c>
      <c r="E291" s="83">
        <f t="shared" si="273"/>
        <v>3993.8</v>
      </c>
      <c r="F291" s="83">
        <f t="shared" si="273"/>
        <v>-22.8</v>
      </c>
      <c r="G291" s="381">
        <f t="shared" si="273"/>
        <v>0</v>
      </c>
      <c r="H291" s="83">
        <f t="shared" si="273"/>
        <v>0</v>
      </c>
      <c r="I291" s="83">
        <f t="shared" si="273"/>
        <v>0</v>
      </c>
      <c r="J291" s="83">
        <f t="shared" si="273"/>
        <v>-3936</v>
      </c>
      <c r="K291" s="83">
        <f t="shared" si="273"/>
        <v>15</v>
      </c>
      <c r="L291" s="83">
        <f t="shared" si="273"/>
        <v>20</v>
      </c>
      <c r="M291" s="83">
        <f t="shared" si="273"/>
        <v>35</v>
      </c>
      <c r="N291" s="83">
        <f t="shared" si="241"/>
        <v>-99.1236416445491</v>
      </c>
      <c r="O291" s="388"/>
    </row>
    <row r="292" s="5" customFormat="1" customHeight="1" spans="1:15">
      <c r="A292" s="380">
        <v>2110302</v>
      </c>
      <c r="B292" s="151" t="s">
        <v>423</v>
      </c>
      <c r="C292" s="83"/>
      <c r="D292" s="83">
        <v>3906</v>
      </c>
      <c r="E292" s="83">
        <f t="shared" si="267"/>
        <v>3906</v>
      </c>
      <c r="F292" s="83"/>
      <c r="G292" s="83"/>
      <c r="H292" s="83"/>
      <c r="I292" s="83"/>
      <c r="J292" s="83">
        <f t="shared" si="268"/>
        <v>-3906</v>
      </c>
      <c r="K292" s="83">
        <f t="shared" si="269"/>
        <v>0</v>
      </c>
      <c r="L292" s="83"/>
      <c r="M292" s="83">
        <f t="shared" si="270"/>
        <v>0</v>
      </c>
      <c r="N292" s="83">
        <f t="shared" si="241"/>
        <v>-100</v>
      </c>
      <c r="O292" s="388"/>
    </row>
    <row r="293" s="5" customFormat="1" customHeight="1" spans="1:15">
      <c r="A293" s="380">
        <v>2110304</v>
      </c>
      <c r="B293" s="151" t="s">
        <v>424</v>
      </c>
      <c r="C293" s="83"/>
      <c r="D293" s="83">
        <v>50</v>
      </c>
      <c r="E293" s="83">
        <f t="shared" si="267"/>
        <v>50</v>
      </c>
      <c r="F293" s="83"/>
      <c r="G293" s="83"/>
      <c r="H293" s="83"/>
      <c r="I293" s="83"/>
      <c r="J293" s="83">
        <f t="shared" si="268"/>
        <v>-30</v>
      </c>
      <c r="K293" s="83">
        <f t="shared" si="269"/>
        <v>0</v>
      </c>
      <c r="L293" s="83">
        <v>20</v>
      </c>
      <c r="M293" s="83">
        <f t="shared" si="270"/>
        <v>20</v>
      </c>
      <c r="N293" s="83">
        <f t="shared" si="241"/>
        <v>-60</v>
      </c>
      <c r="O293" s="388"/>
    </row>
    <row r="294" s="5" customFormat="1" customHeight="1" spans="1:15">
      <c r="A294" s="380">
        <v>2110399</v>
      </c>
      <c r="B294" s="151" t="s">
        <v>425</v>
      </c>
      <c r="C294" s="83">
        <v>37.8</v>
      </c>
      <c r="D294" s="83">
        <v>0</v>
      </c>
      <c r="E294" s="83">
        <f t="shared" si="267"/>
        <v>37.8</v>
      </c>
      <c r="F294" s="83">
        <v>-22.8</v>
      </c>
      <c r="G294" s="83">
        <v>0</v>
      </c>
      <c r="H294" s="83">
        <v>0</v>
      </c>
      <c r="I294" s="83">
        <v>0</v>
      </c>
      <c r="J294" s="83">
        <f t="shared" si="268"/>
        <v>0</v>
      </c>
      <c r="K294" s="83">
        <f t="shared" si="269"/>
        <v>15</v>
      </c>
      <c r="L294" s="83"/>
      <c r="M294" s="83">
        <f t="shared" si="270"/>
        <v>15</v>
      </c>
      <c r="N294" s="83">
        <f t="shared" si="241"/>
        <v>-60.3174603174603</v>
      </c>
      <c r="O294" s="388" t="s">
        <v>426</v>
      </c>
    </row>
    <row r="295" s="5" customFormat="1" customHeight="1" spans="1:15">
      <c r="A295" s="380">
        <v>21113</v>
      </c>
      <c r="B295" s="151" t="s">
        <v>427</v>
      </c>
      <c r="C295" s="83">
        <f t="shared" ref="C295:M295" si="274">SUM(C296)</f>
        <v>0</v>
      </c>
      <c r="D295" s="83">
        <f t="shared" si="274"/>
        <v>5</v>
      </c>
      <c r="E295" s="83">
        <f t="shared" si="274"/>
        <v>5</v>
      </c>
      <c r="F295" s="83">
        <f t="shared" si="274"/>
        <v>0</v>
      </c>
      <c r="G295" s="381">
        <f t="shared" si="274"/>
        <v>0</v>
      </c>
      <c r="H295" s="83">
        <f t="shared" si="274"/>
        <v>0</v>
      </c>
      <c r="I295" s="83">
        <f t="shared" si="274"/>
        <v>0</v>
      </c>
      <c r="J295" s="83">
        <f t="shared" si="274"/>
        <v>0</v>
      </c>
      <c r="K295" s="83">
        <f t="shared" si="274"/>
        <v>0</v>
      </c>
      <c r="L295" s="83">
        <f t="shared" si="274"/>
        <v>5</v>
      </c>
      <c r="M295" s="83">
        <f t="shared" si="274"/>
        <v>5</v>
      </c>
      <c r="N295" s="83">
        <f t="shared" si="241"/>
        <v>0</v>
      </c>
      <c r="O295" s="388"/>
    </row>
    <row r="296" s="5" customFormat="1" customHeight="1" spans="1:15">
      <c r="A296" s="380">
        <v>2111301</v>
      </c>
      <c r="B296" s="151" t="s">
        <v>427</v>
      </c>
      <c r="C296" s="83"/>
      <c r="D296" s="83">
        <v>5</v>
      </c>
      <c r="E296" s="83">
        <f t="shared" ref="E296:E305" si="275">C296+D296</f>
        <v>5</v>
      </c>
      <c r="F296" s="83"/>
      <c r="G296" s="83"/>
      <c r="H296" s="83"/>
      <c r="I296" s="83"/>
      <c r="J296" s="83">
        <f t="shared" ref="J296:J305" si="276">L296-D296</f>
        <v>0</v>
      </c>
      <c r="K296" s="83">
        <f t="shared" ref="K296:K305" si="277">C296+F296+G296+H296+I296</f>
        <v>0</v>
      </c>
      <c r="L296" s="83">
        <v>5</v>
      </c>
      <c r="M296" s="83">
        <f t="shared" ref="M296:M305" si="278">K296+L296</f>
        <v>5</v>
      </c>
      <c r="N296" s="83">
        <f t="shared" si="241"/>
        <v>0</v>
      </c>
      <c r="O296" s="220"/>
    </row>
    <row r="297" s="5" customFormat="1" customHeight="1" spans="1:15">
      <c r="A297" s="380">
        <v>21199</v>
      </c>
      <c r="B297" s="151" t="s">
        <v>428</v>
      </c>
      <c r="C297" s="83">
        <f t="shared" ref="C297:M297" si="279">SUM(C298)</f>
        <v>43</v>
      </c>
      <c r="D297" s="83">
        <f t="shared" si="279"/>
        <v>0</v>
      </c>
      <c r="E297" s="83">
        <f t="shared" si="279"/>
        <v>43</v>
      </c>
      <c r="F297" s="83">
        <f t="shared" si="279"/>
        <v>-28</v>
      </c>
      <c r="G297" s="381">
        <f t="shared" si="279"/>
        <v>0</v>
      </c>
      <c r="H297" s="83">
        <f t="shared" si="279"/>
        <v>0</v>
      </c>
      <c r="I297" s="83">
        <f t="shared" si="279"/>
        <v>0</v>
      </c>
      <c r="J297" s="83">
        <f t="shared" si="279"/>
        <v>0</v>
      </c>
      <c r="K297" s="83">
        <f t="shared" si="279"/>
        <v>15</v>
      </c>
      <c r="L297" s="83">
        <f t="shared" si="279"/>
        <v>0</v>
      </c>
      <c r="M297" s="83">
        <f t="shared" si="279"/>
        <v>15</v>
      </c>
      <c r="N297" s="83">
        <f t="shared" si="241"/>
        <v>-65.1162790697674</v>
      </c>
      <c r="O297" s="388"/>
    </row>
    <row r="298" s="5" customFormat="1" customHeight="1" spans="1:15">
      <c r="A298" s="380" t="s">
        <v>429</v>
      </c>
      <c r="B298" s="151" t="s">
        <v>428</v>
      </c>
      <c r="C298" s="83">
        <v>43</v>
      </c>
      <c r="D298" s="83">
        <v>0</v>
      </c>
      <c r="E298" s="83">
        <f t="shared" si="275"/>
        <v>43</v>
      </c>
      <c r="F298" s="83">
        <v>-28</v>
      </c>
      <c r="G298" s="83"/>
      <c r="H298" s="83">
        <v>0</v>
      </c>
      <c r="I298" s="83">
        <v>0</v>
      </c>
      <c r="J298" s="83">
        <f t="shared" si="276"/>
        <v>0</v>
      </c>
      <c r="K298" s="83">
        <f t="shared" si="277"/>
        <v>15</v>
      </c>
      <c r="L298" s="83"/>
      <c r="M298" s="83">
        <f t="shared" si="278"/>
        <v>15</v>
      </c>
      <c r="N298" s="83">
        <f t="shared" si="241"/>
        <v>-65.1162790697674</v>
      </c>
      <c r="O298" s="220" t="s">
        <v>430</v>
      </c>
    </row>
    <row r="299" s="5" customFormat="1" customHeight="1" spans="1:15">
      <c r="A299" s="377">
        <v>212</v>
      </c>
      <c r="B299" s="378" t="s">
        <v>431</v>
      </c>
      <c r="C299" s="379">
        <f t="shared" ref="C299:M299" si="280">C300+C306+C308+C310+C312</f>
        <v>23012.03</v>
      </c>
      <c r="D299" s="379">
        <f t="shared" si="280"/>
        <v>11612.96</v>
      </c>
      <c r="E299" s="379">
        <f t="shared" si="280"/>
        <v>34624.99</v>
      </c>
      <c r="F299" s="379">
        <f t="shared" si="280"/>
        <v>-1773.895772</v>
      </c>
      <c r="G299" s="379">
        <f t="shared" si="280"/>
        <v>0</v>
      </c>
      <c r="H299" s="379">
        <f t="shared" si="280"/>
        <v>-833.22</v>
      </c>
      <c r="I299" s="379">
        <f t="shared" si="280"/>
        <v>1105.93</v>
      </c>
      <c r="J299" s="379">
        <f t="shared" si="280"/>
        <v>-8986.34</v>
      </c>
      <c r="K299" s="379">
        <f t="shared" si="280"/>
        <v>21510.844228</v>
      </c>
      <c r="L299" s="379">
        <f t="shared" si="280"/>
        <v>2626.62</v>
      </c>
      <c r="M299" s="379">
        <f t="shared" si="280"/>
        <v>24137.464228</v>
      </c>
      <c r="N299" s="379">
        <f t="shared" si="241"/>
        <v>-30.2888918437233</v>
      </c>
      <c r="O299" s="387"/>
    </row>
    <row r="300" s="5" customFormat="1" customHeight="1" spans="1:15">
      <c r="A300" s="380">
        <v>21201</v>
      </c>
      <c r="B300" s="151" t="s">
        <v>432</v>
      </c>
      <c r="C300" s="83">
        <f t="shared" ref="C300:M300" si="281">SUM(C301:C305)</f>
        <v>15182.44</v>
      </c>
      <c r="D300" s="83">
        <f t="shared" si="281"/>
        <v>995.67</v>
      </c>
      <c r="E300" s="83">
        <f t="shared" si="281"/>
        <v>16178.11</v>
      </c>
      <c r="F300" s="83">
        <f t="shared" si="281"/>
        <v>-1543.355772</v>
      </c>
      <c r="G300" s="381">
        <f t="shared" si="281"/>
        <v>0</v>
      </c>
      <c r="H300" s="83">
        <f t="shared" si="281"/>
        <v>-540.95</v>
      </c>
      <c r="I300" s="83">
        <f t="shared" si="281"/>
        <v>995.64</v>
      </c>
      <c r="J300" s="83">
        <f t="shared" si="281"/>
        <v>0</v>
      </c>
      <c r="K300" s="83">
        <f t="shared" si="281"/>
        <v>14093.774228</v>
      </c>
      <c r="L300" s="83">
        <f t="shared" si="281"/>
        <v>995.67</v>
      </c>
      <c r="M300" s="83">
        <f t="shared" si="281"/>
        <v>15089.444228</v>
      </c>
      <c r="N300" s="83">
        <f t="shared" si="241"/>
        <v>-6.72925188418179</v>
      </c>
      <c r="O300" s="388"/>
    </row>
    <row r="301" s="5" customFormat="1" customHeight="1" spans="1:15">
      <c r="A301" s="380">
        <v>2120101</v>
      </c>
      <c r="B301" s="151" t="s">
        <v>94</v>
      </c>
      <c r="C301" s="83">
        <v>986.93</v>
      </c>
      <c r="D301" s="83">
        <v>135.39</v>
      </c>
      <c r="E301" s="83">
        <f t="shared" si="275"/>
        <v>1122.32</v>
      </c>
      <c r="F301" s="83">
        <v>-153</v>
      </c>
      <c r="G301" s="83">
        <v>0</v>
      </c>
      <c r="H301" s="83">
        <v>0</v>
      </c>
      <c r="I301" s="83">
        <v>128.9</v>
      </c>
      <c r="J301" s="83">
        <f t="shared" si="276"/>
        <v>0</v>
      </c>
      <c r="K301" s="83">
        <f t="shared" si="277"/>
        <v>962.83</v>
      </c>
      <c r="L301" s="83">
        <v>135.39</v>
      </c>
      <c r="M301" s="83">
        <f t="shared" si="278"/>
        <v>1098.22</v>
      </c>
      <c r="N301" s="83">
        <f t="shared" si="241"/>
        <v>-2.14733765770904</v>
      </c>
      <c r="O301" s="388" t="s">
        <v>115</v>
      </c>
    </row>
    <row r="302" s="5" customFormat="1" customHeight="1" spans="1:15">
      <c r="A302" s="380">
        <v>2120102</v>
      </c>
      <c r="B302" s="151" t="s">
        <v>116</v>
      </c>
      <c r="C302" s="83">
        <v>20.23</v>
      </c>
      <c r="D302" s="83">
        <v>0</v>
      </c>
      <c r="E302" s="83">
        <f t="shared" si="275"/>
        <v>20.23</v>
      </c>
      <c r="F302" s="83">
        <v>-2.81</v>
      </c>
      <c r="G302" s="83">
        <v>0</v>
      </c>
      <c r="H302" s="83">
        <v>0</v>
      </c>
      <c r="I302" s="83">
        <v>2.81</v>
      </c>
      <c r="J302" s="83">
        <f t="shared" si="276"/>
        <v>0</v>
      </c>
      <c r="K302" s="83">
        <f t="shared" si="277"/>
        <v>20.23</v>
      </c>
      <c r="L302" s="83"/>
      <c r="M302" s="83">
        <f t="shared" si="278"/>
        <v>20.23</v>
      </c>
      <c r="N302" s="83">
        <f t="shared" si="241"/>
        <v>0</v>
      </c>
      <c r="O302" s="388"/>
    </row>
    <row r="303" s="5" customFormat="1" customHeight="1" spans="1:15">
      <c r="A303" s="380">
        <v>2120104</v>
      </c>
      <c r="B303" s="151" t="s">
        <v>433</v>
      </c>
      <c r="C303" s="83">
        <v>141.59</v>
      </c>
      <c r="D303" s="83">
        <v>0</v>
      </c>
      <c r="E303" s="83">
        <f t="shared" si="275"/>
        <v>141.59</v>
      </c>
      <c r="F303" s="83">
        <v>-93.29</v>
      </c>
      <c r="G303" s="83"/>
      <c r="H303" s="83">
        <v>0</v>
      </c>
      <c r="I303" s="83">
        <v>0</v>
      </c>
      <c r="J303" s="83">
        <f t="shared" si="276"/>
        <v>0</v>
      </c>
      <c r="K303" s="83">
        <f t="shared" si="277"/>
        <v>48.3</v>
      </c>
      <c r="L303" s="83"/>
      <c r="M303" s="83">
        <f t="shared" si="278"/>
        <v>48.3</v>
      </c>
      <c r="N303" s="83">
        <f t="shared" si="241"/>
        <v>-65.887421428067</v>
      </c>
      <c r="O303" s="388" t="s">
        <v>434</v>
      </c>
    </row>
    <row r="304" s="5" customFormat="1" customHeight="1" spans="1:15">
      <c r="A304" s="380">
        <v>2120106</v>
      </c>
      <c r="B304" s="151" t="s">
        <v>435</v>
      </c>
      <c r="C304" s="83">
        <v>150.89</v>
      </c>
      <c r="D304" s="83">
        <v>0</v>
      </c>
      <c r="E304" s="83">
        <f t="shared" si="275"/>
        <v>150.89</v>
      </c>
      <c r="F304" s="83">
        <v>-16.008046</v>
      </c>
      <c r="G304" s="83"/>
      <c r="H304" s="83">
        <v>0</v>
      </c>
      <c r="I304" s="83">
        <v>20.78</v>
      </c>
      <c r="J304" s="83">
        <f t="shared" si="276"/>
        <v>0</v>
      </c>
      <c r="K304" s="83">
        <f t="shared" si="277"/>
        <v>155.661954</v>
      </c>
      <c r="L304" s="83"/>
      <c r="M304" s="83">
        <f t="shared" si="278"/>
        <v>155.661954</v>
      </c>
      <c r="N304" s="83">
        <f t="shared" si="241"/>
        <v>3.16253827291404</v>
      </c>
      <c r="O304" s="220" t="s">
        <v>95</v>
      </c>
    </row>
    <row r="305" s="5" customFormat="1" customHeight="1" spans="1:15">
      <c r="A305" s="380">
        <v>2120199</v>
      </c>
      <c r="B305" s="151" t="s">
        <v>436</v>
      </c>
      <c r="C305" s="83">
        <v>13882.8</v>
      </c>
      <c r="D305" s="83">
        <v>860.28</v>
      </c>
      <c r="E305" s="83">
        <f t="shared" si="275"/>
        <v>14743.08</v>
      </c>
      <c r="F305" s="83">
        <v>-1278.247726</v>
      </c>
      <c r="G305" s="83">
        <v>0</v>
      </c>
      <c r="H305" s="83">
        <v>-540.95</v>
      </c>
      <c r="I305" s="83">
        <v>843.15</v>
      </c>
      <c r="J305" s="83">
        <f t="shared" si="276"/>
        <v>0</v>
      </c>
      <c r="K305" s="83">
        <f t="shared" si="277"/>
        <v>12906.752274</v>
      </c>
      <c r="L305" s="83">
        <v>860.28</v>
      </c>
      <c r="M305" s="83">
        <f t="shared" si="278"/>
        <v>13767.032274</v>
      </c>
      <c r="N305" s="83">
        <f t="shared" si="241"/>
        <v>-6.62037868613614</v>
      </c>
      <c r="O305" s="388" t="s">
        <v>437</v>
      </c>
    </row>
    <row r="306" s="5" customFormat="1" customHeight="1" spans="1:15">
      <c r="A306" s="380">
        <v>21202</v>
      </c>
      <c r="B306" s="151" t="s">
        <v>438</v>
      </c>
      <c r="C306" s="83">
        <f t="shared" ref="C306:M306" si="282">SUM(C307)</f>
        <v>0</v>
      </c>
      <c r="D306" s="83">
        <f t="shared" si="282"/>
        <v>684.29</v>
      </c>
      <c r="E306" s="83">
        <f t="shared" si="282"/>
        <v>684.29</v>
      </c>
      <c r="F306" s="83">
        <f t="shared" si="282"/>
        <v>0</v>
      </c>
      <c r="G306" s="381">
        <f t="shared" si="282"/>
        <v>0</v>
      </c>
      <c r="H306" s="83">
        <f t="shared" si="282"/>
        <v>0</v>
      </c>
      <c r="I306" s="83">
        <f t="shared" si="282"/>
        <v>0</v>
      </c>
      <c r="J306" s="83">
        <f t="shared" si="282"/>
        <v>0</v>
      </c>
      <c r="K306" s="83">
        <f t="shared" si="282"/>
        <v>0</v>
      </c>
      <c r="L306" s="83">
        <f t="shared" si="282"/>
        <v>684.29</v>
      </c>
      <c r="M306" s="83">
        <f t="shared" si="282"/>
        <v>684.29</v>
      </c>
      <c r="N306" s="83">
        <f t="shared" si="241"/>
        <v>0</v>
      </c>
      <c r="O306" s="220"/>
    </row>
    <row r="307" s="5" customFormat="1" customHeight="1" spans="1:15">
      <c r="A307" s="380">
        <v>2120201</v>
      </c>
      <c r="B307" s="151" t="s">
        <v>438</v>
      </c>
      <c r="C307" s="83"/>
      <c r="D307" s="83">
        <v>684.29</v>
      </c>
      <c r="E307" s="83">
        <f t="shared" ref="E307:E311" si="283">C307+D307</f>
        <v>684.29</v>
      </c>
      <c r="F307" s="83"/>
      <c r="G307" s="83"/>
      <c r="H307" s="83"/>
      <c r="I307" s="83"/>
      <c r="J307" s="83">
        <f t="shared" ref="J307:J311" si="284">L307-D307</f>
        <v>0</v>
      </c>
      <c r="K307" s="83">
        <f t="shared" ref="K307:K311" si="285">C307+F307+G307+H307+I307</f>
        <v>0</v>
      </c>
      <c r="L307" s="83">
        <v>684.29</v>
      </c>
      <c r="M307" s="83">
        <f t="shared" ref="M307:M311" si="286">K307+L307</f>
        <v>684.29</v>
      </c>
      <c r="N307" s="83">
        <f t="shared" si="241"/>
        <v>0</v>
      </c>
      <c r="O307" s="388"/>
    </row>
    <row r="308" s="5" customFormat="1" customHeight="1" spans="1:15">
      <c r="A308" s="380">
        <v>21203</v>
      </c>
      <c r="B308" s="151" t="s">
        <v>439</v>
      </c>
      <c r="C308" s="83">
        <f t="shared" ref="C308:M308" si="287">SUM(C309)</f>
        <v>6798.96</v>
      </c>
      <c r="D308" s="83">
        <f t="shared" si="287"/>
        <v>549</v>
      </c>
      <c r="E308" s="83">
        <f t="shared" si="287"/>
        <v>7347.96</v>
      </c>
      <c r="F308" s="83">
        <f t="shared" si="287"/>
        <v>-61.42</v>
      </c>
      <c r="G308" s="381">
        <f t="shared" si="287"/>
        <v>0</v>
      </c>
      <c r="H308" s="83">
        <f t="shared" si="287"/>
        <v>-25.89</v>
      </c>
      <c r="I308" s="83">
        <f t="shared" si="287"/>
        <v>55.22</v>
      </c>
      <c r="J308" s="83">
        <f t="shared" si="287"/>
        <v>0</v>
      </c>
      <c r="K308" s="83">
        <f t="shared" si="287"/>
        <v>6766.87</v>
      </c>
      <c r="L308" s="83">
        <f t="shared" si="287"/>
        <v>549</v>
      </c>
      <c r="M308" s="83">
        <f t="shared" si="287"/>
        <v>7315.87</v>
      </c>
      <c r="N308" s="83">
        <f t="shared" si="241"/>
        <v>-0.4367198514962</v>
      </c>
      <c r="O308" s="220"/>
    </row>
    <row r="309" s="5" customFormat="1" customHeight="1" spans="1:15">
      <c r="A309" s="380">
        <v>2120399</v>
      </c>
      <c r="B309" s="151" t="s">
        <v>440</v>
      </c>
      <c r="C309" s="83">
        <v>6798.96</v>
      </c>
      <c r="D309" s="83">
        <v>549</v>
      </c>
      <c r="E309" s="83">
        <f t="shared" si="283"/>
        <v>7347.96</v>
      </c>
      <c r="F309" s="83">
        <v>-61.42</v>
      </c>
      <c r="G309" s="83">
        <v>0</v>
      </c>
      <c r="H309" s="83">
        <v>-25.89</v>
      </c>
      <c r="I309" s="83">
        <v>55.22</v>
      </c>
      <c r="J309" s="83">
        <f t="shared" si="284"/>
        <v>0</v>
      </c>
      <c r="K309" s="83">
        <f t="shared" si="285"/>
        <v>6766.87</v>
      </c>
      <c r="L309" s="83">
        <v>549</v>
      </c>
      <c r="M309" s="83">
        <f t="shared" si="286"/>
        <v>7315.87</v>
      </c>
      <c r="N309" s="83">
        <f t="shared" si="241"/>
        <v>-0.4367198514962</v>
      </c>
      <c r="O309" s="388" t="s">
        <v>441</v>
      </c>
    </row>
    <row r="310" s="5" customFormat="1" customHeight="1" spans="1:15">
      <c r="A310" s="380">
        <v>21205</v>
      </c>
      <c r="B310" s="151" t="s">
        <v>423</v>
      </c>
      <c r="C310" s="83">
        <f t="shared" ref="C310:M310" si="288">SUM(C311)</f>
        <v>1030.63</v>
      </c>
      <c r="D310" s="83">
        <f t="shared" si="288"/>
        <v>851</v>
      </c>
      <c r="E310" s="83">
        <f t="shared" si="288"/>
        <v>1881.63</v>
      </c>
      <c r="F310" s="83">
        <f t="shared" si="288"/>
        <v>-169.12</v>
      </c>
      <c r="G310" s="381">
        <f t="shared" si="288"/>
        <v>0</v>
      </c>
      <c r="H310" s="83">
        <f t="shared" si="288"/>
        <v>-266.38</v>
      </c>
      <c r="I310" s="83">
        <f t="shared" si="288"/>
        <v>55.07</v>
      </c>
      <c r="J310" s="83">
        <f t="shared" si="288"/>
        <v>-506.34</v>
      </c>
      <c r="K310" s="83">
        <f t="shared" si="288"/>
        <v>650.2</v>
      </c>
      <c r="L310" s="83">
        <f t="shared" si="288"/>
        <v>344.66</v>
      </c>
      <c r="M310" s="83">
        <f t="shared" si="288"/>
        <v>994.86</v>
      </c>
      <c r="N310" s="83">
        <f t="shared" si="241"/>
        <v>-47.1277562538863</v>
      </c>
      <c r="O310" s="388"/>
    </row>
    <row r="311" s="5" customFormat="1" customHeight="1" spans="1:15">
      <c r="A311" s="380">
        <v>2120501</v>
      </c>
      <c r="B311" s="151" t="s">
        <v>423</v>
      </c>
      <c r="C311" s="83">
        <v>1030.63</v>
      </c>
      <c r="D311" s="83">
        <v>851</v>
      </c>
      <c r="E311" s="83">
        <f t="shared" si="283"/>
        <v>1881.63</v>
      </c>
      <c r="F311" s="83">
        <v>-169.12</v>
      </c>
      <c r="G311" s="83">
        <v>0</v>
      </c>
      <c r="H311" s="83">
        <v>-266.38</v>
      </c>
      <c r="I311" s="83">
        <v>55.07</v>
      </c>
      <c r="J311" s="83">
        <f t="shared" si="284"/>
        <v>-506.34</v>
      </c>
      <c r="K311" s="83">
        <f t="shared" si="285"/>
        <v>650.2</v>
      </c>
      <c r="L311" s="83">
        <v>344.66</v>
      </c>
      <c r="M311" s="83">
        <f t="shared" si="286"/>
        <v>994.86</v>
      </c>
      <c r="N311" s="83">
        <f t="shared" si="241"/>
        <v>-47.1277562538863</v>
      </c>
      <c r="O311" s="388" t="s">
        <v>442</v>
      </c>
    </row>
    <row r="312" s="5" customFormat="1" customHeight="1" spans="1:15">
      <c r="A312" s="380">
        <v>21299</v>
      </c>
      <c r="B312" s="151" t="s">
        <v>443</v>
      </c>
      <c r="C312" s="83">
        <f t="shared" ref="C312:M312" si="289">SUM(C313)</f>
        <v>0</v>
      </c>
      <c r="D312" s="83">
        <f t="shared" si="289"/>
        <v>8533</v>
      </c>
      <c r="E312" s="83">
        <f t="shared" si="289"/>
        <v>8533</v>
      </c>
      <c r="F312" s="83">
        <f t="shared" si="289"/>
        <v>0</v>
      </c>
      <c r="G312" s="381">
        <f t="shared" si="289"/>
        <v>0</v>
      </c>
      <c r="H312" s="83">
        <f t="shared" si="289"/>
        <v>0</v>
      </c>
      <c r="I312" s="83">
        <f t="shared" si="289"/>
        <v>0</v>
      </c>
      <c r="J312" s="83">
        <f t="shared" si="289"/>
        <v>-8480</v>
      </c>
      <c r="K312" s="83">
        <f t="shared" si="289"/>
        <v>0</v>
      </c>
      <c r="L312" s="83">
        <f t="shared" si="289"/>
        <v>53</v>
      </c>
      <c r="M312" s="83">
        <f t="shared" si="289"/>
        <v>53</v>
      </c>
      <c r="N312" s="83">
        <f t="shared" si="241"/>
        <v>-99.3788819875776</v>
      </c>
      <c r="O312" s="220"/>
    </row>
    <row r="313" s="5" customFormat="1" customHeight="1" spans="1:15">
      <c r="A313" s="380">
        <v>2129999</v>
      </c>
      <c r="B313" s="151" t="s">
        <v>443</v>
      </c>
      <c r="C313" s="83"/>
      <c r="D313" s="83">
        <v>8533</v>
      </c>
      <c r="E313" s="83">
        <f t="shared" ref="E313:E328" si="290">C313+D313</f>
        <v>8533</v>
      </c>
      <c r="F313" s="83"/>
      <c r="G313" s="83"/>
      <c r="H313" s="83"/>
      <c r="I313" s="83"/>
      <c r="J313" s="83">
        <f t="shared" ref="J313:J328" si="291">L313-D313</f>
        <v>-8480</v>
      </c>
      <c r="K313" s="83">
        <f t="shared" ref="K313:K328" si="292">C313+F313+G313+H313+I313</f>
        <v>0</v>
      </c>
      <c r="L313" s="83">
        <v>53</v>
      </c>
      <c r="M313" s="83">
        <f t="shared" ref="M313:M328" si="293">K313+L313</f>
        <v>53</v>
      </c>
      <c r="N313" s="83">
        <f t="shared" si="241"/>
        <v>-99.3788819875776</v>
      </c>
      <c r="O313" s="388"/>
    </row>
    <row r="314" s="5" customFormat="1" customHeight="1" spans="1:15">
      <c r="A314" s="377">
        <v>213</v>
      </c>
      <c r="B314" s="378" t="s">
        <v>444</v>
      </c>
      <c r="C314" s="379">
        <f t="shared" ref="C314:M314" si="294">C315+C329+C335+C342+C344+C348+C351</f>
        <v>9603.16</v>
      </c>
      <c r="D314" s="379">
        <f t="shared" si="294"/>
        <v>4649.9106</v>
      </c>
      <c r="E314" s="379">
        <f t="shared" si="294"/>
        <v>14253.0706</v>
      </c>
      <c r="F314" s="379">
        <f t="shared" si="294"/>
        <v>-1014.787195</v>
      </c>
      <c r="G314" s="379">
        <f t="shared" si="294"/>
        <v>0</v>
      </c>
      <c r="H314" s="379">
        <f t="shared" si="294"/>
        <v>-3660.899086</v>
      </c>
      <c r="I314" s="379">
        <f t="shared" si="294"/>
        <v>-66.111725</v>
      </c>
      <c r="J314" s="379">
        <f t="shared" si="294"/>
        <v>-2045.1706</v>
      </c>
      <c r="K314" s="379">
        <f t="shared" si="294"/>
        <v>4861.361994</v>
      </c>
      <c r="L314" s="379">
        <f t="shared" si="294"/>
        <v>2604.74</v>
      </c>
      <c r="M314" s="379">
        <f t="shared" si="294"/>
        <v>7466.101994</v>
      </c>
      <c r="N314" s="379">
        <f t="shared" si="241"/>
        <v>-47.617589195131</v>
      </c>
      <c r="O314" s="387"/>
    </row>
    <row r="315" s="5" customFormat="1" customHeight="1" spans="1:15">
      <c r="A315" s="380">
        <v>21301</v>
      </c>
      <c r="B315" s="151" t="s">
        <v>445</v>
      </c>
      <c r="C315" s="83">
        <f t="shared" ref="C315:M315" si="295">SUM(C316:C328)</f>
        <v>3141.14</v>
      </c>
      <c r="D315" s="83">
        <f t="shared" si="295"/>
        <v>600.8736</v>
      </c>
      <c r="E315" s="83">
        <f t="shared" si="295"/>
        <v>3742.0136</v>
      </c>
      <c r="F315" s="83">
        <f t="shared" si="295"/>
        <v>-363.738119</v>
      </c>
      <c r="G315" s="381">
        <f t="shared" si="295"/>
        <v>0</v>
      </c>
      <c r="H315" s="83">
        <f t="shared" si="295"/>
        <v>-938.856407</v>
      </c>
      <c r="I315" s="83">
        <f t="shared" si="295"/>
        <v>-22.854293</v>
      </c>
      <c r="J315" s="83">
        <f t="shared" si="295"/>
        <v>155.2064</v>
      </c>
      <c r="K315" s="83">
        <f t="shared" si="295"/>
        <v>1815.691181</v>
      </c>
      <c r="L315" s="83">
        <f t="shared" si="295"/>
        <v>756.08</v>
      </c>
      <c r="M315" s="83">
        <f t="shared" si="295"/>
        <v>2571.771181</v>
      </c>
      <c r="N315" s="83">
        <f t="shared" si="241"/>
        <v>-31.273066965871</v>
      </c>
      <c r="O315" s="388"/>
    </row>
    <row r="316" s="5" customFormat="1" customHeight="1" spans="1:15">
      <c r="A316" s="380">
        <v>2130101</v>
      </c>
      <c r="B316" s="151" t="s">
        <v>94</v>
      </c>
      <c r="C316" s="83">
        <v>844.34</v>
      </c>
      <c r="D316" s="83">
        <v>0</v>
      </c>
      <c r="E316" s="83">
        <f t="shared" si="290"/>
        <v>844.34</v>
      </c>
      <c r="F316" s="83">
        <v>-78.442047</v>
      </c>
      <c r="G316" s="83">
        <v>0</v>
      </c>
      <c r="H316" s="83">
        <v>0</v>
      </c>
      <c r="I316" s="83">
        <v>34.631807</v>
      </c>
      <c r="J316" s="83">
        <f t="shared" si="291"/>
        <v>0</v>
      </c>
      <c r="K316" s="83">
        <f t="shared" si="292"/>
        <v>800.52976</v>
      </c>
      <c r="L316" s="83"/>
      <c r="M316" s="83">
        <f t="shared" si="293"/>
        <v>800.52976</v>
      </c>
      <c r="N316" s="83">
        <f t="shared" si="241"/>
        <v>-5.18869649667196</v>
      </c>
      <c r="O316" s="388" t="s">
        <v>115</v>
      </c>
    </row>
    <row r="317" s="5" customFormat="1" customHeight="1" spans="1:15">
      <c r="A317" s="380">
        <v>2130104</v>
      </c>
      <c r="B317" s="151" t="s">
        <v>125</v>
      </c>
      <c r="C317" s="83">
        <v>365.57</v>
      </c>
      <c r="D317" s="83">
        <v>0</v>
      </c>
      <c r="E317" s="83">
        <f t="shared" si="290"/>
        <v>365.57</v>
      </c>
      <c r="F317" s="83">
        <v>-5.05184</v>
      </c>
      <c r="G317" s="83">
        <v>0</v>
      </c>
      <c r="H317" s="83">
        <v>0</v>
      </c>
      <c r="I317" s="83">
        <v>-57.4861</v>
      </c>
      <c r="J317" s="83">
        <f t="shared" si="291"/>
        <v>0</v>
      </c>
      <c r="K317" s="83">
        <f t="shared" si="292"/>
        <v>303.03206</v>
      </c>
      <c r="L317" s="83"/>
      <c r="M317" s="83">
        <f t="shared" si="293"/>
        <v>303.03206</v>
      </c>
      <c r="N317" s="83">
        <f t="shared" si="241"/>
        <v>-17.1069672019039</v>
      </c>
      <c r="O317" s="388" t="s">
        <v>115</v>
      </c>
    </row>
    <row r="318" s="5" customFormat="1" customHeight="1" spans="1:15">
      <c r="A318" s="380">
        <v>2130106</v>
      </c>
      <c r="B318" s="151" t="s">
        <v>446</v>
      </c>
      <c r="C318" s="83">
        <v>202</v>
      </c>
      <c r="D318" s="83">
        <v>0</v>
      </c>
      <c r="E318" s="83">
        <f t="shared" si="290"/>
        <v>202</v>
      </c>
      <c r="F318" s="83">
        <v>0</v>
      </c>
      <c r="G318" s="83">
        <v>0</v>
      </c>
      <c r="H318" s="83">
        <v>-200</v>
      </c>
      <c r="I318" s="83">
        <v>0</v>
      </c>
      <c r="J318" s="83">
        <f t="shared" si="291"/>
        <v>0</v>
      </c>
      <c r="K318" s="83">
        <f t="shared" si="292"/>
        <v>2</v>
      </c>
      <c r="L318" s="83"/>
      <c r="M318" s="83">
        <f t="shared" si="293"/>
        <v>2</v>
      </c>
      <c r="N318" s="83">
        <f t="shared" si="241"/>
        <v>-99.009900990099</v>
      </c>
      <c r="O318" s="388" t="s">
        <v>447</v>
      </c>
    </row>
    <row r="319" s="5" customFormat="1" customHeight="1" spans="1:15">
      <c r="A319" s="380">
        <v>2130108</v>
      </c>
      <c r="B319" s="151" t="s">
        <v>448</v>
      </c>
      <c r="C319" s="83">
        <v>24.2</v>
      </c>
      <c r="D319" s="83">
        <v>9.6</v>
      </c>
      <c r="E319" s="83">
        <f t="shared" si="290"/>
        <v>33.8</v>
      </c>
      <c r="F319" s="83">
        <v>-12</v>
      </c>
      <c r="G319" s="83"/>
      <c r="H319" s="83">
        <v>0</v>
      </c>
      <c r="I319" s="83">
        <v>0</v>
      </c>
      <c r="J319" s="83">
        <f t="shared" si="291"/>
        <v>-7.5</v>
      </c>
      <c r="K319" s="83">
        <f t="shared" si="292"/>
        <v>12.2</v>
      </c>
      <c r="L319" s="83">
        <v>2.1</v>
      </c>
      <c r="M319" s="83">
        <f t="shared" si="293"/>
        <v>14.3</v>
      </c>
      <c r="N319" s="83">
        <f t="shared" si="241"/>
        <v>-57.6923076923077</v>
      </c>
      <c r="O319" s="220" t="s">
        <v>449</v>
      </c>
    </row>
    <row r="320" s="5" customFormat="1" customHeight="1" spans="1:15">
      <c r="A320" s="380">
        <v>2130109</v>
      </c>
      <c r="B320" s="151" t="s">
        <v>450</v>
      </c>
      <c r="C320" s="83">
        <v>15</v>
      </c>
      <c r="D320" s="83">
        <v>0</v>
      </c>
      <c r="E320" s="83">
        <f t="shared" si="290"/>
        <v>15</v>
      </c>
      <c r="F320" s="83">
        <v>-14</v>
      </c>
      <c r="G320" s="83">
        <v>0</v>
      </c>
      <c r="H320" s="83">
        <v>0</v>
      </c>
      <c r="I320" s="83">
        <v>0</v>
      </c>
      <c r="J320" s="83">
        <f t="shared" si="291"/>
        <v>5</v>
      </c>
      <c r="K320" s="83">
        <f t="shared" si="292"/>
        <v>1</v>
      </c>
      <c r="L320" s="83">
        <v>5</v>
      </c>
      <c r="M320" s="83">
        <f t="shared" si="293"/>
        <v>6</v>
      </c>
      <c r="N320" s="83">
        <f t="shared" si="241"/>
        <v>-60</v>
      </c>
      <c r="O320" s="388" t="s">
        <v>451</v>
      </c>
    </row>
    <row r="321" s="5" customFormat="1" customHeight="1" spans="1:15">
      <c r="A321" s="380">
        <v>2130110</v>
      </c>
      <c r="B321" s="151" t="s">
        <v>452</v>
      </c>
      <c r="C321" s="83">
        <v>127.61</v>
      </c>
      <c r="D321" s="83">
        <v>0</v>
      </c>
      <c r="E321" s="83">
        <f t="shared" si="290"/>
        <v>127.61</v>
      </c>
      <c r="F321" s="83">
        <v>-32.420632</v>
      </c>
      <c r="G321" s="83"/>
      <c r="H321" s="83">
        <v>0</v>
      </c>
      <c r="I321" s="83">
        <v>0</v>
      </c>
      <c r="J321" s="83">
        <f t="shared" si="291"/>
        <v>0</v>
      </c>
      <c r="K321" s="83">
        <f t="shared" si="292"/>
        <v>95.189368</v>
      </c>
      <c r="L321" s="83"/>
      <c r="M321" s="83">
        <f t="shared" si="293"/>
        <v>95.189368</v>
      </c>
      <c r="N321" s="83">
        <f t="shared" si="241"/>
        <v>-25.4060277407727</v>
      </c>
      <c r="O321" s="220" t="s">
        <v>453</v>
      </c>
    </row>
    <row r="322" s="5" customFormat="1" customHeight="1" spans="1:15">
      <c r="A322" s="380">
        <v>2130119</v>
      </c>
      <c r="B322" s="151" t="s">
        <v>454</v>
      </c>
      <c r="C322" s="83">
        <v>40</v>
      </c>
      <c r="D322" s="83">
        <v>7.7</v>
      </c>
      <c r="E322" s="83">
        <f t="shared" si="290"/>
        <v>47.7</v>
      </c>
      <c r="F322" s="83">
        <v>0</v>
      </c>
      <c r="G322" s="83">
        <v>0</v>
      </c>
      <c r="H322" s="83">
        <v>-7</v>
      </c>
      <c r="I322" s="83">
        <v>0</v>
      </c>
      <c r="J322" s="83">
        <f t="shared" si="291"/>
        <v>-2.7</v>
      </c>
      <c r="K322" s="83">
        <f t="shared" si="292"/>
        <v>33</v>
      </c>
      <c r="L322" s="83">
        <v>5</v>
      </c>
      <c r="M322" s="83">
        <f t="shared" si="293"/>
        <v>38</v>
      </c>
      <c r="N322" s="83">
        <f t="shared" si="241"/>
        <v>-20.335429769392</v>
      </c>
      <c r="O322" s="388" t="s">
        <v>455</v>
      </c>
    </row>
    <row r="323" s="5" customFormat="1" customHeight="1" spans="1:15">
      <c r="A323" s="380">
        <v>2130122</v>
      </c>
      <c r="B323" s="151" t="s">
        <v>456</v>
      </c>
      <c r="C323" s="83">
        <v>36.13</v>
      </c>
      <c r="D323" s="83">
        <v>5</v>
      </c>
      <c r="E323" s="83">
        <f t="shared" si="290"/>
        <v>41.13</v>
      </c>
      <c r="F323" s="83">
        <v>0</v>
      </c>
      <c r="G323" s="83">
        <v>0</v>
      </c>
      <c r="H323" s="83">
        <v>-21.518</v>
      </c>
      <c r="I323" s="83">
        <v>0</v>
      </c>
      <c r="J323" s="83">
        <f t="shared" si="291"/>
        <v>-5</v>
      </c>
      <c r="K323" s="83">
        <f t="shared" si="292"/>
        <v>14.612</v>
      </c>
      <c r="L323" s="83"/>
      <c r="M323" s="83">
        <f t="shared" si="293"/>
        <v>14.612</v>
      </c>
      <c r="N323" s="83">
        <f t="shared" si="241"/>
        <v>-64.4736202285436</v>
      </c>
      <c r="O323" s="388" t="s">
        <v>457</v>
      </c>
    </row>
    <row r="324" s="5" customFormat="1" customHeight="1" spans="1:15">
      <c r="A324" s="380">
        <v>2130135</v>
      </c>
      <c r="B324" s="151" t="s">
        <v>458</v>
      </c>
      <c r="C324" s="83">
        <v>0</v>
      </c>
      <c r="D324" s="83">
        <v>150.42</v>
      </c>
      <c r="E324" s="83">
        <f t="shared" si="290"/>
        <v>150.42</v>
      </c>
      <c r="F324" s="83">
        <v>0</v>
      </c>
      <c r="G324" s="83"/>
      <c r="H324" s="83">
        <v>0</v>
      </c>
      <c r="I324" s="83">
        <v>0</v>
      </c>
      <c r="J324" s="83">
        <f t="shared" si="291"/>
        <v>-150.42</v>
      </c>
      <c r="K324" s="83">
        <f t="shared" si="292"/>
        <v>0</v>
      </c>
      <c r="L324" s="83"/>
      <c r="M324" s="83">
        <f t="shared" si="293"/>
        <v>0</v>
      </c>
      <c r="N324" s="83">
        <f t="shared" si="241"/>
        <v>-100</v>
      </c>
      <c r="O324" s="220"/>
    </row>
    <row r="325" s="5" customFormat="1" customHeight="1" spans="1:15">
      <c r="A325" s="380">
        <v>2130148</v>
      </c>
      <c r="B325" s="151" t="s">
        <v>459</v>
      </c>
      <c r="C325" s="83">
        <v>397.4</v>
      </c>
      <c r="D325" s="83">
        <v>179.14</v>
      </c>
      <c r="E325" s="83">
        <f t="shared" si="290"/>
        <v>576.54</v>
      </c>
      <c r="F325" s="83">
        <v>0</v>
      </c>
      <c r="G325" s="83">
        <v>0</v>
      </c>
      <c r="H325" s="83">
        <v>-263.51242</v>
      </c>
      <c r="I325" s="83">
        <v>0</v>
      </c>
      <c r="J325" s="83">
        <f t="shared" si="291"/>
        <v>-179.14</v>
      </c>
      <c r="K325" s="83">
        <f t="shared" si="292"/>
        <v>133.88758</v>
      </c>
      <c r="L325" s="83"/>
      <c r="M325" s="83">
        <f t="shared" si="293"/>
        <v>133.88758</v>
      </c>
      <c r="N325" s="83">
        <f t="shared" si="241"/>
        <v>-76.7773996600409</v>
      </c>
      <c r="O325" s="388" t="s">
        <v>460</v>
      </c>
    </row>
    <row r="326" s="5" customFormat="1" customHeight="1" spans="1:15">
      <c r="A326" s="380">
        <v>2130152</v>
      </c>
      <c r="B326" s="151" t="s">
        <v>461</v>
      </c>
      <c r="C326" s="83">
        <v>0.7</v>
      </c>
      <c r="D326" s="83">
        <v>0</v>
      </c>
      <c r="E326" s="83">
        <f t="shared" si="290"/>
        <v>0.7</v>
      </c>
      <c r="F326" s="83">
        <v>-0.7</v>
      </c>
      <c r="G326" s="83">
        <v>0</v>
      </c>
      <c r="H326" s="83">
        <v>0</v>
      </c>
      <c r="I326" s="83">
        <v>0</v>
      </c>
      <c r="J326" s="83">
        <f t="shared" si="291"/>
        <v>0</v>
      </c>
      <c r="K326" s="83">
        <f t="shared" si="292"/>
        <v>0</v>
      </c>
      <c r="L326" s="83"/>
      <c r="M326" s="83">
        <f t="shared" si="293"/>
        <v>0</v>
      </c>
      <c r="N326" s="83">
        <f t="shared" ref="N326:N389" si="296">(M326-E326)/E326*100</f>
        <v>-100</v>
      </c>
      <c r="O326" s="220"/>
    </row>
    <row r="327" s="5" customFormat="1" customHeight="1" spans="1:15">
      <c r="A327" s="380">
        <v>2130153</v>
      </c>
      <c r="B327" s="151" t="s">
        <v>462</v>
      </c>
      <c r="C327" s="83">
        <v>155.15</v>
      </c>
      <c r="D327" s="83">
        <v>217.9</v>
      </c>
      <c r="E327" s="83">
        <f t="shared" si="290"/>
        <v>373.05</v>
      </c>
      <c r="F327" s="83">
        <v>-155.15</v>
      </c>
      <c r="G327" s="83">
        <v>0</v>
      </c>
      <c r="H327" s="83">
        <v>0</v>
      </c>
      <c r="I327" s="83">
        <v>0</v>
      </c>
      <c r="J327" s="83">
        <f t="shared" si="291"/>
        <v>11.82</v>
      </c>
      <c r="K327" s="83">
        <f t="shared" si="292"/>
        <v>0</v>
      </c>
      <c r="L327" s="83">
        <v>229.72</v>
      </c>
      <c r="M327" s="83">
        <f t="shared" si="293"/>
        <v>229.72</v>
      </c>
      <c r="N327" s="83">
        <f t="shared" si="296"/>
        <v>-38.4211231738373</v>
      </c>
      <c r="O327" s="220" t="s">
        <v>463</v>
      </c>
    </row>
    <row r="328" s="5" customFormat="1" customHeight="1" spans="1:15">
      <c r="A328" s="380">
        <v>2130199</v>
      </c>
      <c r="B328" s="151" t="s">
        <v>464</v>
      </c>
      <c r="C328" s="83">
        <v>933.04</v>
      </c>
      <c r="D328" s="83">
        <v>31.1136</v>
      </c>
      <c r="E328" s="83">
        <f t="shared" si="290"/>
        <v>964.1536</v>
      </c>
      <c r="F328" s="83">
        <v>-65.9736</v>
      </c>
      <c r="G328" s="83"/>
      <c r="H328" s="83">
        <v>-446.825987</v>
      </c>
      <c r="I328" s="83">
        <v>0</v>
      </c>
      <c r="J328" s="83">
        <f t="shared" si="291"/>
        <v>483.1464</v>
      </c>
      <c r="K328" s="83">
        <f t="shared" si="292"/>
        <v>420.240413</v>
      </c>
      <c r="L328" s="83">
        <v>514.26</v>
      </c>
      <c r="M328" s="83">
        <f t="shared" si="293"/>
        <v>934.500413</v>
      </c>
      <c r="N328" s="83">
        <f t="shared" si="296"/>
        <v>-3.07556669393756</v>
      </c>
      <c r="O328" s="220" t="s">
        <v>465</v>
      </c>
    </row>
    <row r="329" s="5" customFormat="1" customHeight="1" spans="1:15">
      <c r="A329" s="380">
        <v>21302</v>
      </c>
      <c r="B329" s="151" t="s">
        <v>466</v>
      </c>
      <c r="C329" s="83">
        <f t="shared" ref="C329:M329" si="297">SUM(C330:C334)</f>
        <v>152.35</v>
      </c>
      <c r="D329" s="83">
        <f t="shared" si="297"/>
        <v>321.98</v>
      </c>
      <c r="E329" s="83">
        <f t="shared" si="297"/>
        <v>474.33</v>
      </c>
      <c r="F329" s="83">
        <f t="shared" si="297"/>
        <v>-0.0107969999999997</v>
      </c>
      <c r="G329" s="381">
        <f t="shared" si="297"/>
        <v>0</v>
      </c>
      <c r="H329" s="83">
        <f t="shared" si="297"/>
        <v>-0.28</v>
      </c>
      <c r="I329" s="83">
        <f t="shared" si="297"/>
        <v>0</v>
      </c>
      <c r="J329" s="83">
        <f t="shared" si="297"/>
        <v>-32.15</v>
      </c>
      <c r="K329" s="83">
        <f t="shared" si="297"/>
        <v>152.059203</v>
      </c>
      <c r="L329" s="83">
        <f t="shared" si="297"/>
        <v>289.83</v>
      </c>
      <c r="M329" s="83">
        <f t="shared" si="297"/>
        <v>441.889203</v>
      </c>
      <c r="N329" s="83">
        <f t="shared" si="296"/>
        <v>-6.8392884700525</v>
      </c>
      <c r="O329" s="388">
        <v>0</v>
      </c>
    </row>
    <row r="330" s="5" customFormat="1" customHeight="1" spans="1:15">
      <c r="A330" s="380">
        <v>2130205</v>
      </c>
      <c r="B330" s="151" t="s">
        <v>467</v>
      </c>
      <c r="C330" s="83"/>
      <c r="D330" s="83"/>
      <c r="E330" s="83">
        <f t="shared" ref="E330:E334" si="298">C330+D330</f>
        <v>0</v>
      </c>
      <c r="F330" s="83"/>
      <c r="G330" s="83"/>
      <c r="H330" s="83"/>
      <c r="I330" s="83"/>
      <c r="J330" s="83">
        <f t="shared" ref="J330:J334" si="299">L330-D330</f>
        <v>56.25</v>
      </c>
      <c r="K330" s="83">
        <f t="shared" ref="K330:K334" si="300">C330+F330+G330+H330+I330</f>
        <v>0</v>
      </c>
      <c r="L330" s="83">
        <v>56.25</v>
      </c>
      <c r="M330" s="83">
        <f t="shared" ref="M330:M334" si="301">K330+L330</f>
        <v>56.25</v>
      </c>
      <c r="N330" s="83"/>
      <c r="O330" s="388"/>
    </row>
    <row r="331" s="5" customFormat="1" customHeight="1" spans="1:15">
      <c r="A331" s="380">
        <v>2130209</v>
      </c>
      <c r="B331" s="151" t="s">
        <v>468</v>
      </c>
      <c r="C331" s="83">
        <v>123.85</v>
      </c>
      <c r="D331" s="83">
        <v>215.74</v>
      </c>
      <c r="E331" s="83">
        <f t="shared" si="298"/>
        <v>339.59</v>
      </c>
      <c r="F331" s="83">
        <v>-0.0107969999999997</v>
      </c>
      <c r="G331" s="83">
        <v>0</v>
      </c>
      <c r="H331" s="83">
        <v>-0.28</v>
      </c>
      <c r="I331" s="83">
        <v>0</v>
      </c>
      <c r="J331" s="83">
        <f t="shared" si="299"/>
        <v>0</v>
      </c>
      <c r="K331" s="83">
        <f t="shared" si="300"/>
        <v>123.559203</v>
      </c>
      <c r="L331" s="83">
        <v>215.74</v>
      </c>
      <c r="M331" s="83">
        <f t="shared" si="301"/>
        <v>339.299203</v>
      </c>
      <c r="N331" s="83">
        <f t="shared" si="296"/>
        <v>-0.0856317912777166</v>
      </c>
      <c r="O331" s="388">
        <v>0</v>
      </c>
    </row>
    <row r="332" s="5" customFormat="1" customHeight="1" spans="1:15">
      <c r="A332" s="380">
        <v>2130211</v>
      </c>
      <c r="B332" s="151" t="s">
        <v>469</v>
      </c>
      <c r="C332" s="83"/>
      <c r="D332" s="83"/>
      <c r="E332" s="83">
        <f t="shared" si="298"/>
        <v>0</v>
      </c>
      <c r="F332" s="83"/>
      <c r="G332" s="83"/>
      <c r="H332" s="83"/>
      <c r="I332" s="83"/>
      <c r="J332" s="83">
        <f t="shared" si="299"/>
        <v>6</v>
      </c>
      <c r="K332" s="83">
        <f t="shared" si="300"/>
        <v>0</v>
      </c>
      <c r="L332" s="83">
        <v>6</v>
      </c>
      <c r="M332" s="83">
        <f t="shared" si="301"/>
        <v>6</v>
      </c>
      <c r="N332" s="83"/>
      <c r="O332" s="388"/>
    </row>
    <row r="333" s="5" customFormat="1" customHeight="1" spans="1:15">
      <c r="A333" s="380">
        <v>2130234</v>
      </c>
      <c r="B333" s="151" t="s">
        <v>470</v>
      </c>
      <c r="C333" s="83"/>
      <c r="D333" s="83">
        <v>106.24</v>
      </c>
      <c r="E333" s="83">
        <f t="shared" si="298"/>
        <v>106.24</v>
      </c>
      <c r="F333" s="83"/>
      <c r="G333" s="83"/>
      <c r="H333" s="83"/>
      <c r="I333" s="83"/>
      <c r="J333" s="83">
        <f t="shared" si="299"/>
        <v>-94.4</v>
      </c>
      <c r="K333" s="83">
        <f t="shared" si="300"/>
        <v>0</v>
      </c>
      <c r="L333" s="83">
        <v>11.84</v>
      </c>
      <c r="M333" s="83">
        <f t="shared" si="301"/>
        <v>11.84</v>
      </c>
      <c r="N333" s="83">
        <f t="shared" si="296"/>
        <v>-88.855421686747</v>
      </c>
      <c r="O333" s="388"/>
    </row>
    <row r="334" s="5" customFormat="1" customHeight="1" spans="1:15">
      <c r="A334" s="380">
        <v>2130299</v>
      </c>
      <c r="B334" s="151" t="s">
        <v>471</v>
      </c>
      <c r="C334" s="83">
        <v>28.5</v>
      </c>
      <c r="D334" s="83">
        <v>0</v>
      </c>
      <c r="E334" s="83">
        <f t="shared" si="298"/>
        <v>28.5</v>
      </c>
      <c r="F334" s="83">
        <v>0</v>
      </c>
      <c r="G334" s="83"/>
      <c r="H334" s="83">
        <v>0</v>
      </c>
      <c r="I334" s="83">
        <v>0</v>
      </c>
      <c r="J334" s="83">
        <f t="shared" si="299"/>
        <v>0</v>
      </c>
      <c r="K334" s="83">
        <f t="shared" si="300"/>
        <v>28.5</v>
      </c>
      <c r="L334" s="83"/>
      <c r="M334" s="83">
        <f t="shared" si="301"/>
        <v>28.5</v>
      </c>
      <c r="N334" s="83">
        <f t="shared" si="296"/>
        <v>0</v>
      </c>
      <c r="O334" s="220"/>
    </row>
    <row r="335" s="5" customFormat="1" customHeight="1" spans="1:15">
      <c r="A335" s="380">
        <v>21303</v>
      </c>
      <c r="B335" s="151" t="s">
        <v>472</v>
      </c>
      <c r="C335" s="83">
        <f t="shared" ref="C335:M335" si="302">SUM(C336:C341)</f>
        <v>1550.27</v>
      </c>
      <c r="D335" s="83">
        <f t="shared" si="302"/>
        <v>156.6</v>
      </c>
      <c r="E335" s="83">
        <f t="shared" si="302"/>
        <v>1706.87</v>
      </c>
      <c r="F335" s="83">
        <f t="shared" si="302"/>
        <v>-165.87528</v>
      </c>
      <c r="G335" s="381">
        <f t="shared" si="302"/>
        <v>0</v>
      </c>
      <c r="H335" s="83">
        <f t="shared" si="302"/>
        <v>-207.133779</v>
      </c>
      <c r="I335" s="83">
        <f t="shared" si="302"/>
        <v>24.462568</v>
      </c>
      <c r="J335" s="83">
        <f t="shared" si="302"/>
        <v>0</v>
      </c>
      <c r="K335" s="83">
        <f t="shared" si="302"/>
        <v>1201.723509</v>
      </c>
      <c r="L335" s="83">
        <f t="shared" si="302"/>
        <v>156.6</v>
      </c>
      <c r="M335" s="83">
        <f t="shared" si="302"/>
        <v>1358.323509</v>
      </c>
      <c r="N335" s="83">
        <f t="shared" si="296"/>
        <v>-20.4202130800823</v>
      </c>
      <c r="O335" s="388"/>
    </row>
    <row r="336" s="5" customFormat="1" customHeight="1" spans="1:15">
      <c r="A336" s="380">
        <v>2130304</v>
      </c>
      <c r="B336" s="151" t="s">
        <v>473</v>
      </c>
      <c r="C336" s="83">
        <v>9.96</v>
      </c>
      <c r="D336" s="83">
        <v>0</v>
      </c>
      <c r="E336" s="83">
        <f t="shared" ref="E336:E341" si="303">C336+D336</f>
        <v>9.96</v>
      </c>
      <c r="F336" s="83">
        <v>-0.83</v>
      </c>
      <c r="G336" s="83"/>
      <c r="H336" s="83">
        <v>0</v>
      </c>
      <c r="I336" s="83">
        <v>0</v>
      </c>
      <c r="J336" s="83">
        <f t="shared" ref="J336:J341" si="304">L336-D336</f>
        <v>0</v>
      </c>
      <c r="K336" s="83">
        <f t="shared" ref="K336:K341" si="305">C336+F336+G336+H336+I336</f>
        <v>9.13</v>
      </c>
      <c r="L336" s="83"/>
      <c r="M336" s="83">
        <f t="shared" ref="M336:M341" si="306">K336+L336</f>
        <v>9.13</v>
      </c>
      <c r="N336" s="83">
        <f t="shared" si="296"/>
        <v>-8.33333333333333</v>
      </c>
      <c r="O336" s="220"/>
    </row>
    <row r="337" s="5" customFormat="1" customHeight="1" spans="1:15">
      <c r="A337" s="380">
        <v>2130305</v>
      </c>
      <c r="B337" s="151" t="s">
        <v>474</v>
      </c>
      <c r="C337" s="83">
        <v>1250.47</v>
      </c>
      <c r="D337" s="83">
        <v>50.8</v>
      </c>
      <c r="E337" s="83">
        <f t="shared" si="303"/>
        <v>1301.27</v>
      </c>
      <c r="F337" s="83">
        <v>0</v>
      </c>
      <c r="G337" s="83">
        <v>0</v>
      </c>
      <c r="H337" s="83">
        <v>-177.133779</v>
      </c>
      <c r="I337" s="83">
        <v>0</v>
      </c>
      <c r="J337" s="83">
        <f t="shared" si="304"/>
        <v>0</v>
      </c>
      <c r="K337" s="83">
        <f t="shared" si="305"/>
        <v>1073.336221</v>
      </c>
      <c r="L337" s="83">
        <v>50.8</v>
      </c>
      <c r="M337" s="83">
        <f t="shared" si="306"/>
        <v>1124.136221</v>
      </c>
      <c r="N337" s="83">
        <f t="shared" si="296"/>
        <v>-13.6123770624083</v>
      </c>
      <c r="O337" s="388" t="s">
        <v>475</v>
      </c>
    </row>
    <row r="338" s="5" customFormat="1" customHeight="1" spans="1:15">
      <c r="A338" s="380">
        <v>2130306</v>
      </c>
      <c r="B338" s="151" t="s">
        <v>476</v>
      </c>
      <c r="C338" s="83">
        <v>162.2</v>
      </c>
      <c r="D338" s="83">
        <v>32</v>
      </c>
      <c r="E338" s="83">
        <f t="shared" si="303"/>
        <v>194.2</v>
      </c>
      <c r="F338" s="83">
        <v>-162.2</v>
      </c>
      <c r="G338" s="83">
        <v>0</v>
      </c>
      <c r="H338" s="83">
        <v>0</v>
      </c>
      <c r="I338" s="83">
        <v>0</v>
      </c>
      <c r="J338" s="83">
        <f t="shared" si="304"/>
        <v>-32</v>
      </c>
      <c r="K338" s="83">
        <f t="shared" si="305"/>
        <v>0</v>
      </c>
      <c r="L338" s="83"/>
      <c r="M338" s="83">
        <f t="shared" si="306"/>
        <v>0</v>
      </c>
      <c r="N338" s="83">
        <f t="shared" si="296"/>
        <v>-100</v>
      </c>
      <c r="O338" s="388" t="s">
        <v>477</v>
      </c>
    </row>
    <row r="339" s="5" customFormat="1" customHeight="1" spans="1:15">
      <c r="A339" s="380">
        <v>2130311</v>
      </c>
      <c r="B339" s="151" t="s">
        <v>478</v>
      </c>
      <c r="C339" s="83">
        <v>2.5</v>
      </c>
      <c r="D339" s="83">
        <v>73.8</v>
      </c>
      <c r="E339" s="83">
        <f t="shared" si="303"/>
        <v>76.3</v>
      </c>
      <c r="F339" s="83">
        <v>0</v>
      </c>
      <c r="G339" s="83"/>
      <c r="H339" s="83">
        <v>0</v>
      </c>
      <c r="I339" s="83">
        <v>0</v>
      </c>
      <c r="J339" s="83">
        <f t="shared" si="304"/>
        <v>0</v>
      </c>
      <c r="K339" s="83">
        <f t="shared" si="305"/>
        <v>2.5</v>
      </c>
      <c r="L339" s="83">
        <v>73.8</v>
      </c>
      <c r="M339" s="83">
        <f t="shared" si="306"/>
        <v>76.3</v>
      </c>
      <c r="N339" s="83">
        <f t="shared" si="296"/>
        <v>0</v>
      </c>
      <c r="O339" s="220"/>
    </row>
    <row r="340" s="5" customFormat="1" customHeight="1" spans="1:15">
      <c r="A340" s="380">
        <v>2130317</v>
      </c>
      <c r="B340" s="151" t="s">
        <v>479</v>
      </c>
      <c r="C340" s="83">
        <v>1</v>
      </c>
      <c r="D340" s="83">
        <v>0</v>
      </c>
      <c r="E340" s="83">
        <f t="shared" si="303"/>
        <v>1</v>
      </c>
      <c r="F340" s="83">
        <v>0</v>
      </c>
      <c r="G340" s="83"/>
      <c r="H340" s="83">
        <v>0</v>
      </c>
      <c r="I340" s="83">
        <v>0</v>
      </c>
      <c r="J340" s="83">
        <f t="shared" si="304"/>
        <v>0</v>
      </c>
      <c r="K340" s="83">
        <f t="shared" si="305"/>
        <v>1</v>
      </c>
      <c r="L340" s="83"/>
      <c r="M340" s="83">
        <f t="shared" si="306"/>
        <v>1</v>
      </c>
      <c r="N340" s="83">
        <f t="shared" si="296"/>
        <v>0</v>
      </c>
      <c r="O340" s="220"/>
    </row>
    <row r="341" s="5" customFormat="1" customHeight="1" spans="1:15">
      <c r="A341" s="380">
        <v>2130399</v>
      </c>
      <c r="B341" s="151" t="s">
        <v>480</v>
      </c>
      <c r="C341" s="83">
        <v>124.14</v>
      </c>
      <c r="D341" s="83">
        <v>0</v>
      </c>
      <c r="E341" s="83">
        <f t="shared" si="303"/>
        <v>124.14</v>
      </c>
      <c r="F341" s="83">
        <v>-2.84528</v>
      </c>
      <c r="G341" s="83">
        <v>0</v>
      </c>
      <c r="H341" s="83">
        <v>-30</v>
      </c>
      <c r="I341" s="83">
        <v>24.462568</v>
      </c>
      <c r="J341" s="83">
        <f t="shared" si="304"/>
        <v>32</v>
      </c>
      <c r="K341" s="83">
        <f t="shared" si="305"/>
        <v>115.757288</v>
      </c>
      <c r="L341" s="83">
        <v>32</v>
      </c>
      <c r="M341" s="83">
        <f t="shared" si="306"/>
        <v>147.757288</v>
      </c>
      <c r="N341" s="83">
        <f t="shared" si="296"/>
        <v>19.024720476881</v>
      </c>
      <c r="O341" s="388" t="s">
        <v>115</v>
      </c>
    </row>
    <row r="342" s="5" customFormat="1" customHeight="1" spans="1:15">
      <c r="A342" s="380">
        <v>21305</v>
      </c>
      <c r="B342" s="151" t="s">
        <v>481</v>
      </c>
      <c r="C342" s="83">
        <f t="shared" ref="C342:M342" si="307">SUM(C343)</f>
        <v>17.86</v>
      </c>
      <c r="D342" s="83">
        <f t="shared" si="307"/>
        <v>875</v>
      </c>
      <c r="E342" s="83">
        <f t="shared" si="307"/>
        <v>892.86</v>
      </c>
      <c r="F342" s="83">
        <f t="shared" si="307"/>
        <v>-10.179118</v>
      </c>
      <c r="G342" s="381">
        <f t="shared" si="307"/>
        <v>0</v>
      </c>
      <c r="H342" s="83">
        <f t="shared" si="307"/>
        <v>0</v>
      </c>
      <c r="I342" s="83">
        <f t="shared" si="307"/>
        <v>0</v>
      </c>
      <c r="J342" s="83">
        <f t="shared" si="307"/>
        <v>117.87</v>
      </c>
      <c r="K342" s="83">
        <f t="shared" si="307"/>
        <v>7.680882</v>
      </c>
      <c r="L342" s="83">
        <f t="shared" si="307"/>
        <v>992.87</v>
      </c>
      <c r="M342" s="83">
        <f t="shared" si="307"/>
        <v>1000.550882</v>
      </c>
      <c r="N342" s="83">
        <f t="shared" si="296"/>
        <v>12.0613401877114</v>
      </c>
      <c r="O342" s="220"/>
    </row>
    <row r="343" s="5" customFormat="1" customHeight="1" spans="1:15">
      <c r="A343" s="380">
        <v>2130599</v>
      </c>
      <c r="B343" s="151" t="s">
        <v>482</v>
      </c>
      <c r="C343" s="83">
        <v>17.86</v>
      </c>
      <c r="D343" s="83">
        <v>875</v>
      </c>
      <c r="E343" s="83">
        <f t="shared" ref="E343:E347" si="308">C343+D343</f>
        <v>892.86</v>
      </c>
      <c r="F343" s="83">
        <v>-10.179118</v>
      </c>
      <c r="G343" s="83"/>
      <c r="H343" s="83">
        <v>0</v>
      </c>
      <c r="I343" s="83">
        <v>0</v>
      </c>
      <c r="J343" s="83">
        <f t="shared" ref="J343:J347" si="309">L343-D343</f>
        <v>117.87</v>
      </c>
      <c r="K343" s="83">
        <f t="shared" ref="K343:K347" si="310">C343+F343+G343+H343+I343</f>
        <v>7.680882</v>
      </c>
      <c r="L343" s="83">
        <v>992.87</v>
      </c>
      <c r="M343" s="83">
        <f t="shared" ref="M343:M347" si="311">K343+L343</f>
        <v>1000.550882</v>
      </c>
      <c r="N343" s="83">
        <f t="shared" si="296"/>
        <v>12.0613401877114</v>
      </c>
      <c r="O343" s="220" t="s">
        <v>483</v>
      </c>
    </row>
    <row r="344" s="5" customFormat="1" customHeight="1" spans="1:15">
      <c r="A344" s="380">
        <v>21307</v>
      </c>
      <c r="B344" s="151" t="s">
        <v>484</v>
      </c>
      <c r="C344" s="83">
        <f t="shared" ref="C344:M344" si="312">SUM(C345:C347)</f>
        <v>222.95</v>
      </c>
      <c r="D344" s="83">
        <f t="shared" si="312"/>
        <v>170.417</v>
      </c>
      <c r="E344" s="83">
        <f t="shared" si="312"/>
        <v>393.367</v>
      </c>
      <c r="F344" s="83">
        <f t="shared" si="312"/>
        <v>-20</v>
      </c>
      <c r="G344" s="381">
        <f t="shared" si="312"/>
        <v>0</v>
      </c>
      <c r="H344" s="83">
        <f t="shared" si="312"/>
        <v>-12.2</v>
      </c>
      <c r="I344" s="83">
        <f t="shared" si="312"/>
        <v>-10.72</v>
      </c>
      <c r="J344" s="83">
        <f t="shared" si="312"/>
        <v>-41.997</v>
      </c>
      <c r="K344" s="83">
        <f t="shared" si="312"/>
        <v>180.03</v>
      </c>
      <c r="L344" s="83">
        <f t="shared" si="312"/>
        <v>128.42</v>
      </c>
      <c r="M344" s="83">
        <f t="shared" si="312"/>
        <v>308.45</v>
      </c>
      <c r="N344" s="83">
        <f t="shared" si="296"/>
        <v>-21.5872200769256</v>
      </c>
      <c r="O344" s="220"/>
    </row>
    <row r="345" s="5" customFormat="1" customHeight="1" spans="1:15">
      <c r="A345" s="380">
        <v>2130701</v>
      </c>
      <c r="B345" s="151" t="s">
        <v>485</v>
      </c>
      <c r="C345" s="83"/>
      <c r="D345" s="83">
        <v>62</v>
      </c>
      <c r="E345" s="83">
        <f t="shared" si="308"/>
        <v>62</v>
      </c>
      <c r="F345" s="83"/>
      <c r="G345" s="83"/>
      <c r="H345" s="83"/>
      <c r="I345" s="83"/>
      <c r="J345" s="83">
        <f t="shared" si="309"/>
        <v>-42</v>
      </c>
      <c r="K345" s="83">
        <f t="shared" si="310"/>
        <v>0</v>
      </c>
      <c r="L345" s="83">
        <v>20</v>
      </c>
      <c r="M345" s="83">
        <f t="shared" si="311"/>
        <v>20</v>
      </c>
      <c r="N345" s="83">
        <f t="shared" si="296"/>
        <v>-67.741935483871</v>
      </c>
      <c r="O345" s="388"/>
    </row>
    <row r="346" s="5" customFormat="1" customHeight="1" spans="1:15">
      <c r="A346" s="380">
        <v>2130705</v>
      </c>
      <c r="B346" s="151" t="s">
        <v>486</v>
      </c>
      <c r="C346" s="83">
        <v>197.95</v>
      </c>
      <c r="D346" s="83">
        <v>108.417</v>
      </c>
      <c r="E346" s="83">
        <f t="shared" si="308"/>
        <v>306.367</v>
      </c>
      <c r="F346" s="83">
        <v>0</v>
      </c>
      <c r="G346" s="83">
        <v>0</v>
      </c>
      <c r="H346" s="83">
        <v>-12.2</v>
      </c>
      <c r="I346" s="83">
        <v>-10.72</v>
      </c>
      <c r="J346" s="83">
        <f t="shared" si="309"/>
        <v>0.00300000000000011</v>
      </c>
      <c r="K346" s="83">
        <f t="shared" si="310"/>
        <v>175.03</v>
      </c>
      <c r="L346" s="83">
        <v>108.42</v>
      </c>
      <c r="M346" s="83">
        <f t="shared" si="311"/>
        <v>283.45</v>
      </c>
      <c r="N346" s="83">
        <f t="shared" si="296"/>
        <v>-7.48024428218443</v>
      </c>
      <c r="O346" s="388" t="s">
        <v>487</v>
      </c>
    </row>
    <row r="347" s="5" customFormat="1" customHeight="1" spans="1:15">
      <c r="A347" s="380">
        <v>2130707</v>
      </c>
      <c r="B347" s="151" t="s">
        <v>488</v>
      </c>
      <c r="C347" s="83">
        <v>25</v>
      </c>
      <c r="D347" s="83">
        <v>0</v>
      </c>
      <c r="E347" s="83">
        <f t="shared" si="308"/>
        <v>25</v>
      </c>
      <c r="F347" s="83">
        <v>-20</v>
      </c>
      <c r="G347" s="83"/>
      <c r="H347" s="83">
        <v>0</v>
      </c>
      <c r="I347" s="83">
        <v>0</v>
      </c>
      <c r="J347" s="83">
        <f t="shared" si="309"/>
        <v>0</v>
      </c>
      <c r="K347" s="83">
        <f t="shared" si="310"/>
        <v>5</v>
      </c>
      <c r="L347" s="83"/>
      <c r="M347" s="83">
        <f t="shared" si="311"/>
        <v>5</v>
      </c>
      <c r="N347" s="83">
        <f t="shared" si="296"/>
        <v>-80</v>
      </c>
      <c r="O347" s="220" t="s">
        <v>489</v>
      </c>
    </row>
    <row r="348" s="5" customFormat="1" customHeight="1" spans="1:15">
      <c r="A348" s="380">
        <v>21308</v>
      </c>
      <c r="B348" s="151" t="s">
        <v>490</v>
      </c>
      <c r="C348" s="83">
        <f t="shared" ref="C348:M348" si="313">SUM(C349:C350)</f>
        <v>79.8</v>
      </c>
      <c r="D348" s="83">
        <f t="shared" si="313"/>
        <v>0</v>
      </c>
      <c r="E348" s="83">
        <f t="shared" si="313"/>
        <v>79.8</v>
      </c>
      <c r="F348" s="83">
        <f t="shared" si="313"/>
        <v>-67.984185</v>
      </c>
      <c r="G348" s="381">
        <f t="shared" si="313"/>
        <v>0</v>
      </c>
      <c r="H348" s="83">
        <f t="shared" si="313"/>
        <v>0</v>
      </c>
      <c r="I348" s="83">
        <f t="shared" si="313"/>
        <v>0</v>
      </c>
      <c r="J348" s="83">
        <f t="shared" si="313"/>
        <v>0</v>
      </c>
      <c r="K348" s="83">
        <f t="shared" si="313"/>
        <v>11.815815</v>
      </c>
      <c r="L348" s="83">
        <f t="shared" si="313"/>
        <v>0</v>
      </c>
      <c r="M348" s="83">
        <f t="shared" si="313"/>
        <v>11.815815</v>
      </c>
      <c r="N348" s="83">
        <f t="shared" si="296"/>
        <v>-85.1932142857143</v>
      </c>
      <c r="O348" s="220"/>
    </row>
    <row r="349" s="5" customFormat="1" customHeight="1" spans="1:15">
      <c r="A349" s="380">
        <v>2130803</v>
      </c>
      <c r="B349" s="151" t="s">
        <v>491</v>
      </c>
      <c r="C349" s="83">
        <v>70.8</v>
      </c>
      <c r="D349" s="83">
        <v>0</v>
      </c>
      <c r="E349" s="83">
        <f t="shared" ref="E349:E352" si="314">C349+D349</f>
        <v>70.8</v>
      </c>
      <c r="F349" s="83">
        <v>-60.078734</v>
      </c>
      <c r="G349" s="83"/>
      <c r="H349" s="83">
        <v>0</v>
      </c>
      <c r="I349" s="83">
        <v>0</v>
      </c>
      <c r="J349" s="83">
        <f t="shared" ref="J349:J352" si="315">L349-D349</f>
        <v>0</v>
      </c>
      <c r="K349" s="83">
        <f t="shared" ref="K349:K352" si="316">C349+F349+G349+H349+I349</f>
        <v>10.721266</v>
      </c>
      <c r="L349" s="83"/>
      <c r="M349" s="83">
        <f t="shared" ref="M349:M352" si="317">K349+L349</f>
        <v>10.721266</v>
      </c>
      <c r="N349" s="83">
        <f t="shared" si="296"/>
        <v>-84.8569689265537</v>
      </c>
      <c r="O349" s="220" t="s">
        <v>492</v>
      </c>
    </row>
    <row r="350" s="5" customFormat="1" customHeight="1" spans="1:15">
      <c r="A350" s="380">
        <v>2130804</v>
      </c>
      <c r="B350" s="151" t="s">
        <v>493</v>
      </c>
      <c r="C350" s="83">
        <v>9</v>
      </c>
      <c r="D350" s="83">
        <v>0</v>
      </c>
      <c r="E350" s="83">
        <f t="shared" si="314"/>
        <v>9</v>
      </c>
      <c r="F350" s="83">
        <v>-7.905451</v>
      </c>
      <c r="G350" s="83"/>
      <c r="H350" s="83">
        <v>0</v>
      </c>
      <c r="I350" s="83">
        <v>0</v>
      </c>
      <c r="J350" s="83">
        <f t="shared" si="315"/>
        <v>0</v>
      </c>
      <c r="K350" s="83">
        <f t="shared" si="316"/>
        <v>1.094549</v>
      </c>
      <c r="L350" s="83"/>
      <c r="M350" s="83">
        <f t="shared" si="317"/>
        <v>1.094549</v>
      </c>
      <c r="N350" s="83">
        <f t="shared" si="296"/>
        <v>-87.8383444444444</v>
      </c>
      <c r="O350" s="388" t="s">
        <v>494</v>
      </c>
    </row>
    <row r="351" s="5" customFormat="1" customHeight="1" spans="1:15">
      <c r="A351" s="380">
        <v>21399</v>
      </c>
      <c r="B351" s="151" t="s">
        <v>495</v>
      </c>
      <c r="C351" s="83">
        <f t="shared" ref="C351:M351" si="318">SUM(C352)</f>
        <v>4438.79</v>
      </c>
      <c r="D351" s="83">
        <f t="shared" si="318"/>
        <v>2525.04</v>
      </c>
      <c r="E351" s="83">
        <f t="shared" si="318"/>
        <v>6963.83</v>
      </c>
      <c r="F351" s="83">
        <f t="shared" si="318"/>
        <v>-386.999696</v>
      </c>
      <c r="G351" s="381">
        <f t="shared" si="318"/>
        <v>0</v>
      </c>
      <c r="H351" s="83">
        <f t="shared" si="318"/>
        <v>-2502.4289</v>
      </c>
      <c r="I351" s="83">
        <f t="shared" si="318"/>
        <v>-57</v>
      </c>
      <c r="J351" s="83">
        <f t="shared" si="318"/>
        <v>-2244.1</v>
      </c>
      <c r="K351" s="83">
        <f t="shared" si="318"/>
        <v>1492.361404</v>
      </c>
      <c r="L351" s="83">
        <f t="shared" si="318"/>
        <v>280.94</v>
      </c>
      <c r="M351" s="83">
        <f t="shared" si="318"/>
        <v>1773.301404</v>
      </c>
      <c r="N351" s="83">
        <f t="shared" si="296"/>
        <v>-74.5355443197206</v>
      </c>
      <c r="O351" s="220"/>
    </row>
    <row r="352" s="5" customFormat="1" customHeight="1" spans="1:15">
      <c r="A352" s="380">
        <v>2139999</v>
      </c>
      <c r="B352" s="151" t="s">
        <v>495</v>
      </c>
      <c r="C352" s="83">
        <v>4438.79</v>
      </c>
      <c r="D352" s="83">
        <v>2525.04</v>
      </c>
      <c r="E352" s="83">
        <f t="shared" si="314"/>
        <v>6963.83</v>
      </c>
      <c r="F352" s="83">
        <v>-386.999696</v>
      </c>
      <c r="G352" s="83"/>
      <c r="H352" s="83">
        <v>-2502.4289</v>
      </c>
      <c r="I352" s="83">
        <v>-57</v>
      </c>
      <c r="J352" s="83">
        <f t="shared" si="315"/>
        <v>-2244.1</v>
      </c>
      <c r="K352" s="83">
        <f t="shared" si="316"/>
        <v>1492.361404</v>
      </c>
      <c r="L352" s="83">
        <v>280.94</v>
      </c>
      <c r="M352" s="83">
        <f t="shared" si="317"/>
        <v>1773.301404</v>
      </c>
      <c r="N352" s="83">
        <f t="shared" si="296"/>
        <v>-74.5355443197206</v>
      </c>
      <c r="O352" s="220" t="s">
        <v>496</v>
      </c>
    </row>
    <row r="353" s="5" customFormat="1" customHeight="1" spans="1:15">
      <c r="A353" s="377">
        <v>214</v>
      </c>
      <c r="B353" s="378" t="s">
        <v>497</v>
      </c>
      <c r="C353" s="379">
        <f t="shared" ref="C353:M353" si="319">C354+C359</f>
        <v>15098.36</v>
      </c>
      <c r="D353" s="379">
        <f t="shared" si="319"/>
        <v>587.6845</v>
      </c>
      <c r="E353" s="379">
        <f t="shared" si="319"/>
        <v>15686.0445</v>
      </c>
      <c r="F353" s="379">
        <f t="shared" si="319"/>
        <v>-0.27</v>
      </c>
      <c r="G353" s="379">
        <f t="shared" si="319"/>
        <v>0</v>
      </c>
      <c r="H353" s="379">
        <f t="shared" si="319"/>
        <v>-8528</v>
      </c>
      <c r="I353" s="379">
        <f t="shared" si="319"/>
        <v>10.57</v>
      </c>
      <c r="J353" s="379">
        <f t="shared" si="319"/>
        <v>-472.7145</v>
      </c>
      <c r="K353" s="379">
        <f t="shared" si="319"/>
        <v>6580.66</v>
      </c>
      <c r="L353" s="379">
        <f t="shared" si="319"/>
        <v>114.97</v>
      </c>
      <c r="M353" s="379">
        <f t="shared" si="319"/>
        <v>6695.63</v>
      </c>
      <c r="N353" s="379">
        <f t="shared" si="296"/>
        <v>-57.3147328505921</v>
      </c>
      <c r="O353" s="387">
        <v>0</v>
      </c>
    </row>
    <row r="354" s="5" customFormat="1" customHeight="1" spans="1:15">
      <c r="A354" s="380">
        <v>21401</v>
      </c>
      <c r="B354" s="151" t="s">
        <v>498</v>
      </c>
      <c r="C354" s="83">
        <f t="shared" ref="C354:M354" si="320">SUM(C355:C358)</f>
        <v>15096.36</v>
      </c>
      <c r="D354" s="83">
        <f t="shared" si="320"/>
        <v>587.6845</v>
      </c>
      <c r="E354" s="83">
        <f t="shared" si="320"/>
        <v>15684.0445</v>
      </c>
      <c r="F354" s="83">
        <f t="shared" si="320"/>
        <v>-0.27</v>
      </c>
      <c r="G354" s="381">
        <f t="shared" si="320"/>
        <v>0</v>
      </c>
      <c r="H354" s="83">
        <f t="shared" si="320"/>
        <v>-8528</v>
      </c>
      <c r="I354" s="83">
        <f t="shared" si="320"/>
        <v>10.57</v>
      </c>
      <c r="J354" s="83">
        <f t="shared" si="320"/>
        <v>-482.7145</v>
      </c>
      <c r="K354" s="83">
        <f t="shared" si="320"/>
        <v>6578.66</v>
      </c>
      <c r="L354" s="83">
        <f t="shared" si="320"/>
        <v>104.97</v>
      </c>
      <c r="M354" s="83">
        <f t="shared" si="320"/>
        <v>6683.63</v>
      </c>
      <c r="N354" s="83">
        <f t="shared" si="296"/>
        <v>-57.3858005822414</v>
      </c>
      <c r="O354" s="388">
        <v>0</v>
      </c>
    </row>
    <row r="355" s="5" customFormat="1" customHeight="1" spans="1:15">
      <c r="A355" s="380">
        <v>2140104</v>
      </c>
      <c r="B355" s="151" t="s">
        <v>499</v>
      </c>
      <c r="C355" s="83">
        <v>15000</v>
      </c>
      <c r="D355" s="83">
        <v>0</v>
      </c>
      <c r="E355" s="83">
        <f t="shared" ref="E355:E358" si="321">C355+D355</f>
        <v>15000</v>
      </c>
      <c r="F355" s="83">
        <v>0</v>
      </c>
      <c r="G355" s="83">
        <v>0</v>
      </c>
      <c r="H355" s="83">
        <v>-8520</v>
      </c>
      <c r="I355" s="83">
        <v>0</v>
      </c>
      <c r="J355" s="83">
        <f t="shared" ref="J355:J358" si="322">L355-D355</f>
        <v>0</v>
      </c>
      <c r="K355" s="83">
        <f t="shared" ref="K355:K358" si="323">C355+F355+G355+H355+I355</f>
        <v>6480</v>
      </c>
      <c r="L355" s="83"/>
      <c r="M355" s="83">
        <f t="shared" ref="M355:M358" si="324">K355+L355</f>
        <v>6480</v>
      </c>
      <c r="N355" s="83">
        <f t="shared" si="296"/>
        <v>-56.8</v>
      </c>
      <c r="O355" s="388" t="s">
        <v>500</v>
      </c>
    </row>
    <row r="356" s="5" customFormat="1" customHeight="1" spans="1:15">
      <c r="A356" s="380">
        <v>2140106</v>
      </c>
      <c r="B356" s="151" t="s">
        <v>501</v>
      </c>
      <c r="C356" s="83">
        <v>18</v>
      </c>
      <c r="D356" s="83">
        <v>0</v>
      </c>
      <c r="E356" s="83">
        <f t="shared" si="321"/>
        <v>18</v>
      </c>
      <c r="F356" s="83">
        <v>0</v>
      </c>
      <c r="G356" s="83">
        <v>0</v>
      </c>
      <c r="H356" s="83">
        <v>0</v>
      </c>
      <c r="I356" s="83">
        <v>0</v>
      </c>
      <c r="J356" s="83">
        <f t="shared" si="322"/>
        <v>0</v>
      </c>
      <c r="K356" s="83">
        <f t="shared" si="323"/>
        <v>18</v>
      </c>
      <c r="L356" s="83"/>
      <c r="M356" s="83">
        <f t="shared" si="324"/>
        <v>18</v>
      </c>
      <c r="N356" s="83">
        <f t="shared" si="296"/>
        <v>0</v>
      </c>
      <c r="O356" s="388">
        <v>0</v>
      </c>
    </row>
    <row r="357" s="5" customFormat="1" customHeight="1" spans="1:15">
      <c r="A357" s="380">
        <v>2140110</v>
      </c>
      <c r="B357" s="151" t="s">
        <v>502</v>
      </c>
      <c r="C357" s="83"/>
      <c r="D357" s="83">
        <v>377.9</v>
      </c>
      <c r="E357" s="83">
        <f t="shared" si="321"/>
        <v>377.9</v>
      </c>
      <c r="F357" s="83"/>
      <c r="G357" s="83"/>
      <c r="H357" s="83"/>
      <c r="I357" s="83"/>
      <c r="J357" s="83">
        <f t="shared" si="322"/>
        <v>-272.93</v>
      </c>
      <c r="K357" s="83">
        <f t="shared" si="323"/>
        <v>0</v>
      </c>
      <c r="L357" s="83">
        <v>104.97</v>
      </c>
      <c r="M357" s="83">
        <f t="shared" si="324"/>
        <v>104.97</v>
      </c>
      <c r="N357" s="83">
        <f t="shared" si="296"/>
        <v>-72.2228102672665</v>
      </c>
      <c r="O357" s="388"/>
    </row>
    <row r="358" s="5" customFormat="1" customHeight="1" spans="1:15">
      <c r="A358" s="380">
        <v>2140199</v>
      </c>
      <c r="B358" s="151" t="s">
        <v>503</v>
      </c>
      <c r="C358" s="83">
        <v>78.36</v>
      </c>
      <c r="D358" s="83">
        <v>209.7845</v>
      </c>
      <c r="E358" s="83">
        <f t="shared" si="321"/>
        <v>288.1445</v>
      </c>
      <c r="F358" s="83">
        <v>-0.27</v>
      </c>
      <c r="G358" s="83">
        <v>0</v>
      </c>
      <c r="H358" s="83">
        <v>-8</v>
      </c>
      <c r="I358" s="83">
        <v>10.57</v>
      </c>
      <c r="J358" s="83">
        <f t="shared" si="322"/>
        <v>-209.7845</v>
      </c>
      <c r="K358" s="83">
        <f t="shared" si="323"/>
        <v>80.66</v>
      </c>
      <c r="L358" s="83"/>
      <c r="M358" s="83">
        <f t="shared" si="324"/>
        <v>80.66</v>
      </c>
      <c r="N358" s="83">
        <f t="shared" si="296"/>
        <v>-72.0071006040372</v>
      </c>
      <c r="O358" s="388" t="s">
        <v>115</v>
      </c>
    </row>
    <row r="359" s="5" customFormat="1" customHeight="1" spans="1:15">
      <c r="A359" s="380">
        <v>21499</v>
      </c>
      <c r="B359" s="151" t="s">
        <v>504</v>
      </c>
      <c r="C359" s="83">
        <f t="shared" ref="C359:M359" si="325">SUM(C360:C361)</f>
        <v>2</v>
      </c>
      <c r="D359" s="83">
        <f t="shared" si="325"/>
        <v>0</v>
      </c>
      <c r="E359" s="83">
        <f t="shared" si="325"/>
        <v>2</v>
      </c>
      <c r="F359" s="83">
        <f t="shared" si="325"/>
        <v>0</v>
      </c>
      <c r="G359" s="381">
        <f t="shared" si="325"/>
        <v>0</v>
      </c>
      <c r="H359" s="83">
        <f t="shared" si="325"/>
        <v>0</v>
      </c>
      <c r="I359" s="83">
        <f t="shared" si="325"/>
        <v>0</v>
      </c>
      <c r="J359" s="83">
        <f t="shared" si="325"/>
        <v>10</v>
      </c>
      <c r="K359" s="83">
        <f t="shared" si="325"/>
        <v>2</v>
      </c>
      <c r="L359" s="83">
        <f t="shared" si="325"/>
        <v>10</v>
      </c>
      <c r="M359" s="83">
        <f t="shared" si="325"/>
        <v>12</v>
      </c>
      <c r="N359" s="83">
        <f t="shared" si="296"/>
        <v>500</v>
      </c>
      <c r="O359" s="388">
        <v>0</v>
      </c>
    </row>
    <row r="360" s="5" customFormat="1" customHeight="1" spans="1:15">
      <c r="A360" s="380">
        <v>2149901</v>
      </c>
      <c r="B360" s="151" t="s">
        <v>505</v>
      </c>
      <c r="C360" s="83"/>
      <c r="D360" s="83"/>
      <c r="E360" s="83">
        <f t="shared" ref="E360:E366" si="326">C360+D360</f>
        <v>0</v>
      </c>
      <c r="F360" s="83"/>
      <c r="G360" s="83"/>
      <c r="H360" s="83"/>
      <c r="I360" s="83"/>
      <c r="J360" s="83">
        <f t="shared" ref="J360:J366" si="327">L360-D360</f>
        <v>10</v>
      </c>
      <c r="K360" s="83">
        <f t="shared" ref="K360:K366" si="328">C360+F360+G360+H360+I360</f>
        <v>0</v>
      </c>
      <c r="L360" s="83">
        <v>10</v>
      </c>
      <c r="M360" s="83">
        <f t="shared" ref="M360:M366" si="329">K360+L360</f>
        <v>10</v>
      </c>
      <c r="N360" s="83"/>
      <c r="O360" s="388"/>
    </row>
    <row r="361" s="5" customFormat="1" customHeight="1" spans="1:15">
      <c r="A361" s="380">
        <v>2149999</v>
      </c>
      <c r="B361" s="151" t="s">
        <v>504</v>
      </c>
      <c r="C361" s="83">
        <v>2</v>
      </c>
      <c r="D361" s="83">
        <v>0</v>
      </c>
      <c r="E361" s="83">
        <f t="shared" si="326"/>
        <v>2</v>
      </c>
      <c r="F361" s="83">
        <v>0</v>
      </c>
      <c r="G361" s="83">
        <v>0</v>
      </c>
      <c r="H361" s="83">
        <v>0</v>
      </c>
      <c r="I361" s="83">
        <v>0</v>
      </c>
      <c r="J361" s="83">
        <f t="shared" si="327"/>
        <v>0</v>
      </c>
      <c r="K361" s="83">
        <f t="shared" si="328"/>
        <v>2</v>
      </c>
      <c r="L361" s="83"/>
      <c r="M361" s="83">
        <f t="shared" si="329"/>
        <v>2</v>
      </c>
      <c r="N361" s="83">
        <f t="shared" si="296"/>
        <v>0</v>
      </c>
      <c r="O361" s="388">
        <v>0</v>
      </c>
    </row>
    <row r="362" s="5" customFormat="1" customHeight="1" spans="1:15">
      <c r="A362" s="377">
        <v>215</v>
      </c>
      <c r="B362" s="378" t="s">
        <v>506</v>
      </c>
      <c r="C362" s="379">
        <f t="shared" ref="C362:M362" si="330">C363+C367+C369</f>
        <v>625.51</v>
      </c>
      <c r="D362" s="379">
        <f t="shared" si="330"/>
        <v>163.55</v>
      </c>
      <c r="E362" s="379">
        <f t="shared" si="330"/>
        <v>789.06</v>
      </c>
      <c r="F362" s="379">
        <f t="shared" si="330"/>
        <v>-35.83</v>
      </c>
      <c r="G362" s="379">
        <f t="shared" si="330"/>
        <v>0</v>
      </c>
      <c r="H362" s="379">
        <f t="shared" si="330"/>
        <v>-28</v>
      </c>
      <c r="I362" s="379">
        <f t="shared" si="330"/>
        <v>54.68</v>
      </c>
      <c r="J362" s="379">
        <f t="shared" si="330"/>
        <v>-163.55</v>
      </c>
      <c r="K362" s="379">
        <f t="shared" si="330"/>
        <v>616.36</v>
      </c>
      <c r="L362" s="379">
        <f t="shared" si="330"/>
        <v>0</v>
      </c>
      <c r="M362" s="379">
        <f t="shared" si="330"/>
        <v>616.36</v>
      </c>
      <c r="N362" s="379">
        <f t="shared" si="296"/>
        <v>-21.8868020175906</v>
      </c>
      <c r="O362" s="387"/>
    </row>
    <row r="363" s="5" customFormat="1" customHeight="1" spans="1:15">
      <c r="A363" s="380">
        <v>21505</v>
      </c>
      <c r="B363" s="151" t="s">
        <v>507</v>
      </c>
      <c r="C363" s="83">
        <f t="shared" ref="C363:M363" si="331">SUM(C364:C366)</f>
        <v>285.59</v>
      </c>
      <c r="D363" s="83">
        <f t="shared" si="331"/>
        <v>18</v>
      </c>
      <c r="E363" s="83">
        <f t="shared" si="331"/>
        <v>303.59</v>
      </c>
      <c r="F363" s="83">
        <f t="shared" si="331"/>
        <v>-35.83</v>
      </c>
      <c r="G363" s="381">
        <f t="shared" si="331"/>
        <v>0</v>
      </c>
      <c r="H363" s="83">
        <f t="shared" si="331"/>
        <v>-28</v>
      </c>
      <c r="I363" s="83">
        <f t="shared" si="331"/>
        <v>54.68</v>
      </c>
      <c r="J363" s="83">
        <f t="shared" si="331"/>
        <v>-18</v>
      </c>
      <c r="K363" s="83">
        <f t="shared" si="331"/>
        <v>276.44</v>
      </c>
      <c r="L363" s="83">
        <f t="shared" si="331"/>
        <v>0</v>
      </c>
      <c r="M363" s="83">
        <f t="shared" si="331"/>
        <v>276.44</v>
      </c>
      <c r="N363" s="83">
        <f t="shared" si="296"/>
        <v>-8.94298231167034</v>
      </c>
      <c r="O363" s="388"/>
    </row>
    <row r="364" s="5" customFormat="1" customHeight="1" spans="1:15">
      <c r="A364" s="380">
        <v>2150501</v>
      </c>
      <c r="B364" s="151" t="s">
        <v>94</v>
      </c>
      <c r="C364" s="83">
        <v>75.15</v>
      </c>
      <c r="D364" s="83">
        <v>0</v>
      </c>
      <c r="E364" s="83">
        <f t="shared" si="326"/>
        <v>75.15</v>
      </c>
      <c r="F364" s="83">
        <v>-1.72</v>
      </c>
      <c r="G364" s="83">
        <v>0</v>
      </c>
      <c r="H364" s="83">
        <v>0</v>
      </c>
      <c r="I364" s="83">
        <v>20.67</v>
      </c>
      <c r="J364" s="83">
        <f t="shared" si="327"/>
        <v>0</v>
      </c>
      <c r="K364" s="83">
        <f t="shared" si="328"/>
        <v>94.1</v>
      </c>
      <c r="L364" s="83"/>
      <c r="M364" s="83">
        <f t="shared" si="329"/>
        <v>94.1</v>
      </c>
      <c r="N364" s="83">
        <f t="shared" si="296"/>
        <v>25.2162341982701</v>
      </c>
      <c r="O364" s="388" t="s">
        <v>115</v>
      </c>
    </row>
    <row r="365" s="5" customFormat="1" customHeight="1" spans="1:15">
      <c r="A365" s="380">
        <v>2150550</v>
      </c>
      <c r="B365" s="151" t="s">
        <v>125</v>
      </c>
      <c r="C365" s="83">
        <v>128.44</v>
      </c>
      <c r="D365" s="83">
        <v>0</v>
      </c>
      <c r="E365" s="83">
        <f t="shared" si="326"/>
        <v>128.44</v>
      </c>
      <c r="F365" s="83">
        <v>-31.11</v>
      </c>
      <c r="G365" s="83">
        <v>0</v>
      </c>
      <c r="H365" s="83">
        <v>0</v>
      </c>
      <c r="I365" s="83">
        <v>16.1</v>
      </c>
      <c r="J365" s="83">
        <f t="shared" si="327"/>
        <v>0</v>
      </c>
      <c r="K365" s="83">
        <f t="shared" si="328"/>
        <v>113.43</v>
      </c>
      <c r="L365" s="83"/>
      <c r="M365" s="83">
        <f t="shared" si="329"/>
        <v>113.43</v>
      </c>
      <c r="N365" s="83">
        <f t="shared" si="296"/>
        <v>-11.6863905325444</v>
      </c>
      <c r="O365" s="388" t="s">
        <v>115</v>
      </c>
    </row>
    <row r="366" s="5" customFormat="1" customHeight="1" spans="1:15">
      <c r="A366" s="380">
        <v>2150599</v>
      </c>
      <c r="B366" s="151" t="s">
        <v>508</v>
      </c>
      <c r="C366" s="83">
        <v>82</v>
      </c>
      <c r="D366" s="83">
        <v>18</v>
      </c>
      <c r="E366" s="83">
        <f t="shared" si="326"/>
        <v>100</v>
      </c>
      <c r="F366" s="83">
        <v>-3</v>
      </c>
      <c r="G366" s="83"/>
      <c r="H366" s="83">
        <v>-28</v>
      </c>
      <c r="I366" s="83">
        <v>17.91</v>
      </c>
      <c r="J366" s="83">
        <f t="shared" si="327"/>
        <v>-18</v>
      </c>
      <c r="K366" s="83">
        <f t="shared" si="328"/>
        <v>68.91</v>
      </c>
      <c r="L366" s="83"/>
      <c r="M366" s="83">
        <f t="shared" si="329"/>
        <v>68.91</v>
      </c>
      <c r="N366" s="83">
        <f t="shared" si="296"/>
        <v>-31.09</v>
      </c>
      <c r="O366" s="388" t="s">
        <v>509</v>
      </c>
    </row>
    <row r="367" s="5" customFormat="1" customHeight="1" spans="1:15">
      <c r="A367" s="380">
        <v>21508</v>
      </c>
      <c r="B367" s="151" t="s">
        <v>510</v>
      </c>
      <c r="C367" s="83">
        <f t="shared" ref="C367:M367" si="332">SUM(C368)</f>
        <v>320</v>
      </c>
      <c r="D367" s="83">
        <f t="shared" si="332"/>
        <v>145.55</v>
      </c>
      <c r="E367" s="83">
        <f t="shared" si="332"/>
        <v>465.55</v>
      </c>
      <c r="F367" s="83">
        <f t="shared" si="332"/>
        <v>0</v>
      </c>
      <c r="G367" s="381">
        <f t="shared" si="332"/>
        <v>0</v>
      </c>
      <c r="H367" s="83">
        <f t="shared" si="332"/>
        <v>0</v>
      </c>
      <c r="I367" s="83">
        <f t="shared" si="332"/>
        <v>0</v>
      </c>
      <c r="J367" s="83">
        <f t="shared" si="332"/>
        <v>-145.55</v>
      </c>
      <c r="K367" s="83">
        <f t="shared" si="332"/>
        <v>320</v>
      </c>
      <c r="L367" s="83">
        <f t="shared" si="332"/>
        <v>0</v>
      </c>
      <c r="M367" s="83">
        <f t="shared" si="332"/>
        <v>320</v>
      </c>
      <c r="N367" s="83">
        <f t="shared" si="296"/>
        <v>-31.2640962302653</v>
      </c>
      <c r="O367" s="388">
        <v>0</v>
      </c>
    </row>
    <row r="368" s="5" customFormat="1" customHeight="1" spans="1:15">
      <c r="A368" s="380">
        <v>2150805</v>
      </c>
      <c r="B368" s="151" t="s">
        <v>511</v>
      </c>
      <c r="C368" s="83">
        <v>320</v>
      </c>
      <c r="D368" s="83">
        <v>145.55</v>
      </c>
      <c r="E368" s="83">
        <f t="shared" ref="E368:E373" si="333">C368+D368</f>
        <v>465.55</v>
      </c>
      <c r="F368" s="83">
        <v>0</v>
      </c>
      <c r="G368" s="83">
        <v>0</v>
      </c>
      <c r="H368" s="83">
        <v>0</v>
      </c>
      <c r="I368" s="83">
        <v>0</v>
      </c>
      <c r="J368" s="83">
        <f t="shared" ref="J368:J373" si="334">L368-D368</f>
        <v>-145.55</v>
      </c>
      <c r="K368" s="83">
        <f t="shared" ref="K368:K373" si="335">C368+F368+G368+H368+I368</f>
        <v>320</v>
      </c>
      <c r="L368" s="83"/>
      <c r="M368" s="83">
        <f t="shared" ref="M368:M373" si="336">K368+L368</f>
        <v>320</v>
      </c>
      <c r="N368" s="83">
        <f t="shared" si="296"/>
        <v>-31.2640962302653</v>
      </c>
      <c r="O368" s="388">
        <v>0</v>
      </c>
    </row>
    <row r="369" s="5" customFormat="1" customHeight="1" spans="1:15">
      <c r="A369" s="380">
        <v>21599</v>
      </c>
      <c r="B369" s="151" t="s">
        <v>512</v>
      </c>
      <c r="C369" s="83">
        <f t="shared" ref="C369:M369" si="337">SUM(C370)</f>
        <v>19.92</v>
      </c>
      <c r="D369" s="83">
        <f t="shared" si="337"/>
        <v>0</v>
      </c>
      <c r="E369" s="83">
        <f t="shared" si="337"/>
        <v>19.92</v>
      </c>
      <c r="F369" s="83">
        <f t="shared" si="337"/>
        <v>0</v>
      </c>
      <c r="G369" s="381">
        <f t="shared" si="337"/>
        <v>0</v>
      </c>
      <c r="H369" s="83">
        <f t="shared" si="337"/>
        <v>0</v>
      </c>
      <c r="I369" s="83">
        <f t="shared" si="337"/>
        <v>0</v>
      </c>
      <c r="J369" s="83">
        <f t="shared" si="337"/>
        <v>0</v>
      </c>
      <c r="K369" s="83">
        <f t="shared" si="337"/>
        <v>19.92</v>
      </c>
      <c r="L369" s="83">
        <f t="shared" si="337"/>
        <v>0</v>
      </c>
      <c r="M369" s="83">
        <f t="shared" si="337"/>
        <v>19.92</v>
      </c>
      <c r="N369" s="83">
        <f t="shared" si="296"/>
        <v>0</v>
      </c>
      <c r="O369" s="388"/>
    </row>
    <row r="370" s="5" customFormat="1" customHeight="1" spans="1:15">
      <c r="A370" s="380">
        <v>2159999</v>
      </c>
      <c r="B370" s="151" t="s">
        <v>512</v>
      </c>
      <c r="C370" s="83">
        <v>19.92</v>
      </c>
      <c r="D370" s="83">
        <v>0</v>
      </c>
      <c r="E370" s="83">
        <f t="shared" si="333"/>
        <v>19.92</v>
      </c>
      <c r="F370" s="83">
        <v>0</v>
      </c>
      <c r="G370" s="83">
        <v>0</v>
      </c>
      <c r="H370" s="83">
        <v>0</v>
      </c>
      <c r="I370" s="83">
        <v>0</v>
      </c>
      <c r="J370" s="83">
        <f t="shared" si="334"/>
        <v>0</v>
      </c>
      <c r="K370" s="83">
        <f t="shared" si="335"/>
        <v>19.92</v>
      </c>
      <c r="L370" s="83"/>
      <c r="M370" s="83">
        <f t="shared" si="336"/>
        <v>19.92</v>
      </c>
      <c r="N370" s="83">
        <f t="shared" si="296"/>
        <v>0</v>
      </c>
      <c r="O370" s="388"/>
    </row>
    <row r="371" s="5" customFormat="1" customHeight="1" spans="1:15">
      <c r="A371" s="377">
        <v>216</v>
      </c>
      <c r="B371" s="378" t="s">
        <v>513</v>
      </c>
      <c r="C371" s="379">
        <f t="shared" ref="C371:M371" si="338">C372+C374+C376</f>
        <v>289.43</v>
      </c>
      <c r="D371" s="379">
        <f t="shared" si="338"/>
        <v>372.851103</v>
      </c>
      <c r="E371" s="379">
        <f t="shared" si="338"/>
        <v>662.281103</v>
      </c>
      <c r="F371" s="379">
        <f t="shared" si="338"/>
        <v>-13.34</v>
      </c>
      <c r="G371" s="379">
        <f t="shared" si="338"/>
        <v>0</v>
      </c>
      <c r="H371" s="379">
        <f t="shared" si="338"/>
        <v>0</v>
      </c>
      <c r="I371" s="379">
        <f t="shared" si="338"/>
        <v>16.15</v>
      </c>
      <c r="J371" s="379">
        <f t="shared" si="338"/>
        <v>-256.021103</v>
      </c>
      <c r="K371" s="379">
        <f t="shared" si="338"/>
        <v>292.24</v>
      </c>
      <c r="L371" s="379">
        <f t="shared" si="338"/>
        <v>116.83</v>
      </c>
      <c r="M371" s="379">
        <f t="shared" si="338"/>
        <v>409.07</v>
      </c>
      <c r="N371" s="379">
        <f t="shared" si="296"/>
        <v>-38.2331764945436</v>
      </c>
      <c r="O371" s="387">
        <v>0</v>
      </c>
    </row>
    <row r="372" s="5" customFormat="1" customHeight="1" spans="1:15">
      <c r="A372" s="380">
        <v>21602</v>
      </c>
      <c r="B372" s="151" t="s">
        <v>514</v>
      </c>
      <c r="C372" s="83">
        <f t="shared" ref="C372:M372" si="339">SUM(C373)</f>
        <v>120.48</v>
      </c>
      <c r="D372" s="83">
        <f t="shared" si="339"/>
        <v>23.94</v>
      </c>
      <c r="E372" s="83">
        <f t="shared" si="339"/>
        <v>144.42</v>
      </c>
      <c r="F372" s="83">
        <f t="shared" si="339"/>
        <v>-13.3</v>
      </c>
      <c r="G372" s="381">
        <f t="shared" si="339"/>
        <v>0</v>
      </c>
      <c r="H372" s="83">
        <f t="shared" si="339"/>
        <v>0</v>
      </c>
      <c r="I372" s="83">
        <f t="shared" si="339"/>
        <v>16.15</v>
      </c>
      <c r="J372" s="83">
        <f t="shared" si="339"/>
        <v>0</v>
      </c>
      <c r="K372" s="83">
        <f t="shared" si="339"/>
        <v>123.33</v>
      </c>
      <c r="L372" s="83">
        <f t="shared" si="339"/>
        <v>23.94</v>
      </c>
      <c r="M372" s="83">
        <f t="shared" si="339"/>
        <v>147.27</v>
      </c>
      <c r="N372" s="83">
        <f t="shared" si="296"/>
        <v>1.97341088491898</v>
      </c>
      <c r="O372" s="220"/>
    </row>
    <row r="373" s="5" customFormat="1" customHeight="1" spans="1:15">
      <c r="A373" s="380">
        <v>2160299</v>
      </c>
      <c r="B373" s="151" t="s">
        <v>515</v>
      </c>
      <c r="C373" s="83">
        <v>120.48</v>
      </c>
      <c r="D373" s="83">
        <v>23.94</v>
      </c>
      <c r="E373" s="83">
        <f t="shared" si="333"/>
        <v>144.42</v>
      </c>
      <c r="F373" s="83">
        <v>-13.3</v>
      </c>
      <c r="G373" s="83"/>
      <c r="H373" s="83">
        <v>0</v>
      </c>
      <c r="I373" s="83">
        <v>16.15</v>
      </c>
      <c r="J373" s="83">
        <f t="shared" si="334"/>
        <v>0</v>
      </c>
      <c r="K373" s="83">
        <f t="shared" si="335"/>
        <v>123.33</v>
      </c>
      <c r="L373" s="83">
        <v>23.94</v>
      </c>
      <c r="M373" s="83">
        <f t="shared" si="336"/>
        <v>147.27</v>
      </c>
      <c r="N373" s="83">
        <f t="shared" si="296"/>
        <v>1.97341088491898</v>
      </c>
      <c r="O373" s="220" t="s">
        <v>115</v>
      </c>
    </row>
    <row r="374" s="5" customFormat="1" customHeight="1" spans="1:15">
      <c r="A374" s="380">
        <v>21606</v>
      </c>
      <c r="B374" s="151" t="s">
        <v>516</v>
      </c>
      <c r="C374" s="83">
        <f t="shared" ref="C374:M374" si="340">SUM(C375)</f>
        <v>151.95</v>
      </c>
      <c r="D374" s="83">
        <f t="shared" si="340"/>
        <v>348.911103</v>
      </c>
      <c r="E374" s="83">
        <f t="shared" si="340"/>
        <v>500.861103</v>
      </c>
      <c r="F374" s="83">
        <f t="shared" si="340"/>
        <v>0</v>
      </c>
      <c r="G374" s="381">
        <f t="shared" si="340"/>
        <v>0</v>
      </c>
      <c r="H374" s="83">
        <f t="shared" si="340"/>
        <v>0</v>
      </c>
      <c r="I374" s="83">
        <f t="shared" si="340"/>
        <v>0</v>
      </c>
      <c r="J374" s="83">
        <f t="shared" si="340"/>
        <v>-256.021103</v>
      </c>
      <c r="K374" s="83">
        <f t="shared" si="340"/>
        <v>151.95</v>
      </c>
      <c r="L374" s="83">
        <f t="shared" si="340"/>
        <v>92.89</v>
      </c>
      <c r="M374" s="83">
        <f t="shared" si="340"/>
        <v>244.84</v>
      </c>
      <c r="N374" s="83">
        <f t="shared" si="296"/>
        <v>-51.116187994339</v>
      </c>
      <c r="O374" s="220"/>
    </row>
    <row r="375" s="5" customFormat="1" customHeight="1" spans="1:15">
      <c r="A375" s="380">
        <v>2160699</v>
      </c>
      <c r="B375" s="151" t="s">
        <v>517</v>
      </c>
      <c r="C375" s="83">
        <v>151.95</v>
      </c>
      <c r="D375" s="83">
        <v>348.911103</v>
      </c>
      <c r="E375" s="83">
        <f t="shared" ref="E375:E380" si="341">C375+D375</f>
        <v>500.861103</v>
      </c>
      <c r="F375" s="83">
        <v>0</v>
      </c>
      <c r="G375" s="83"/>
      <c r="H375" s="83">
        <v>0</v>
      </c>
      <c r="I375" s="83">
        <v>0</v>
      </c>
      <c r="J375" s="83">
        <f t="shared" ref="J375:J380" si="342">L375-D375</f>
        <v>-256.021103</v>
      </c>
      <c r="K375" s="83">
        <f t="shared" ref="K375:K380" si="343">C375+F375+G375+H375+I375</f>
        <v>151.95</v>
      </c>
      <c r="L375" s="83">
        <v>92.89</v>
      </c>
      <c r="M375" s="83">
        <f t="shared" ref="M375:M380" si="344">K375+L375</f>
        <v>244.84</v>
      </c>
      <c r="N375" s="83">
        <f t="shared" si="296"/>
        <v>-51.116187994339</v>
      </c>
      <c r="O375" s="388"/>
    </row>
    <row r="376" s="5" customFormat="1" customHeight="1" spans="1:15">
      <c r="A376" s="380">
        <v>21699</v>
      </c>
      <c r="B376" s="151" t="s">
        <v>518</v>
      </c>
      <c r="C376" s="83">
        <f t="shared" ref="C376:M376" si="345">SUM(C377)</f>
        <v>17</v>
      </c>
      <c r="D376" s="83">
        <f t="shared" si="345"/>
        <v>0</v>
      </c>
      <c r="E376" s="83">
        <f t="shared" si="345"/>
        <v>17</v>
      </c>
      <c r="F376" s="83">
        <f t="shared" si="345"/>
        <v>-0.04</v>
      </c>
      <c r="G376" s="381">
        <f t="shared" si="345"/>
        <v>0</v>
      </c>
      <c r="H376" s="83">
        <f t="shared" si="345"/>
        <v>0</v>
      </c>
      <c r="I376" s="83">
        <f t="shared" si="345"/>
        <v>0</v>
      </c>
      <c r="J376" s="83">
        <f t="shared" si="345"/>
        <v>0</v>
      </c>
      <c r="K376" s="83">
        <f t="shared" si="345"/>
        <v>16.96</v>
      </c>
      <c r="L376" s="83">
        <f t="shared" si="345"/>
        <v>0</v>
      </c>
      <c r="M376" s="83">
        <f t="shared" si="345"/>
        <v>16.96</v>
      </c>
      <c r="N376" s="83">
        <f t="shared" si="296"/>
        <v>-0.235294117647054</v>
      </c>
      <c r="O376" s="220"/>
    </row>
    <row r="377" s="5" customFormat="1" customHeight="1" spans="1:15">
      <c r="A377" s="380">
        <v>2169999</v>
      </c>
      <c r="B377" s="151" t="s">
        <v>518</v>
      </c>
      <c r="C377" s="83">
        <v>17</v>
      </c>
      <c r="D377" s="83">
        <v>0</v>
      </c>
      <c r="E377" s="83">
        <f t="shared" si="341"/>
        <v>17</v>
      </c>
      <c r="F377" s="83">
        <v>-0.04</v>
      </c>
      <c r="G377" s="83"/>
      <c r="H377" s="83">
        <v>0</v>
      </c>
      <c r="I377" s="83">
        <v>0</v>
      </c>
      <c r="J377" s="83">
        <f t="shared" si="342"/>
        <v>0</v>
      </c>
      <c r="K377" s="83">
        <f t="shared" si="343"/>
        <v>16.96</v>
      </c>
      <c r="L377" s="83"/>
      <c r="M377" s="83">
        <f t="shared" si="344"/>
        <v>16.96</v>
      </c>
      <c r="N377" s="83">
        <f t="shared" si="296"/>
        <v>-0.235294117647054</v>
      </c>
      <c r="O377" s="220"/>
    </row>
    <row r="378" s="5" customFormat="1" customHeight="1" spans="1:15">
      <c r="A378" s="377">
        <v>217</v>
      </c>
      <c r="B378" s="378" t="s">
        <v>519</v>
      </c>
      <c r="C378" s="379">
        <f t="shared" ref="C378:M378" si="346">C379+C381</f>
        <v>55</v>
      </c>
      <c r="D378" s="379">
        <f t="shared" si="346"/>
        <v>5</v>
      </c>
      <c r="E378" s="379">
        <f t="shared" si="346"/>
        <v>60</v>
      </c>
      <c r="F378" s="379">
        <f t="shared" si="346"/>
        <v>-50</v>
      </c>
      <c r="G378" s="379">
        <f t="shared" si="346"/>
        <v>0</v>
      </c>
      <c r="H378" s="379">
        <f t="shared" si="346"/>
        <v>0</v>
      </c>
      <c r="I378" s="379">
        <f t="shared" si="346"/>
        <v>0</v>
      </c>
      <c r="J378" s="379">
        <f t="shared" si="346"/>
        <v>0</v>
      </c>
      <c r="K378" s="379">
        <f t="shared" si="346"/>
        <v>5</v>
      </c>
      <c r="L378" s="379">
        <f t="shared" si="346"/>
        <v>5</v>
      </c>
      <c r="M378" s="379">
        <f t="shared" si="346"/>
        <v>10</v>
      </c>
      <c r="N378" s="379">
        <f t="shared" si="296"/>
        <v>-83.3333333333333</v>
      </c>
      <c r="O378" s="387"/>
    </row>
    <row r="379" s="5" customFormat="1" customHeight="1" spans="1:15">
      <c r="A379" s="380">
        <v>21702</v>
      </c>
      <c r="B379" s="151" t="s">
        <v>520</v>
      </c>
      <c r="C379" s="83">
        <f t="shared" ref="C379:M379" si="347">SUM(C380)</f>
        <v>50</v>
      </c>
      <c r="D379" s="83">
        <f t="shared" si="347"/>
        <v>0</v>
      </c>
      <c r="E379" s="83">
        <f t="shared" si="347"/>
        <v>50</v>
      </c>
      <c r="F379" s="83">
        <f t="shared" si="347"/>
        <v>-50</v>
      </c>
      <c r="G379" s="381">
        <f t="shared" si="347"/>
        <v>0</v>
      </c>
      <c r="H379" s="83">
        <f t="shared" si="347"/>
        <v>0</v>
      </c>
      <c r="I379" s="83">
        <f t="shared" si="347"/>
        <v>0</v>
      </c>
      <c r="J379" s="83">
        <f t="shared" si="347"/>
        <v>0</v>
      </c>
      <c r="K379" s="83">
        <f t="shared" si="347"/>
        <v>0</v>
      </c>
      <c r="L379" s="83">
        <f t="shared" si="347"/>
        <v>0</v>
      </c>
      <c r="M379" s="83">
        <f t="shared" si="347"/>
        <v>0</v>
      </c>
      <c r="N379" s="83">
        <f t="shared" si="296"/>
        <v>-100</v>
      </c>
      <c r="O379" s="388"/>
    </row>
    <row r="380" s="5" customFormat="1" customHeight="1" spans="1:15">
      <c r="A380" s="380">
        <v>2170299</v>
      </c>
      <c r="B380" s="151" t="s">
        <v>521</v>
      </c>
      <c r="C380" s="83">
        <v>50</v>
      </c>
      <c r="D380" s="83">
        <v>0</v>
      </c>
      <c r="E380" s="83">
        <f t="shared" si="341"/>
        <v>50</v>
      </c>
      <c r="F380" s="83">
        <v>-50</v>
      </c>
      <c r="G380" s="83">
        <v>0</v>
      </c>
      <c r="H380" s="83">
        <v>0</v>
      </c>
      <c r="I380" s="83">
        <v>0</v>
      </c>
      <c r="J380" s="83">
        <f t="shared" si="342"/>
        <v>0</v>
      </c>
      <c r="K380" s="83">
        <f t="shared" si="343"/>
        <v>0</v>
      </c>
      <c r="L380" s="83"/>
      <c r="M380" s="83">
        <f t="shared" si="344"/>
        <v>0</v>
      </c>
      <c r="N380" s="83">
        <f t="shared" si="296"/>
        <v>-100</v>
      </c>
      <c r="O380" s="388" t="s">
        <v>522</v>
      </c>
    </row>
    <row r="381" s="5" customFormat="1" customHeight="1" spans="1:15">
      <c r="A381" s="380">
        <v>21799</v>
      </c>
      <c r="B381" s="151" t="s">
        <v>523</v>
      </c>
      <c r="C381" s="83">
        <f t="shared" ref="C381:M381" si="348">SUM(C382)</f>
        <v>5</v>
      </c>
      <c r="D381" s="83">
        <f t="shared" si="348"/>
        <v>5</v>
      </c>
      <c r="E381" s="83">
        <f t="shared" si="348"/>
        <v>10</v>
      </c>
      <c r="F381" s="83">
        <f t="shared" si="348"/>
        <v>0</v>
      </c>
      <c r="G381" s="381">
        <f t="shared" si="348"/>
        <v>0</v>
      </c>
      <c r="H381" s="83">
        <f t="shared" si="348"/>
        <v>0</v>
      </c>
      <c r="I381" s="83">
        <f t="shared" si="348"/>
        <v>0</v>
      </c>
      <c r="J381" s="83">
        <f t="shared" si="348"/>
        <v>0</v>
      </c>
      <c r="K381" s="83">
        <f t="shared" si="348"/>
        <v>5</v>
      </c>
      <c r="L381" s="83">
        <f t="shared" si="348"/>
        <v>5</v>
      </c>
      <c r="M381" s="83">
        <f t="shared" si="348"/>
        <v>10</v>
      </c>
      <c r="N381" s="83">
        <f t="shared" si="296"/>
        <v>0</v>
      </c>
      <c r="O381" s="220"/>
    </row>
    <row r="382" s="5" customFormat="1" customHeight="1" spans="1:15">
      <c r="A382" s="380">
        <v>2179999</v>
      </c>
      <c r="B382" s="151" t="s">
        <v>523</v>
      </c>
      <c r="C382" s="83">
        <v>5</v>
      </c>
      <c r="D382" s="83">
        <v>5</v>
      </c>
      <c r="E382" s="83">
        <f t="shared" ref="E382:E389" si="349">C382+D382</f>
        <v>10</v>
      </c>
      <c r="F382" s="83">
        <v>0</v>
      </c>
      <c r="G382" s="83"/>
      <c r="H382" s="83">
        <v>0</v>
      </c>
      <c r="I382" s="83">
        <v>0</v>
      </c>
      <c r="J382" s="83">
        <f t="shared" ref="J382:J389" si="350">L382-D382</f>
        <v>0</v>
      </c>
      <c r="K382" s="83">
        <f t="shared" ref="K382:K389" si="351">C382+F382+G382+H382+I382</f>
        <v>5</v>
      </c>
      <c r="L382" s="83">
        <v>5</v>
      </c>
      <c r="M382" s="83">
        <f t="shared" ref="M382:M389" si="352">K382+L382</f>
        <v>10</v>
      </c>
      <c r="N382" s="83">
        <f t="shared" si="296"/>
        <v>0</v>
      </c>
      <c r="O382" s="220"/>
    </row>
    <row r="383" s="5" customFormat="1" customHeight="1" spans="1:15">
      <c r="A383" s="377">
        <v>220</v>
      </c>
      <c r="B383" s="378" t="s">
        <v>524</v>
      </c>
      <c r="C383" s="379">
        <f t="shared" ref="C383:M383" si="353">C384</f>
        <v>1772.37</v>
      </c>
      <c r="D383" s="379">
        <f t="shared" si="353"/>
        <v>75</v>
      </c>
      <c r="E383" s="379">
        <f t="shared" si="353"/>
        <v>1847.37</v>
      </c>
      <c r="F383" s="379">
        <f t="shared" si="353"/>
        <v>-252.543437</v>
      </c>
      <c r="G383" s="379">
        <f t="shared" si="353"/>
        <v>0</v>
      </c>
      <c r="H383" s="379">
        <f t="shared" si="353"/>
        <v>-101.040843</v>
      </c>
      <c r="I383" s="379">
        <f t="shared" si="353"/>
        <v>143.159364</v>
      </c>
      <c r="J383" s="379">
        <f t="shared" si="353"/>
        <v>-47.74</v>
      </c>
      <c r="K383" s="379">
        <f t="shared" si="353"/>
        <v>1561.945084</v>
      </c>
      <c r="L383" s="379">
        <f t="shared" si="353"/>
        <v>27.26</v>
      </c>
      <c r="M383" s="379">
        <f t="shared" si="353"/>
        <v>1589.205084</v>
      </c>
      <c r="N383" s="379">
        <f t="shared" si="296"/>
        <v>-13.9747270985239</v>
      </c>
      <c r="O383" s="387"/>
    </row>
    <row r="384" s="5" customFormat="1" customHeight="1" spans="1:15">
      <c r="A384" s="380">
        <v>22001</v>
      </c>
      <c r="B384" s="151" t="s">
        <v>525</v>
      </c>
      <c r="C384" s="83">
        <f t="shared" ref="C384:M384" si="354">SUM(C385:C389)</f>
        <v>1772.37</v>
      </c>
      <c r="D384" s="83">
        <f t="shared" si="354"/>
        <v>75</v>
      </c>
      <c r="E384" s="83">
        <f t="shared" si="354"/>
        <v>1847.37</v>
      </c>
      <c r="F384" s="83">
        <f t="shared" si="354"/>
        <v>-252.543437</v>
      </c>
      <c r="G384" s="381">
        <f t="shared" si="354"/>
        <v>0</v>
      </c>
      <c r="H384" s="83">
        <f t="shared" si="354"/>
        <v>-101.040843</v>
      </c>
      <c r="I384" s="83">
        <f t="shared" si="354"/>
        <v>143.159364</v>
      </c>
      <c r="J384" s="83">
        <f t="shared" si="354"/>
        <v>-47.74</v>
      </c>
      <c r="K384" s="83">
        <f t="shared" si="354"/>
        <v>1561.945084</v>
      </c>
      <c r="L384" s="83">
        <f t="shared" si="354"/>
        <v>27.26</v>
      </c>
      <c r="M384" s="83">
        <f t="shared" si="354"/>
        <v>1589.205084</v>
      </c>
      <c r="N384" s="83">
        <f t="shared" si="296"/>
        <v>-13.9747270985239</v>
      </c>
      <c r="O384" s="388"/>
    </row>
    <row r="385" s="5" customFormat="1" customHeight="1" spans="1:15">
      <c r="A385" s="380">
        <v>2200101</v>
      </c>
      <c r="B385" s="151" t="s">
        <v>94</v>
      </c>
      <c r="C385" s="83">
        <v>486.68</v>
      </c>
      <c r="D385" s="83">
        <v>0</v>
      </c>
      <c r="E385" s="83">
        <f t="shared" si="349"/>
        <v>486.68</v>
      </c>
      <c r="F385" s="83">
        <v>-42.13403</v>
      </c>
      <c r="G385" s="83">
        <v>0</v>
      </c>
      <c r="H385" s="83">
        <v>0</v>
      </c>
      <c r="I385" s="83">
        <v>35.122</v>
      </c>
      <c r="J385" s="83">
        <f t="shared" si="350"/>
        <v>0</v>
      </c>
      <c r="K385" s="83">
        <f t="shared" si="351"/>
        <v>479.66797</v>
      </c>
      <c r="L385" s="83"/>
      <c r="M385" s="83">
        <f t="shared" si="352"/>
        <v>479.66797</v>
      </c>
      <c r="N385" s="83">
        <f t="shared" si="296"/>
        <v>-1.44078860853127</v>
      </c>
      <c r="O385" s="388" t="s">
        <v>115</v>
      </c>
    </row>
    <row r="386" s="5" customFormat="1" customHeight="1" spans="1:15">
      <c r="A386" s="380">
        <v>2200106</v>
      </c>
      <c r="B386" s="151" t="s">
        <v>526</v>
      </c>
      <c r="C386" s="83">
        <v>384.72</v>
      </c>
      <c r="D386" s="83">
        <v>75</v>
      </c>
      <c r="E386" s="83">
        <f t="shared" si="349"/>
        <v>459.72</v>
      </c>
      <c r="F386" s="83">
        <v>0</v>
      </c>
      <c r="G386" s="83">
        <v>0</v>
      </c>
      <c r="H386" s="83">
        <v>-101.040843</v>
      </c>
      <c r="I386" s="83">
        <v>0</v>
      </c>
      <c r="J386" s="83">
        <f t="shared" si="350"/>
        <v>-47.74</v>
      </c>
      <c r="K386" s="83">
        <f t="shared" si="351"/>
        <v>283.679157</v>
      </c>
      <c r="L386" s="83">
        <v>27.26</v>
      </c>
      <c r="M386" s="83">
        <f t="shared" si="352"/>
        <v>310.939157</v>
      </c>
      <c r="N386" s="83">
        <f t="shared" si="296"/>
        <v>-32.3633609588445</v>
      </c>
      <c r="O386" s="388" t="s">
        <v>527</v>
      </c>
    </row>
    <row r="387" s="5" customFormat="1" customHeight="1" spans="1:15">
      <c r="A387" s="380">
        <v>2200120</v>
      </c>
      <c r="B387" s="151" t="s">
        <v>528</v>
      </c>
      <c r="C387" s="83">
        <v>52.78</v>
      </c>
      <c r="D387" s="83">
        <v>0</v>
      </c>
      <c r="E387" s="83">
        <f t="shared" si="349"/>
        <v>52.78</v>
      </c>
      <c r="F387" s="83">
        <v>-52.78</v>
      </c>
      <c r="G387" s="83"/>
      <c r="H387" s="83">
        <v>0</v>
      </c>
      <c r="I387" s="83">
        <v>0</v>
      </c>
      <c r="J387" s="83">
        <f t="shared" si="350"/>
        <v>0</v>
      </c>
      <c r="K387" s="83">
        <f t="shared" si="351"/>
        <v>0</v>
      </c>
      <c r="L387" s="83"/>
      <c r="M387" s="83">
        <f t="shared" si="352"/>
        <v>0</v>
      </c>
      <c r="N387" s="83">
        <f t="shared" si="296"/>
        <v>-100</v>
      </c>
      <c r="O387" s="220" t="s">
        <v>529</v>
      </c>
    </row>
    <row r="388" s="5" customFormat="1" customHeight="1" spans="1:15">
      <c r="A388" s="380">
        <v>2200150</v>
      </c>
      <c r="B388" s="151" t="s">
        <v>125</v>
      </c>
      <c r="C388" s="83">
        <v>508.19</v>
      </c>
      <c r="D388" s="83">
        <v>0</v>
      </c>
      <c r="E388" s="83">
        <f t="shared" si="349"/>
        <v>508.19</v>
      </c>
      <c r="F388" s="83">
        <v>-45.26626</v>
      </c>
      <c r="G388" s="83">
        <v>0</v>
      </c>
      <c r="H388" s="83">
        <v>0</v>
      </c>
      <c r="I388" s="83">
        <v>108.037364</v>
      </c>
      <c r="J388" s="83">
        <f t="shared" si="350"/>
        <v>0</v>
      </c>
      <c r="K388" s="83">
        <f t="shared" si="351"/>
        <v>570.961104</v>
      </c>
      <c r="L388" s="83"/>
      <c r="M388" s="83">
        <f t="shared" si="352"/>
        <v>570.961104</v>
      </c>
      <c r="N388" s="83">
        <f t="shared" si="296"/>
        <v>12.3518967315374</v>
      </c>
      <c r="O388" s="388" t="s">
        <v>115</v>
      </c>
    </row>
    <row r="389" s="5" customFormat="1" customHeight="1" spans="1:15">
      <c r="A389" s="380">
        <v>2200199</v>
      </c>
      <c r="B389" s="151" t="s">
        <v>530</v>
      </c>
      <c r="C389" s="83">
        <v>340</v>
      </c>
      <c r="D389" s="83">
        <v>0</v>
      </c>
      <c r="E389" s="83">
        <f t="shared" si="349"/>
        <v>340</v>
      </c>
      <c r="F389" s="83">
        <v>-112.363147</v>
      </c>
      <c r="G389" s="83">
        <v>0</v>
      </c>
      <c r="H389" s="83">
        <v>0</v>
      </c>
      <c r="I389" s="83">
        <v>0</v>
      </c>
      <c r="J389" s="83">
        <f t="shared" si="350"/>
        <v>0</v>
      </c>
      <c r="K389" s="83">
        <f t="shared" si="351"/>
        <v>227.636853</v>
      </c>
      <c r="L389" s="83"/>
      <c r="M389" s="83">
        <f t="shared" si="352"/>
        <v>227.636853</v>
      </c>
      <c r="N389" s="83">
        <f t="shared" si="296"/>
        <v>-33.0479844117647</v>
      </c>
      <c r="O389" s="220" t="s">
        <v>531</v>
      </c>
    </row>
    <row r="390" s="5" customFormat="1" customHeight="1" spans="1:15">
      <c r="A390" s="377">
        <v>221</v>
      </c>
      <c r="B390" s="378" t="s">
        <v>532</v>
      </c>
      <c r="C390" s="379">
        <f t="shared" ref="C390:M390" si="355">C391+C397</f>
        <v>2856.06</v>
      </c>
      <c r="D390" s="379">
        <f t="shared" si="355"/>
        <v>2603.45</v>
      </c>
      <c r="E390" s="379">
        <f t="shared" si="355"/>
        <v>5459.51</v>
      </c>
      <c r="F390" s="379">
        <f t="shared" si="355"/>
        <v>-126.399355</v>
      </c>
      <c r="G390" s="379">
        <f t="shared" si="355"/>
        <v>0</v>
      </c>
      <c r="H390" s="379">
        <f t="shared" si="355"/>
        <v>-195.76</v>
      </c>
      <c r="I390" s="379">
        <f t="shared" si="355"/>
        <v>769.550761</v>
      </c>
      <c r="J390" s="379">
        <f t="shared" si="355"/>
        <v>-1651.67</v>
      </c>
      <c r="K390" s="379">
        <f t="shared" si="355"/>
        <v>3303.451406</v>
      </c>
      <c r="L390" s="379">
        <f t="shared" si="355"/>
        <v>951.78</v>
      </c>
      <c r="M390" s="379">
        <f t="shared" si="355"/>
        <v>4255.231406</v>
      </c>
      <c r="N390" s="379">
        <f t="shared" ref="N390:N438" si="356">(M390-E390)/E390*100</f>
        <v>-22.0583641022729</v>
      </c>
      <c r="O390" s="387"/>
    </row>
    <row r="391" s="5" customFormat="1" customHeight="1" spans="1:15">
      <c r="A391" s="380">
        <v>22101</v>
      </c>
      <c r="B391" s="151" t="s">
        <v>533</v>
      </c>
      <c r="C391" s="83">
        <f t="shared" ref="C391:M391" si="357">SUM(C392:C396)</f>
        <v>456.57</v>
      </c>
      <c r="D391" s="83">
        <f t="shared" si="357"/>
        <v>2603.45</v>
      </c>
      <c r="E391" s="83">
        <f t="shared" si="357"/>
        <v>3060.02</v>
      </c>
      <c r="F391" s="83">
        <f t="shared" si="357"/>
        <v>0</v>
      </c>
      <c r="G391" s="381">
        <f t="shared" si="357"/>
        <v>0</v>
      </c>
      <c r="H391" s="83">
        <f t="shared" si="357"/>
        <v>-195.76</v>
      </c>
      <c r="I391" s="83">
        <f t="shared" si="357"/>
        <v>0</v>
      </c>
      <c r="J391" s="83">
        <f t="shared" si="357"/>
        <v>-1651.67</v>
      </c>
      <c r="K391" s="83">
        <f t="shared" si="357"/>
        <v>260.81</v>
      </c>
      <c r="L391" s="83">
        <f t="shared" si="357"/>
        <v>951.78</v>
      </c>
      <c r="M391" s="83">
        <f t="shared" si="357"/>
        <v>1212.59</v>
      </c>
      <c r="N391" s="83">
        <f t="shared" si="356"/>
        <v>-60.3731348161123</v>
      </c>
      <c r="O391" s="388"/>
    </row>
    <row r="392" s="5" customFormat="1" customHeight="1" spans="1:15">
      <c r="A392" s="380">
        <v>2210105</v>
      </c>
      <c r="B392" s="151" t="s">
        <v>534</v>
      </c>
      <c r="C392" s="83"/>
      <c r="D392" s="83">
        <v>7</v>
      </c>
      <c r="E392" s="83">
        <f t="shared" ref="E392:E396" si="358">C392+D392</f>
        <v>7</v>
      </c>
      <c r="F392" s="83"/>
      <c r="G392" s="83"/>
      <c r="H392" s="83"/>
      <c r="I392" s="83"/>
      <c r="J392" s="83">
        <f t="shared" ref="J392:J396" si="359">L392-D392</f>
        <v>0</v>
      </c>
      <c r="K392" s="83">
        <f t="shared" ref="K392:K396" si="360">C392+F392+G392+H392+I392</f>
        <v>0</v>
      </c>
      <c r="L392" s="83">
        <v>7</v>
      </c>
      <c r="M392" s="83">
        <f t="shared" ref="M392:M396" si="361">K392+L392</f>
        <v>7</v>
      </c>
      <c r="N392" s="83">
        <f t="shared" si="356"/>
        <v>0</v>
      </c>
      <c r="O392" s="388"/>
    </row>
    <row r="393" s="5" customFormat="1" customHeight="1" spans="1:15">
      <c r="A393" s="380">
        <v>2210106</v>
      </c>
      <c r="B393" s="151" t="s">
        <v>535</v>
      </c>
      <c r="C393" s="83"/>
      <c r="D393" s="83">
        <v>32</v>
      </c>
      <c r="E393" s="83">
        <f t="shared" si="358"/>
        <v>32</v>
      </c>
      <c r="F393" s="83"/>
      <c r="G393" s="83"/>
      <c r="H393" s="83"/>
      <c r="I393" s="83"/>
      <c r="J393" s="83">
        <f t="shared" si="359"/>
        <v>0</v>
      </c>
      <c r="K393" s="83">
        <f t="shared" si="360"/>
        <v>0</v>
      </c>
      <c r="L393" s="83">
        <v>32</v>
      </c>
      <c r="M393" s="83">
        <f t="shared" si="361"/>
        <v>32</v>
      </c>
      <c r="N393" s="83">
        <f t="shared" si="356"/>
        <v>0</v>
      </c>
      <c r="O393" s="388"/>
    </row>
    <row r="394" s="5" customFormat="1" customHeight="1" spans="1:15">
      <c r="A394" s="380">
        <v>2210107</v>
      </c>
      <c r="B394" s="151" t="s">
        <v>536</v>
      </c>
      <c r="C394" s="83">
        <v>3.42</v>
      </c>
      <c r="D394" s="83">
        <v>254</v>
      </c>
      <c r="E394" s="83">
        <f t="shared" si="358"/>
        <v>257.42</v>
      </c>
      <c r="F394" s="83">
        <v>0</v>
      </c>
      <c r="G394" s="83">
        <v>0</v>
      </c>
      <c r="H394" s="83">
        <v>0</v>
      </c>
      <c r="I394" s="83">
        <v>0</v>
      </c>
      <c r="J394" s="83">
        <f t="shared" si="359"/>
        <v>-103.92</v>
      </c>
      <c r="K394" s="83">
        <f t="shared" si="360"/>
        <v>3.42</v>
      </c>
      <c r="L394" s="83">
        <v>150.08</v>
      </c>
      <c r="M394" s="83">
        <f t="shared" si="361"/>
        <v>153.5</v>
      </c>
      <c r="N394" s="83">
        <f t="shared" si="356"/>
        <v>-40.3698236345272</v>
      </c>
      <c r="O394" s="388"/>
    </row>
    <row r="395" s="5" customFormat="1" customHeight="1" spans="1:15">
      <c r="A395" s="380">
        <v>2210108</v>
      </c>
      <c r="B395" s="151" t="s">
        <v>537</v>
      </c>
      <c r="C395" s="83">
        <v>453.15</v>
      </c>
      <c r="D395" s="83">
        <v>2184.45</v>
      </c>
      <c r="E395" s="83">
        <f t="shared" si="358"/>
        <v>2637.6</v>
      </c>
      <c r="F395" s="83">
        <v>0</v>
      </c>
      <c r="G395" s="83">
        <v>0</v>
      </c>
      <c r="H395" s="83">
        <v>-195.76</v>
      </c>
      <c r="I395" s="83">
        <v>0</v>
      </c>
      <c r="J395" s="83">
        <f t="shared" si="359"/>
        <v>-1434.45</v>
      </c>
      <c r="K395" s="83">
        <f t="shared" si="360"/>
        <v>257.39</v>
      </c>
      <c r="L395" s="83">
        <v>750</v>
      </c>
      <c r="M395" s="83">
        <f t="shared" si="361"/>
        <v>1007.39</v>
      </c>
      <c r="N395" s="83">
        <f t="shared" si="356"/>
        <v>-61.8065665756749</v>
      </c>
      <c r="O395" s="388" t="s">
        <v>538</v>
      </c>
    </row>
    <row r="396" s="5" customFormat="1" customHeight="1" spans="1:15">
      <c r="A396" s="380">
        <v>2210199</v>
      </c>
      <c r="B396" s="151" t="s">
        <v>539</v>
      </c>
      <c r="C396" s="83"/>
      <c r="D396" s="83">
        <v>126</v>
      </c>
      <c r="E396" s="83">
        <f t="shared" si="358"/>
        <v>126</v>
      </c>
      <c r="F396" s="83"/>
      <c r="G396" s="83"/>
      <c r="H396" s="83"/>
      <c r="I396" s="83"/>
      <c r="J396" s="83">
        <f t="shared" si="359"/>
        <v>-113.3</v>
      </c>
      <c r="K396" s="83">
        <f t="shared" si="360"/>
        <v>0</v>
      </c>
      <c r="L396" s="83">
        <v>12.7</v>
      </c>
      <c r="M396" s="83">
        <f t="shared" si="361"/>
        <v>12.7</v>
      </c>
      <c r="N396" s="83">
        <f t="shared" si="356"/>
        <v>-89.9206349206349</v>
      </c>
      <c r="O396" s="388"/>
    </row>
    <row r="397" s="5" customFormat="1" customHeight="1" spans="1:15">
      <c r="A397" s="380">
        <v>22102</v>
      </c>
      <c r="B397" s="151" t="s">
        <v>540</v>
      </c>
      <c r="C397" s="83">
        <f t="shared" ref="C397:M397" si="362">SUM(C398)</f>
        <v>2399.49</v>
      </c>
      <c r="D397" s="83">
        <f t="shared" si="362"/>
        <v>0</v>
      </c>
      <c r="E397" s="83">
        <f t="shared" si="362"/>
        <v>2399.49</v>
      </c>
      <c r="F397" s="83">
        <f t="shared" si="362"/>
        <v>-126.399355</v>
      </c>
      <c r="G397" s="381">
        <f t="shared" si="362"/>
        <v>0</v>
      </c>
      <c r="H397" s="83">
        <f t="shared" si="362"/>
        <v>0</v>
      </c>
      <c r="I397" s="83">
        <f t="shared" si="362"/>
        <v>769.550761</v>
      </c>
      <c r="J397" s="83">
        <f t="shared" si="362"/>
        <v>0</v>
      </c>
      <c r="K397" s="83">
        <f t="shared" si="362"/>
        <v>3042.641406</v>
      </c>
      <c r="L397" s="83">
        <f t="shared" si="362"/>
        <v>0</v>
      </c>
      <c r="M397" s="83">
        <f t="shared" si="362"/>
        <v>3042.641406</v>
      </c>
      <c r="N397" s="83">
        <f t="shared" si="356"/>
        <v>26.8036710300939</v>
      </c>
      <c r="O397" s="220"/>
    </row>
    <row r="398" s="5" customFormat="1" customHeight="1" spans="1:15">
      <c r="A398" s="380">
        <v>2210201</v>
      </c>
      <c r="B398" s="151" t="s">
        <v>541</v>
      </c>
      <c r="C398" s="83">
        <v>2399.49</v>
      </c>
      <c r="D398" s="83">
        <v>0</v>
      </c>
      <c r="E398" s="83">
        <f t="shared" ref="E398:E402" si="363">C398+D398</f>
        <v>2399.49</v>
      </c>
      <c r="F398" s="83">
        <v>-126.399355</v>
      </c>
      <c r="G398" s="83">
        <v>0</v>
      </c>
      <c r="H398" s="83">
        <v>0</v>
      </c>
      <c r="I398" s="83">
        <v>769.550761</v>
      </c>
      <c r="J398" s="83">
        <f t="shared" ref="J398:J402" si="364">L398-D398</f>
        <v>0</v>
      </c>
      <c r="K398" s="83">
        <f t="shared" ref="K398:K402" si="365">C398+F398+G398+H398+I398</f>
        <v>3042.641406</v>
      </c>
      <c r="L398" s="83"/>
      <c r="M398" s="83">
        <f t="shared" ref="M398:M402" si="366">K398+L398</f>
        <v>3042.641406</v>
      </c>
      <c r="N398" s="83">
        <f t="shared" si="356"/>
        <v>26.8036710300939</v>
      </c>
      <c r="O398" s="388" t="s">
        <v>542</v>
      </c>
    </row>
    <row r="399" s="5" customFormat="1" customHeight="1" spans="1:15">
      <c r="A399" s="377">
        <v>222</v>
      </c>
      <c r="B399" s="378" t="s">
        <v>543</v>
      </c>
      <c r="C399" s="379">
        <f t="shared" ref="C399:M399" si="367">C400+C403</f>
        <v>517.98</v>
      </c>
      <c r="D399" s="379">
        <f t="shared" si="367"/>
        <v>0</v>
      </c>
      <c r="E399" s="379">
        <f t="shared" si="367"/>
        <v>517.98</v>
      </c>
      <c r="F399" s="379">
        <f t="shared" si="367"/>
        <v>-8.16</v>
      </c>
      <c r="G399" s="379">
        <f t="shared" si="367"/>
        <v>0</v>
      </c>
      <c r="H399" s="379">
        <f t="shared" si="367"/>
        <v>0</v>
      </c>
      <c r="I399" s="379">
        <f t="shared" si="367"/>
        <v>0</v>
      </c>
      <c r="J399" s="379">
        <f t="shared" si="367"/>
        <v>6</v>
      </c>
      <c r="K399" s="379">
        <f t="shared" si="367"/>
        <v>509.82</v>
      </c>
      <c r="L399" s="379">
        <f t="shared" si="367"/>
        <v>6</v>
      </c>
      <c r="M399" s="379">
        <f t="shared" si="367"/>
        <v>515.82</v>
      </c>
      <c r="N399" s="379">
        <f t="shared" si="356"/>
        <v>-0.417004517548956</v>
      </c>
      <c r="O399" s="387"/>
    </row>
    <row r="400" s="5" customFormat="1" customHeight="1" spans="1:15">
      <c r="A400" s="380">
        <v>22201</v>
      </c>
      <c r="B400" s="151" t="s">
        <v>544</v>
      </c>
      <c r="C400" s="83">
        <f t="shared" ref="C400:M400" si="368">SUM(C401:C402)</f>
        <v>481.98</v>
      </c>
      <c r="D400" s="83">
        <f t="shared" si="368"/>
        <v>0</v>
      </c>
      <c r="E400" s="83">
        <f t="shared" si="368"/>
        <v>481.98</v>
      </c>
      <c r="F400" s="83">
        <f t="shared" si="368"/>
        <v>-8.16</v>
      </c>
      <c r="G400" s="381">
        <f t="shared" si="368"/>
        <v>0</v>
      </c>
      <c r="H400" s="83">
        <f t="shared" si="368"/>
        <v>0</v>
      </c>
      <c r="I400" s="83">
        <f t="shared" si="368"/>
        <v>0</v>
      </c>
      <c r="J400" s="83">
        <f t="shared" si="368"/>
        <v>0</v>
      </c>
      <c r="K400" s="83">
        <f t="shared" si="368"/>
        <v>473.82</v>
      </c>
      <c r="L400" s="83">
        <f t="shared" si="368"/>
        <v>0</v>
      </c>
      <c r="M400" s="83">
        <f t="shared" si="368"/>
        <v>473.82</v>
      </c>
      <c r="N400" s="83">
        <f t="shared" si="356"/>
        <v>-1.69301630773062</v>
      </c>
      <c r="O400" s="388"/>
    </row>
    <row r="401" s="5" customFormat="1" customHeight="1" spans="1:15">
      <c r="A401" s="380">
        <v>2220115</v>
      </c>
      <c r="B401" s="151" t="s">
        <v>545</v>
      </c>
      <c r="C401" s="83">
        <v>434</v>
      </c>
      <c r="D401" s="83">
        <v>0</v>
      </c>
      <c r="E401" s="83">
        <f t="shared" si="363"/>
        <v>434</v>
      </c>
      <c r="F401" s="83">
        <v>0</v>
      </c>
      <c r="G401" s="83"/>
      <c r="H401" s="83">
        <v>0</v>
      </c>
      <c r="I401" s="83">
        <v>0</v>
      </c>
      <c r="J401" s="83">
        <f t="shared" si="364"/>
        <v>0</v>
      </c>
      <c r="K401" s="83">
        <f t="shared" si="365"/>
        <v>434</v>
      </c>
      <c r="L401" s="83"/>
      <c r="M401" s="83">
        <f t="shared" si="366"/>
        <v>434</v>
      </c>
      <c r="N401" s="83">
        <f t="shared" si="356"/>
        <v>0</v>
      </c>
      <c r="O401" s="388"/>
    </row>
    <row r="402" s="5" customFormat="1" customHeight="1" spans="1:15">
      <c r="A402" s="380">
        <v>2220199</v>
      </c>
      <c r="B402" s="151" t="s">
        <v>546</v>
      </c>
      <c r="C402" s="83">
        <v>47.98</v>
      </c>
      <c r="D402" s="83">
        <v>0</v>
      </c>
      <c r="E402" s="83">
        <f t="shared" si="363"/>
        <v>47.98</v>
      </c>
      <c r="F402" s="83">
        <v>-8.16</v>
      </c>
      <c r="G402" s="83"/>
      <c r="H402" s="83">
        <v>0</v>
      </c>
      <c r="I402" s="83">
        <v>0</v>
      </c>
      <c r="J402" s="83">
        <f t="shared" si="364"/>
        <v>0</v>
      </c>
      <c r="K402" s="83">
        <f t="shared" si="365"/>
        <v>39.82</v>
      </c>
      <c r="L402" s="83"/>
      <c r="M402" s="83">
        <f t="shared" si="366"/>
        <v>39.82</v>
      </c>
      <c r="N402" s="83">
        <f t="shared" si="356"/>
        <v>-17.0070862859525</v>
      </c>
      <c r="O402" s="388" t="s">
        <v>547</v>
      </c>
    </row>
    <row r="403" s="5" customFormat="1" customHeight="1" spans="1:15">
      <c r="A403" s="380">
        <v>22205</v>
      </c>
      <c r="B403" s="151" t="s">
        <v>548</v>
      </c>
      <c r="C403" s="83">
        <f t="shared" ref="C403:M403" si="369">SUM(C404:C406)</f>
        <v>36</v>
      </c>
      <c r="D403" s="83">
        <f t="shared" si="369"/>
        <v>0</v>
      </c>
      <c r="E403" s="83">
        <f t="shared" si="369"/>
        <v>36</v>
      </c>
      <c r="F403" s="83">
        <f t="shared" si="369"/>
        <v>0</v>
      </c>
      <c r="G403" s="381">
        <f t="shared" si="369"/>
        <v>0</v>
      </c>
      <c r="H403" s="83">
        <f t="shared" si="369"/>
        <v>0</v>
      </c>
      <c r="I403" s="83">
        <f t="shared" si="369"/>
        <v>0</v>
      </c>
      <c r="J403" s="83">
        <f t="shared" si="369"/>
        <v>6</v>
      </c>
      <c r="K403" s="83">
        <f t="shared" si="369"/>
        <v>36</v>
      </c>
      <c r="L403" s="83">
        <f t="shared" si="369"/>
        <v>6</v>
      </c>
      <c r="M403" s="83">
        <f t="shared" si="369"/>
        <v>42</v>
      </c>
      <c r="N403" s="83">
        <f t="shared" si="356"/>
        <v>16.6666666666667</v>
      </c>
      <c r="O403" s="388"/>
    </row>
    <row r="404" s="5" customFormat="1" customHeight="1" spans="1:15">
      <c r="A404" s="380">
        <v>2220503</v>
      </c>
      <c r="B404" s="151" t="s">
        <v>549</v>
      </c>
      <c r="C404" s="83">
        <v>30</v>
      </c>
      <c r="D404" s="83">
        <v>0</v>
      </c>
      <c r="E404" s="83">
        <f t="shared" ref="E404:E406" si="370">C404+D404</f>
        <v>30</v>
      </c>
      <c r="F404" s="83">
        <v>0</v>
      </c>
      <c r="G404" s="83"/>
      <c r="H404" s="83">
        <v>0</v>
      </c>
      <c r="I404" s="83">
        <v>0</v>
      </c>
      <c r="J404" s="83">
        <f t="shared" ref="J404:J406" si="371">L404-D404</f>
        <v>0</v>
      </c>
      <c r="K404" s="83">
        <f t="shared" ref="K404:K406" si="372">C404+F404+G404+H404+I404</f>
        <v>30</v>
      </c>
      <c r="L404" s="83"/>
      <c r="M404" s="83">
        <f t="shared" ref="M404:M406" si="373">K404+L404</f>
        <v>30</v>
      </c>
      <c r="N404" s="83">
        <f t="shared" si="356"/>
        <v>0</v>
      </c>
      <c r="O404" s="388"/>
    </row>
    <row r="405" s="5" customFormat="1" customHeight="1" spans="1:15">
      <c r="A405" s="380">
        <v>2220509</v>
      </c>
      <c r="B405" s="151" t="s">
        <v>550</v>
      </c>
      <c r="C405" s="83"/>
      <c r="D405" s="83"/>
      <c r="E405" s="83">
        <f t="shared" si="370"/>
        <v>0</v>
      </c>
      <c r="F405" s="83"/>
      <c r="G405" s="83"/>
      <c r="H405" s="83"/>
      <c r="I405" s="83"/>
      <c r="J405" s="83">
        <f t="shared" si="371"/>
        <v>6</v>
      </c>
      <c r="K405" s="83">
        <f t="shared" si="372"/>
        <v>0</v>
      </c>
      <c r="L405" s="83">
        <v>6</v>
      </c>
      <c r="M405" s="83">
        <f t="shared" si="373"/>
        <v>6</v>
      </c>
      <c r="N405" s="83"/>
      <c r="O405" s="388"/>
    </row>
    <row r="406" s="5" customFormat="1" customHeight="1" spans="1:15">
      <c r="A406" s="380">
        <v>2220599</v>
      </c>
      <c r="B406" s="151" t="s">
        <v>551</v>
      </c>
      <c r="C406" s="83">
        <v>6</v>
      </c>
      <c r="D406" s="83">
        <v>0</v>
      </c>
      <c r="E406" s="83">
        <f t="shared" si="370"/>
        <v>6</v>
      </c>
      <c r="F406" s="83">
        <v>0</v>
      </c>
      <c r="G406" s="83">
        <v>0</v>
      </c>
      <c r="H406" s="83">
        <v>0</v>
      </c>
      <c r="I406" s="83">
        <v>0</v>
      </c>
      <c r="J406" s="83">
        <f t="shared" si="371"/>
        <v>0</v>
      </c>
      <c r="K406" s="83">
        <f t="shared" si="372"/>
        <v>6</v>
      </c>
      <c r="L406" s="83"/>
      <c r="M406" s="83">
        <f t="shared" si="373"/>
        <v>6</v>
      </c>
      <c r="N406" s="83">
        <f t="shared" si="356"/>
        <v>0</v>
      </c>
      <c r="O406" s="388"/>
    </row>
    <row r="407" s="5" customFormat="1" customHeight="1" spans="1:15">
      <c r="A407" s="377">
        <v>224</v>
      </c>
      <c r="B407" s="378" t="s">
        <v>552</v>
      </c>
      <c r="C407" s="379">
        <f t="shared" ref="C407:M407" si="374">C408+C415+C418+C420</f>
        <v>2083.07</v>
      </c>
      <c r="D407" s="379">
        <f t="shared" si="374"/>
        <v>229.31</v>
      </c>
      <c r="E407" s="379">
        <f t="shared" si="374"/>
        <v>2312.38</v>
      </c>
      <c r="F407" s="379">
        <f t="shared" si="374"/>
        <v>-634.09</v>
      </c>
      <c r="G407" s="379">
        <f t="shared" si="374"/>
        <v>0</v>
      </c>
      <c r="H407" s="379">
        <f t="shared" si="374"/>
        <v>0</v>
      </c>
      <c r="I407" s="379">
        <f t="shared" si="374"/>
        <v>93.17</v>
      </c>
      <c r="J407" s="379">
        <f t="shared" si="374"/>
        <v>-109.38</v>
      </c>
      <c r="K407" s="379">
        <f t="shared" si="374"/>
        <v>1542.15</v>
      </c>
      <c r="L407" s="379">
        <f t="shared" si="374"/>
        <v>119.93</v>
      </c>
      <c r="M407" s="379">
        <f t="shared" si="374"/>
        <v>1662.08</v>
      </c>
      <c r="N407" s="379">
        <f t="shared" si="356"/>
        <v>-28.1225404129079</v>
      </c>
      <c r="O407" s="387"/>
    </row>
    <row r="408" s="5" customFormat="1" customHeight="1" spans="1:15">
      <c r="A408" s="380">
        <v>22401</v>
      </c>
      <c r="B408" s="151" t="s">
        <v>553</v>
      </c>
      <c r="C408" s="83">
        <f t="shared" ref="C408:M408" si="375">SUM(C409:C414)</f>
        <v>1382.49</v>
      </c>
      <c r="D408" s="83">
        <f t="shared" si="375"/>
        <v>18</v>
      </c>
      <c r="E408" s="83">
        <f t="shared" si="375"/>
        <v>1400.49</v>
      </c>
      <c r="F408" s="83">
        <f t="shared" si="375"/>
        <v>-227.04</v>
      </c>
      <c r="G408" s="381">
        <f t="shared" si="375"/>
        <v>0</v>
      </c>
      <c r="H408" s="83">
        <f t="shared" si="375"/>
        <v>0</v>
      </c>
      <c r="I408" s="83">
        <f t="shared" si="375"/>
        <v>61.29</v>
      </c>
      <c r="J408" s="83">
        <f t="shared" si="375"/>
        <v>0</v>
      </c>
      <c r="K408" s="83">
        <f t="shared" si="375"/>
        <v>1216.74</v>
      </c>
      <c r="L408" s="83">
        <f t="shared" si="375"/>
        <v>18</v>
      </c>
      <c r="M408" s="83">
        <f t="shared" si="375"/>
        <v>1234.74</v>
      </c>
      <c r="N408" s="83">
        <f t="shared" si="356"/>
        <v>-11.8351434140908</v>
      </c>
      <c r="O408" s="388"/>
    </row>
    <row r="409" s="5" customFormat="1" customHeight="1" spans="1:15">
      <c r="A409" s="380">
        <v>2240101</v>
      </c>
      <c r="B409" s="151" t="s">
        <v>94</v>
      </c>
      <c r="C409" s="83">
        <v>325.99</v>
      </c>
      <c r="D409" s="83">
        <v>0</v>
      </c>
      <c r="E409" s="83">
        <f t="shared" ref="E409:E414" si="376">C409+D409</f>
        <v>325.99</v>
      </c>
      <c r="F409" s="83">
        <v>-62.93</v>
      </c>
      <c r="G409" s="83">
        <v>0</v>
      </c>
      <c r="H409" s="83">
        <v>0</v>
      </c>
      <c r="I409" s="83">
        <v>36.15</v>
      </c>
      <c r="J409" s="83">
        <f t="shared" ref="J409:J414" si="377">L409-D409</f>
        <v>0</v>
      </c>
      <c r="K409" s="83">
        <f t="shared" ref="K409:K414" si="378">C409+F409+G409+H409+I409</f>
        <v>299.21</v>
      </c>
      <c r="L409" s="83"/>
      <c r="M409" s="83">
        <f t="shared" ref="M409:M414" si="379">K409+L409</f>
        <v>299.21</v>
      </c>
      <c r="N409" s="83">
        <f t="shared" si="356"/>
        <v>-8.21497591950674</v>
      </c>
      <c r="O409" s="388" t="s">
        <v>115</v>
      </c>
    </row>
    <row r="410" s="5" customFormat="1" customHeight="1" spans="1:15">
      <c r="A410" s="380">
        <v>2240104</v>
      </c>
      <c r="B410" s="151" t="s">
        <v>554</v>
      </c>
      <c r="C410" s="83">
        <v>4</v>
      </c>
      <c r="D410" s="83">
        <v>0</v>
      </c>
      <c r="E410" s="83">
        <f t="shared" si="376"/>
        <v>4</v>
      </c>
      <c r="F410" s="83">
        <v>0</v>
      </c>
      <c r="G410" s="83">
        <v>0</v>
      </c>
      <c r="H410" s="83">
        <v>0</v>
      </c>
      <c r="I410" s="83">
        <v>0</v>
      </c>
      <c r="J410" s="83">
        <f t="shared" si="377"/>
        <v>0</v>
      </c>
      <c r="K410" s="83">
        <f t="shared" si="378"/>
        <v>4</v>
      </c>
      <c r="L410" s="83"/>
      <c r="M410" s="83">
        <f t="shared" si="379"/>
        <v>4</v>
      </c>
      <c r="N410" s="83">
        <f t="shared" si="356"/>
        <v>0</v>
      </c>
      <c r="O410" s="388">
        <v>0</v>
      </c>
    </row>
    <row r="411" s="5" customFormat="1" customHeight="1" spans="1:15">
      <c r="A411" s="380">
        <v>2240106</v>
      </c>
      <c r="B411" s="151" t="s">
        <v>555</v>
      </c>
      <c r="C411" s="83">
        <v>157.19</v>
      </c>
      <c r="D411" s="83">
        <v>0</v>
      </c>
      <c r="E411" s="83">
        <f t="shared" si="376"/>
        <v>157.19</v>
      </c>
      <c r="F411" s="83">
        <v>0</v>
      </c>
      <c r="G411" s="83"/>
      <c r="H411" s="83">
        <v>0</v>
      </c>
      <c r="I411" s="83">
        <v>0</v>
      </c>
      <c r="J411" s="83">
        <f t="shared" si="377"/>
        <v>0</v>
      </c>
      <c r="K411" s="83">
        <f t="shared" si="378"/>
        <v>157.19</v>
      </c>
      <c r="L411" s="83"/>
      <c r="M411" s="83">
        <f t="shared" si="379"/>
        <v>157.19</v>
      </c>
      <c r="N411" s="83">
        <f t="shared" si="356"/>
        <v>0</v>
      </c>
      <c r="O411" s="388"/>
    </row>
    <row r="412" s="5" customFormat="1" customHeight="1" spans="1:15">
      <c r="A412" s="380" t="s">
        <v>556</v>
      </c>
      <c r="B412" s="151" t="s">
        <v>557</v>
      </c>
      <c r="C412" s="83">
        <v>83</v>
      </c>
      <c r="D412" s="83">
        <v>0</v>
      </c>
      <c r="E412" s="83">
        <f t="shared" si="376"/>
        <v>83</v>
      </c>
      <c r="F412" s="83">
        <v>-9.14</v>
      </c>
      <c r="G412" s="83">
        <v>0</v>
      </c>
      <c r="H412" s="83">
        <v>0</v>
      </c>
      <c r="I412" s="83">
        <v>0</v>
      </c>
      <c r="J412" s="83">
        <f t="shared" si="377"/>
        <v>0</v>
      </c>
      <c r="K412" s="83">
        <f t="shared" si="378"/>
        <v>73.86</v>
      </c>
      <c r="L412" s="83"/>
      <c r="M412" s="83">
        <f t="shared" si="379"/>
        <v>73.86</v>
      </c>
      <c r="N412" s="83">
        <f t="shared" si="356"/>
        <v>-11.0120481927711</v>
      </c>
      <c r="O412" s="388" t="s">
        <v>558</v>
      </c>
    </row>
    <row r="413" s="5" customFormat="1" customHeight="1" spans="1:15">
      <c r="A413" s="380">
        <v>2240150</v>
      </c>
      <c r="B413" s="151" t="s">
        <v>125</v>
      </c>
      <c r="C413" s="83">
        <v>101.43</v>
      </c>
      <c r="D413" s="83">
        <v>0</v>
      </c>
      <c r="E413" s="83">
        <f t="shared" si="376"/>
        <v>101.43</v>
      </c>
      <c r="F413" s="83">
        <v>-28.66</v>
      </c>
      <c r="G413" s="83"/>
      <c r="H413" s="83">
        <v>0</v>
      </c>
      <c r="I413" s="83">
        <v>25.14</v>
      </c>
      <c r="J413" s="83">
        <f t="shared" si="377"/>
        <v>0</v>
      </c>
      <c r="K413" s="83">
        <f t="shared" si="378"/>
        <v>97.91</v>
      </c>
      <c r="L413" s="83"/>
      <c r="M413" s="83">
        <f t="shared" si="379"/>
        <v>97.91</v>
      </c>
      <c r="N413" s="83">
        <f t="shared" si="356"/>
        <v>-3.47037365670906</v>
      </c>
      <c r="O413" s="388" t="s">
        <v>115</v>
      </c>
    </row>
    <row r="414" s="5" customFormat="1" customHeight="1" spans="1:15">
      <c r="A414" s="380">
        <v>2240199</v>
      </c>
      <c r="B414" s="151" t="s">
        <v>559</v>
      </c>
      <c r="C414" s="83">
        <v>710.88</v>
      </c>
      <c r="D414" s="83">
        <v>18</v>
      </c>
      <c r="E414" s="83">
        <f t="shared" si="376"/>
        <v>728.88</v>
      </c>
      <c r="F414" s="83">
        <v>-126.31</v>
      </c>
      <c r="G414" s="83">
        <v>0</v>
      </c>
      <c r="H414" s="83">
        <v>0</v>
      </c>
      <c r="I414" s="83">
        <v>0</v>
      </c>
      <c r="J414" s="83">
        <f t="shared" si="377"/>
        <v>0</v>
      </c>
      <c r="K414" s="83">
        <f t="shared" si="378"/>
        <v>584.57</v>
      </c>
      <c r="L414" s="83">
        <v>18</v>
      </c>
      <c r="M414" s="83">
        <f t="shared" si="379"/>
        <v>602.57</v>
      </c>
      <c r="N414" s="83">
        <f t="shared" si="356"/>
        <v>-17.3293271869169</v>
      </c>
      <c r="O414" s="388" t="s">
        <v>560</v>
      </c>
    </row>
    <row r="415" s="5" customFormat="1" customHeight="1" spans="1:15">
      <c r="A415" s="380">
        <v>22402</v>
      </c>
      <c r="B415" s="151" t="s">
        <v>561</v>
      </c>
      <c r="C415" s="83">
        <f t="shared" ref="C415:M415" si="380">SUM(C416:C417)</f>
        <v>629.27</v>
      </c>
      <c r="D415" s="83">
        <f t="shared" si="380"/>
        <v>43</v>
      </c>
      <c r="E415" s="83">
        <f t="shared" si="380"/>
        <v>672.27</v>
      </c>
      <c r="F415" s="83">
        <f t="shared" si="380"/>
        <v>-397.05</v>
      </c>
      <c r="G415" s="381">
        <f t="shared" si="380"/>
        <v>0</v>
      </c>
      <c r="H415" s="83">
        <f t="shared" si="380"/>
        <v>0</v>
      </c>
      <c r="I415" s="83">
        <f t="shared" si="380"/>
        <v>31.88</v>
      </c>
      <c r="J415" s="83">
        <f t="shared" si="380"/>
        <v>-0.219999999999999</v>
      </c>
      <c r="K415" s="83">
        <f t="shared" si="380"/>
        <v>264.1</v>
      </c>
      <c r="L415" s="83">
        <f t="shared" si="380"/>
        <v>42.78</v>
      </c>
      <c r="M415" s="83">
        <f t="shared" si="380"/>
        <v>306.88</v>
      </c>
      <c r="N415" s="83">
        <f t="shared" si="356"/>
        <v>-54.3516741785295</v>
      </c>
      <c r="O415" s="388"/>
    </row>
    <row r="416" s="5" customFormat="1" customHeight="1" spans="1:15">
      <c r="A416" s="380">
        <v>2240204</v>
      </c>
      <c r="B416" s="151" t="s">
        <v>562</v>
      </c>
      <c r="C416" s="83">
        <v>119</v>
      </c>
      <c r="D416" s="83">
        <v>43</v>
      </c>
      <c r="E416" s="83">
        <f t="shared" ref="E416:E419" si="381">C416+D416</f>
        <v>162</v>
      </c>
      <c r="F416" s="83">
        <v>-119</v>
      </c>
      <c r="G416" s="83">
        <v>0</v>
      </c>
      <c r="H416" s="83">
        <v>0</v>
      </c>
      <c r="I416" s="83">
        <v>0</v>
      </c>
      <c r="J416" s="83">
        <f t="shared" ref="J416:J419" si="382">L416-D416</f>
        <v>-0.219999999999999</v>
      </c>
      <c r="K416" s="83">
        <f t="shared" ref="K416:K419" si="383">C416+F416+G416+H416+I416</f>
        <v>0</v>
      </c>
      <c r="L416" s="83">
        <v>42.78</v>
      </c>
      <c r="M416" s="83">
        <f t="shared" ref="M416:M419" si="384">K416+L416</f>
        <v>42.78</v>
      </c>
      <c r="N416" s="83">
        <f t="shared" si="356"/>
        <v>-73.5925925925926</v>
      </c>
      <c r="O416" s="388" t="s">
        <v>563</v>
      </c>
    </row>
    <row r="417" s="5" customFormat="1" customHeight="1" spans="1:15">
      <c r="A417" s="380">
        <v>2240299</v>
      </c>
      <c r="B417" s="151" t="s">
        <v>564</v>
      </c>
      <c r="C417" s="83">
        <v>510.27</v>
      </c>
      <c r="D417" s="83">
        <v>0</v>
      </c>
      <c r="E417" s="83">
        <f t="shared" si="381"/>
        <v>510.27</v>
      </c>
      <c r="F417" s="83">
        <v>-278.05</v>
      </c>
      <c r="G417" s="83">
        <v>0</v>
      </c>
      <c r="H417" s="83">
        <v>0</v>
      </c>
      <c r="I417" s="83">
        <v>31.88</v>
      </c>
      <c r="J417" s="83">
        <f t="shared" si="382"/>
        <v>0</v>
      </c>
      <c r="K417" s="83">
        <f t="shared" si="383"/>
        <v>264.1</v>
      </c>
      <c r="L417" s="83"/>
      <c r="M417" s="83">
        <f t="shared" si="384"/>
        <v>264.1</v>
      </c>
      <c r="N417" s="83">
        <f t="shared" si="356"/>
        <v>-48.2430869931605</v>
      </c>
      <c r="O417" s="388" t="s">
        <v>565</v>
      </c>
    </row>
    <row r="418" s="5" customFormat="1" customHeight="1" spans="1:15">
      <c r="A418" s="380">
        <v>22405</v>
      </c>
      <c r="B418" s="151" t="s">
        <v>566</v>
      </c>
      <c r="C418" s="83">
        <f t="shared" ref="C418:M418" si="385">SUM(C419)</f>
        <v>2</v>
      </c>
      <c r="D418" s="83">
        <f t="shared" si="385"/>
        <v>0</v>
      </c>
      <c r="E418" s="83">
        <f t="shared" si="385"/>
        <v>2</v>
      </c>
      <c r="F418" s="83">
        <f t="shared" si="385"/>
        <v>0</v>
      </c>
      <c r="G418" s="381">
        <f t="shared" si="385"/>
        <v>0</v>
      </c>
      <c r="H418" s="83">
        <f t="shared" si="385"/>
        <v>0</v>
      </c>
      <c r="I418" s="83">
        <f t="shared" si="385"/>
        <v>0</v>
      </c>
      <c r="J418" s="83">
        <f t="shared" si="385"/>
        <v>0</v>
      </c>
      <c r="K418" s="83">
        <f t="shared" si="385"/>
        <v>2</v>
      </c>
      <c r="L418" s="83">
        <f t="shared" si="385"/>
        <v>0</v>
      </c>
      <c r="M418" s="83">
        <f t="shared" si="385"/>
        <v>2</v>
      </c>
      <c r="N418" s="83">
        <f t="shared" si="356"/>
        <v>0</v>
      </c>
      <c r="O418" s="388"/>
    </row>
    <row r="419" s="5" customFormat="1" customHeight="1" spans="1:15">
      <c r="A419" s="380">
        <v>2240599</v>
      </c>
      <c r="B419" s="151" t="s">
        <v>567</v>
      </c>
      <c r="C419" s="83">
        <v>2</v>
      </c>
      <c r="D419" s="83">
        <v>0</v>
      </c>
      <c r="E419" s="83">
        <f t="shared" si="381"/>
        <v>2</v>
      </c>
      <c r="F419" s="83">
        <v>0</v>
      </c>
      <c r="G419" s="83">
        <v>0</v>
      </c>
      <c r="H419" s="83">
        <v>0</v>
      </c>
      <c r="I419" s="83">
        <v>0</v>
      </c>
      <c r="J419" s="83">
        <f t="shared" si="382"/>
        <v>0</v>
      </c>
      <c r="K419" s="83">
        <f t="shared" si="383"/>
        <v>2</v>
      </c>
      <c r="L419" s="83"/>
      <c r="M419" s="83">
        <f t="shared" si="384"/>
        <v>2</v>
      </c>
      <c r="N419" s="83">
        <f t="shared" si="356"/>
        <v>0</v>
      </c>
      <c r="O419" s="388">
        <v>0</v>
      </c>
    </row>
    <row r="420" s="5" customFormat="1" customHeight="1" spans="1:15">
      <c r="A420" s="380">
        <v>22406</v>
      </c>
      <c r="B420" s="151" t="s">
        <v>568</v>
      </c>
      <c r="C420" s="83">
        <f t="shared" ref="C420:M420" si="386">SUM(C421:C422)</f>
        <v>69.31</v>
      </c>
      <c r="D420" s="83">
        <f t="shared" si="386"/>
        <v>168.31</v>
      </c>
      <c r="E420" s="83">
        <f t="shared" si="386"/>
        <v>237.62</v>
      </c>
      <c r="F420" s="83">
        <f t="shared" si="386"/>
        <v>-10</v>
      </c>
      <c r="G420" s="381">
        <f t="shared" si="386"/>
        <v>0</v>
      </c>
      <c r="H420" s="83">
        <f t="shared" si="386"/>
        <v>0</v>
      </c>
      <c r="I420" s="83">
        <f t="shared" si="386"/>
        <v>0</v>
      </c>
      <c r="J420" s="83">
        <f t="shared" si="386"/>
        <v>-109.16</v>
      </c>
      <c r="K420" s="83">
        <f t="shared" si="386"/>
        <v>59.31</v>
      </c>
      <c r="L420" s="83">
        <f t="shared" si="386"/>
        <v>59.15</v>
      </c>
      <c r="M420" s="83">
        <f t="shared" si="386"/>
        <v>118.46</v>
      </c>
      <c r="N420" s="83">
        <f t="shared" si="356"/>
        <v>-50.1472939988216</v>
      </c>
      <c r="O420" s="388"/>
    </row>
    <row r="421" s="5" customFormat="1" customHeight="1" spans="1:15">
      <c r="A421" s="380">
        <v>2240601</v>
      </c>
      <c r="B421" s="151" t="s">
        <v>569</v>
      </c>
      <c r="C421" s="83">
        <v>46.31</v>
      </c>
      <c r="D421" s="83">
        <v>168.31</v>
      </c>
      <c r="E421" s="83">
        <f t="shared" ref="E421:E423" si="387">C421+D421</f>
        <v>214.62</v>
      </c>
      <c r="F421" s="83">
        <v>0</v>
      </c>
      <c r="G421" s="83">
        <v>0</v>
      </c>
      <c r="H421" s="83">
        <v>0</v>
      </c>
      <c r="I421" s="83">
        <v>0</v>
      </c>
      <c r="J421" s="83">
        <f t="shared" ref="J421:J423" si="388">L421-D421</f>
        <v>-109.16</v>
      </c>
      <c r="K421" s="83">
        <f t="shared" ref="K421:K423" si="389">C421+F421+G421+H421+I421</f>
        <v>46.31</v>
      </c>
      <c r="L421" s="83">
        <v>59.15</v>
      </c>
      <c r="M421" s="83">
        <f t="shared" ref="M421:M423" si="390">K421+L421</f>
        <v>105.46</v>
      </c>
      <c r="N421" s="83">
        <f t="shared" si="356"/>
        <v>-50.8619886310689</v>
      </c>
      <c r="O421" s="388"/>
    </row>
    <row r="422" s="5" customFormat="1" customHeight="1" spans="1:15">
      <c r="A422" s="380">
        <v>2240699</v>
      </c>
      <c r="B422" s="151" t="s">
        <v>570</v>
      </c>
      <c r="C422" s="83">
        <v>23</v>
      </c>
      <c r="D422" s="83">
        <v>0</v>
      </c>
      <c r="E422" s="83">
        <f t="shared" si="387"/>
        <v>23</v>
      </c>
      <c r="F422" s="83">
        <v>-10</v>
      </c>
      <c r="G422" s="83">
        <v>0</v>
      </c>
      <c r="H422" s="83">
        <v>0</v>
      </c>
      <c r="I422" s="83">
        <v>0</v>
      </c>
      <c r="J422" s="83">
        <f t="shared" si="388"/>
        <v>0</v>
      </c>
      <c r="K422" s="83">
        <f t="shared" si="389"/>
        <v>13</v>
      </c>
      <c r="L422" s="83"/>
      <c r="M422" s="83">
        <f t="shared" si="390"/>
        <v>13</v>
      </c>
      <c r="N422" s="83">
        <f t="shared" si="356"/>
        <v>-43.4782608695652</v>
      </c>
      <c r="O422" s="388" t="s">
        <v>571</v>
      </c>
    </row>
    <row r="423" s="5" customFormat="1" customHeight="1" spans="1:15">
      <c r="A423" s="377">
        <v>227</v>
      </c>
      <c r="B423" s="378" t="s">
        <v>572</v>
      </c>
      <c r="C423" s="379">
        <v>1255</v>
      </c>
      <c r="D423" s="379">
        <v>0</v>
      </c>
      <c r="E423" s="379">
        <f t="shared" si="387"/>
        <v>1255</v>
      </c>
      <c r="F423" s="379">
        <v>-1255</v>
      </c>
      <c r="G423" s="379">
        <v>0</v>
      </c>
      <c r="H423" s="379">
        <v>0</v>
      </c>
      <c r="I423" s="379">
        <v>0</v>
      </c>
      <c r="J423" s="379">
        <f t="shared" si="388"/>
        <v>0</v>
      </c>
      <c r="K423" s="379">
        <f t="shared" si="389"/>
        <v>0</v>
      </c>
      <c r="L423" s="379"/>
      <c r="M423" s="379">
        <f t="shared" si="390"/>
        <v>0</v>
      </c>
      <c r="N423" s="379">
        <f t="shared" si="356"/>
        <v>-100</v>
      </c>
      <c r="O423" s="387">
        <v>0</v>
      </c>
    </row>
    <row r="424" s="5" customFormat="1" customHeight="1" spans="1:15">
      <c r="A424" s="377">
        <v>229</v>
      </c>
      <c r="B424" s="378" t="s">
        <v>573</v>
      </c>
      <c r="C424" s="379">
        <f t="shared" ref="C424:M424" si="391">C425</f>
        <v>20851.9</v>
      </c>
      <c r="D424" s="379">
        <f t="shared" si="391"/>
        <v>10</v>
      </c>
      <c r="E424" s="379">
        <f t="shared" si="391"/>
        <v>20861.9</v>
      </c>
      <c r="F424" s="379">
        <f t="shared" si="391"/>
        <v>164.640335</v>
      </c>
      <c r="G424" s="379">
        <f t="shared" si="391"/>
        <v>0</v>
      </c>
      <c r="H424" s="379">
        <f t="shared" si="391"/>
        <v>0</v>
      </c>
      <c r="I424" s="379">
        <f t="shared" si="391"/>
        <v>-16160.228335</v>
      </c>
      <c r="J424" s="379">
        <f t="shared" si="391"/>
        <v>-5</v>
      </c>
      <c r="K424" s="379">
        <f t="shared" si="391"/>
        <v>4856.312</v>
      </c>
      <c r="L424" s="379">
        <f t="shared" si="391"/>
        <v>5</v>
      </c>
      <c r="M424" s="379">
        <f t="shared" si="391"/>
        <v>4861.312</v>
      </c>
      <c r="N424" s="379">
        <f t="shared" si="356"/>
        <v>-76.6976545760453</v>
      </c>
      <c r="O424" s="387">
        <v>0</v>
      </c>
    </row>
    <row r="425" s="5" customFormat="1" customHeight="1" spans="1:15">
      <c r="A425" s="380">
        <v>22999</v>
      </c>
      <c r="B425" s="151" t="s">
        <v>573</v>
      </c>
      <c r="C425" s="83">
        <f t="shared" ref="C425:M425" si="392">SUM(C426)</f>
        <v>20851.9</v>
      </c>
      <c r="D425" s="83">
        <f t="shared" si="392"/>
        <v>10</v>
      </c>
      <c r="E425" s="83">
        <f t="shared" si="392"/>
        <v>20861.9</v>
      </c>
      <c r="F425" s="83">
        <f t="shared" si="392"/>
        <v>164.640335</v>
      </c>
      <c r="G425" s="381">
        <f t="shared" si="392"/>
        <v>0</v>
      </c>
      <c r="H425" s="83">
        <f t="shared" si="392"/>
        <v>0</v>
      </c>
      <c r="I425" s="83">
        <f t="shared" si="392"/>
        <v>-16160.228335</v>
      </c>
      <c r="J425" s="83">
        <f t="shared" si="392"/>
        <v>-5</v>
      </c>
      <c r="K425" s="83">
        <f t="shared" si="392"/>
        <v>4856.312</v>
      </c>
      <c r="L425" s="83">
        <f t="shared" si="392"/>
        <v>5</v>
      </c>
      <c r="M425" s="83">
        <f t="shared" si="392"/>
        <v>4861.312</v>
      </c>
      <c r="N425" s="83">
        <f t="shared" si="356"/>
        <v>-76.6976545760453</v>
      </c>
      <c r="O425" s="388"/>
    </row>
    <row r="426" s="5" customFormat="1" customHeight="1" spans="1:15">
      <c r="A426" s="380">
        <v>2299999</v>
      </c>
      <c r="B426" s="151" t="s">
        <v>573</v>
      </c>
      <c r="C426" s="83">
        <v>20851.9</v>
      </c>
      <c r="D426" s="83">
        <v>10</v>
      </c>
      <c r="E426" s="83">
        <f>C426+D426</f>
        <v>20861.9</v>
      </c>
      <c r="F426" s="83">
        <f>127.220335+37.42</f>
        <v>164.640335</v>
      </c>
      <c r="G426" s="83">
        <v>0</v>
      </c>
      <c r="H426" s="83">
        <v>0</v>
      </c>
      <c r="I426" s="83">
        <f>-16122.808335-37.42</f>
        <v>-16160.228335</v>
      </c>
      <c r="J426" s="83">
        <f>L426-D426</f>
        <v>-5</v>
      </c>
      <c r="K426" s="83">
        <f>C426+F426+G426+H426+I426</f>
        <v>4856.312</v>
      </c>
      <c r="L426" s="83">
        <v>5</v>
      </c>
      <c r="M426" s="83">
        <f>K426+L426</f>
        <v>4861.312</v>
      </c>
      <c r="N426" s="83">
        <f t="shared" si="356"/>
        <v>-76.6976545760453</v>
      </c>
      <c r="O426" s="388" t="s">
        <v>574</v>
      </c>
    </row>
    <row r="427" s="5" customFormat="1" customHeight="1" spans="1:15">
      <c r="A427" s="377">
        <v>230</v>
      </c>
      <c r="B427" s="378" t="s">
        <v>575</v>
      </c>
      <c r="C427" s="379">
        <f t="shared" ref="C427:M427" si="393">C428</f>
        <v>10935.96</v>
      </c>
      <c r="D427" s="379">
        <f t="shared" si="393"/>
        <v>0</v>
      </c>
      <c r="E427" s="379">
        <f t="shared" si="393"/>
        <v>10935.96</v>
      </c>
      <c r="F427" s="379">
        <f t="shared" si="393"/>
        <v>0</v>
      </c>
      <c r="G427" s="379">
        <f t="shared" si="393"/>
        <v>0</v>
      </c>
      <c r="H427" s="379">
        <f t="shared" si="393"/>
        <v>0</v>
      </c>
      <c r="I427" s="379">
        <f t="shared" si="393"/>
        <v>0</v>
      </c>
      <c r="J427" s="379">
        <f t="shared" si="393"/>
        <v>0</v>
      </c>
      <c r="K427" s="379">
        <f t="shared" si="393"/>
        <v>10935.96</v>
      </c>
      <c r="L427" s="379">
        <f t="shared" si="393"/>
        <v>0</v>
      </c>
      <c r="M427" s="379">
        <f t="shared" si="393"/>
        <v>10935.96</v>
      </c>
      <c r="N427" s="379">
        <f t="shared" si="356"/>
        <v>0</v>
      </c>
      <c r="O427" s="387">
        <v>0</v>
      </c>
    </row>
    <row r="428" s="5" customFormat="1" customHeight="1" spans="1:15">
      <c r="A428" s="380">
        <v>23006</v>
      </c>
      <c r="B428" s="151" t="s">
        <v>576</v>
      </c>
      <c r="C428" s="83">
        <f t="shared" ref="C428:M428" si="394">SUM(C429)</f>
        <v>10935.96</v>
      </c>
      <c r="D428" s="83">
        <f t="shared" si="394"/>
        <v>0</v>
      </c>
      <c r="E428" s="83">
        <f t="shared" si="394"/>
        <v>10935.96</v>
      </c>
      <c r="F428" s="83">
        <f t="shared" si="394"/>
        <v>0</v>
      </c>
      <c r="G428" s="381">
        <f t="shared" si="394"/>
        <v>0</v>
      </c>
      <c r="H428" s="83">
        <f t="shared" si="394"/>
        <v>0</v>
      </c>
      <c r="I428" s="83">
        <f t="shared" si="394"/>
        <v>0</v>
      </c>
      <c r="J428" s="83">
        <f t="shared" si="394"/>
        <v>0</v>
      </c>
      <c r="K428" s="83">
        <f t="shared" si="394"/>
        <v>10935.96</v>
      </c>
      <c r="L428" s="83">
        <f t="shared" si="394"/>
        <v>0</v>
      </c>
      <c r="M428" s="83">
        <f t="shared" si="394"/>
        <v>10935.96</v>
      </c>
      <c r="N428" s="83">
        <f t="shared" si="356"/>
        <v>0</v>
      </c>
      <c r="O428" s="388"/>
    </row>
    <row r="429" s="5" customFormat="1" customHeight="1" spans="1:15">
      <c r="A429" s="380">
        <v>2300602</v>
      </c>
      <c r="B429" s="151" t="s">
        <v>577</v>
      </c>
      <c r="C429" s="83">
        <v>10935.96</v>
      </c>
      <c r="D429" s="83">
        <v>0</v>
      </c>
      <c r="E429" s="83">
        <f>C429+D429</f>
        <v>10935.96</v>
      </c>
      <c r="F429" s="83">
        <v>0</v>
      </c>
      <c r="G429" s="83">
        <v>0</v>
      </c>
      <c r="H429" s="83">
        <v>0</v>
      </c>
      <c r="I429" s="83">
        <v>0</v>
      </c>
      <c r="J429" s="83">
        <f>L429-D429</f>
        <v>0</v>
      </c>
      <c r="K429" s="83">
        <f>C429+F429+G429+H429+I429</f>
        <v>10935.96</v>
      </c>
      <c r="L429" s="83"/>
      <c r="M429" s="83">
        <f>K429+L429</f>
        <v>10935.96</v>
      </c>
      <c r="N429" s="83">
        <f t="shared" si="356"/>
        <v>0</v>
      </c>
      <c r="O429" s="388"/>
    </row>
    <row r="430" s="5" customFormat="1" customHeight="1" spans="1:15">
      <c r="A430" s="377">
        <v>231</v>
      </c>
      <c r="B430" s="378" t="s">
        <v>578</v>
      </c>
      <c r="C430" s="379">
        <f t="shared" ref="C430:M430" si="395">C431</f>
        <v>10144.1</v>
      </c>
      <c r="D430" s="379">
        <f t="shared" si="395"/>
        <v>0</v>
      </c>
      <c r="E430" s="379">
        <f t="shared" si="395"/>
        <v>10144.1</v>
      </c>
      <c r="F430" s="379">
        <f t="shared" si="395"/>
        <v>0</v>
      </c>
      <c r="G430" s="379">
        <f t="shared" si="395"/>
        <v>0</v>
      </c>
      <c r="H430" s="379">
        <f t="shared" si="395"/>
        <v>0</v>
      </c>
      <c r="I430" s="379">
        <f t="shared" si="395"/>
        <v>0</v>
      </c>
      <c r="J430" s="379">
        <f t="shared" si="395"/>
        <v>0</v>
      </c>
      <c r="K430" s="379">
        <f t="shared" si="395"/>
        <v>10144.1</v>
      </c>
      <c r="L430" s="379">
        <f t="shared" si="395"/>
        <v>0</v>
      </c>
      <c r="M430" s="379">
        <f t="shared" si="395"/>
        <v>10144.1</v>
      </c>
      <c r="N430" s="379">
        <f t="shared" si="356"/>
        <v>0</v>
      </c>
      <c r="O430" s="387">
        <v>0</v>
      </c>
    </row>
    <row r="431" s="5" customFormat="1" customHeight="1" spans="1:15">
      <c r="A431" s="380">
        <v>23103</v>
      </c>
      <c r="B431" s="151" t="s">
        <v>579</v>
      </c>
      <c r="C431" s="83">
        <f t="shared" ref="C431:M431" si="396">SUM(C432)</f>
        <v>10144.1</v>
      </c>
      <c r="D431" s="83">
        <f t="shared" si="396"/>
        <v>0</v>
      </c>
      <c r="E431" s="83">
        <f t="shared" si="396"/>
        <v>10144.1</v>
      </c>
      <c r="F431" s="83">
        <f t="shared" si="396"/>
        <v>0</v>
      </c>
      <c r="G431" s="381">
        <f t="shared" si="396"/>
        <v>0</v>
      </c>
      <c r="H431" s="83">
        <f t="shared" si="396"/>
        <v>0</v>
      </c>
      <c r="I431" s="83">
        <f t="shared" si="396"/>
        <v>0</v>
      </c>
      <c r="J431" s="83">
        <f t="shared" si="396"/>
        <v>0</v>
      </c>
      <c r="K431" s="83">
        <f t="shared" si="396"/>
        <v>10144.1</v>
      </c>
      <c r="L431" s="83">
        <f t="shared" si="396"/>
        <v>0</v>
      </c>
      <c r="M431" s="83">
        <f t="shared" si="396"/>
        <v>10144.1</v>
      </c>
      <c r="N431" s="83">
        <f t="shared" si="356"/>
        <v>0</v>
      </c>
      <c r="O431" s="388"/>
    </row>
    <row r="432" s="5" customFormat="1" customHeight="1" spans="1:15">
      <c r="A432" s="380">
        <v>2310301</v>
      </c>
      <c r="B432" s="151" t="s">
        <v>580</v>
      </c>
      <c r="C432" s="83">
        <v>10144.1</v>
      </c>
      <c r="D432" s="83">
        <v>0</v>
      </c>
      <c r="E432" s="83">
        <f t="shared" ref="E432:E437" si="397">C432+D432</f>
        <v>10144.1</v>
      </c>
      <c r="F432" s="83">
        <v>0</v>
      </c>
      <c r="G432" s="83">
        <v>0</v>
      </c>
      <c r="H432" s="83">
        <v>0</v>
      </c>
      <c r="I432" s="83">
        <v>0</v>
      </c>
      <c r="J432" s="83">
        <f t="shared" ref="J432:J437" si="398">L432-D432</f>
        <v>0</v>
      </c>
      <c r="K432" s="83">
        <f t="shared" ref="K432:K437" si="399">C432+F432+G432+H432+I432</f>
        <v>10144.1</v>
      </c>
      <c r="L432" s="83"/>
      <c r="M432" s="83">
        <f t="shared" ref="M432:M437" si="400">K432+L432</f>
        <v>10144.1</v>
      </c>
      <c r="N432" s="83">
        <f t="shared" si="356"/>
        <v>0</v>
      </c>
      <c r="O432" s="388">
        <v>0</v>
      </c>
    </row>
    <row r="433" s="5" customFormat="1" customHeight="1" spans="1:15">
      <c r="A433" s="377">
        <v>232</v>
      </c>
      <c r="B433" s="378" t="s">
        <v>581</v>
      </c>
      <c r="C433" s="379">
        <f t="shared" ref="C433:M433" si="401">C434</f>
        <v>3966.08</v>
      </c>
      <c r="D433" s="379">
        <f t="shared" si="401"/>
        <v>0</v>
      </c>
      <c r="E433" s="379">
        <f t="shared" si="401"/>
        <v>3966.08</v>
      </c>
      <c r="F433" s="379">
        <f t="shared" si="401"/>
        <v>11.52</v>
      </c>
      <c r="G433" s="379">
        <f t="shared" si="401"/>
        <v>0</v>
      </c>
      <c r="H433" s="379">
        <f t="shared" si="401"/>
        <v>0</v>
      </c>
      <c r="I433" s="379">
        <f t="shared" si="401"/>
        <v>0</v>
      </c>
      <c r="J433" s="379">
        <f t="shared" si="401"/>
        <v>0</v>
      </c>
      <c r="K433" s="379">
        <f t="shared" si="401"/>
        <v>3977.6</v>
      </c>
      <c r="L433" s="379">
        <f t="shared" si="401"/>
        <v>0</v>
      </c>
      <c r="M433" s="379">
        <f t="shared" si="401"/>
        <v>3977.6</v>
      </c>
      <c r="N433" s="379">
        <f t="shared" si="356"/>
        <v>0.29046312731967</v>
      </c>
      <c r="O433" s="387">
        <v>0</v>
      </c>
    </row>
    <row r="434" s="5" customFormat="1" customHeight="1" spans="1:15">
      <c r="A434" s="380">
        <v>23203</v>
      </c>
      <c r="B434" s="151" t="s">
        <v>582</v>
      </c>
      <c r="C434" s="83">
        <f t="shared" ref="C434:M434" si="402">SUM(C435)</f>
        <v>3966.08</v>
      </c>
      <c r="D434" s="83">
        <f t="shared" si="402"/>
        <v>0</v>
      </c>
      <c r="E434" s="83">
        <f t="shared" si="402"/>
        <v>3966.08</v>
      </c>
      <c r="F434" s="83">
        <f t="shared" si="402"/>
        <v>11.52</v>
      </c>
      <c r="G434" s="381">
        <f t="shared" si="402"/>
        <v>0</v>
      </c>
      <c r="H434" s="83">
        <f t="shared" si="402"/>
        <v>0</v>
      </c>
      <c r="I434" s="83">
        <f t="shared" si="402"/>
        <v>0</v>
      </c>
      <c r="J434" s="83">
        <f t="shared" si="402"/>
        <v>0</v>
      </c>
      <c r="K434" s="83">
        <f t="shared" si="402"/>
        <v>3977.6</v>
      </c>
      <c r="L434" s="83">
        <f t="shared" si="402"/>
        <v>0</v>
      </c>
      <c r="M434" s="83">
        <f t="shared" si="402"/>
        <v>3977.6</v>
      </c>
      <c r="N434" s="83">
        <f t="shared" si="356"/>
        <v>0.29046312731967</v>
      </c>
      <c r="O434" s="388"/>
    </row>
    <row r="435" s="5" customFormat="1" customHeight="1" spans="1:15">
      <c r="A435" s="380">
        <v>2320301</v>
      </c>
      <c r="B435" s="151" t="s">
        <v>583</v>
      </c>
      <c r="C435" s="83">
        <v>3966.08</v>
      </c>
      <c r="D435" s="83">
        <v>0</v>
      </c>
      <c r="E435" s="83">
        <f t="shared" si="397"/>
        <v>3966.08</v>
      </c>
      <c r="F435" s="83">
        <v>11.52</v>
      </c>
      <c r="G435" s="83"/>
      <c r="H435" s="83">
        <v>0</v>
      </c>
      <c r="I435" s="83">
        <v>0</v>
      </c>
      <c r="J435" s="83">
        <f t="shared" si="398"/>
        <v>0</v>
      </c>
      <c r="K435" s="83">
        <f t="shared" si="399"/>
        <v>3977.6</v>
      </c>
      <c r="L435" s="83"/>
      <c r="M435" s="83">
        <f t="shared" si="400"/>
        <v>3977.6</v>
      </c>
      <c r="N435" s="83">
        <f t="shared" si="356"/>
        <v>0.29046312731967</v>
      </c>
      <c r="O435" s="388"/>
    </row>
    <row r="436" s="5" customFormat="1" customHeight="1" spans="1:15">
      <c r="A436" s="377">
        <v>233</v>
      </c>
      <c r="B436" s="378" t="s">
        <v>584</v>
      </c>
      <c r="C436" s="379">
        <f t="shared" ref="C436:M436" si="403">C437</f>
        <v>105.81</v>
      </c>
      <c r="D436" s="379">
        <f t="shared" si="403"/>
        <v>0</v>
      </c>
      <c r="E436" s="379">
        <f t="shared" si="403"/>
        <v>105.81</v>
      </c>
      <c r="F436" s="379">
        <f t="shared" si="403"/>
        <v>-35.12</v>
      </c>
      <c r="G436" s="379">
        <f t="shared" si="403"/>
        <v>0</v>
      </c>
      <c r="H436" s="379">
        <f t="shared" si="403"/>
        <v>0</v>
      </c>
      <c r="I436" s="379">
        <f t="shared" si="403"/>
        <v>0</v>
      </c>
      <c r="J436" s="379">
        <f t="shared" si="403"/>
        <v>0</v>
      </c>
      <c r="K436" s="379">
        <f t="shared" si="403"/>
        <v>70.69</v>
      </c>
      <c r="L436" s="379">
        <f t="shared" si="403"/>
        <v>0</v>
      </c>
      <c r="M436" s="379">
        <f t="shared" si="403"/>
        <v>70.69</v>
      </c>
      <c r="N436" s="379">
        <f t="shared" si="356"/>
        <v>-33.1915697949154</v>
      </c>
      <c r="O436" s="387">
        <v>0</v>
      </c>
    </row>
    <row r="437" s="5" customFormat="1" customHeight="1" spans="1:15">
      <c r="A437" s="380">
        <v>23303</v>
      </c>
      <c r="B437" s="151" t="s">
        <v>585</v>
      </c>
      <c r="C437" s="83">
        <v>105.81</v>
      </c>
      <c r="D437" s="83">
        <v>0</v>
      </c>
      <c r="E437" s="83">
        <f t="shared" si="397"/>
        <v>105.81</v>
      </c>
      <c r="F437" s="83">
        <v>-35.12</v>
      </c>
      <c r="G437" s="381"/>
      <c r="H437" s="83">
        <v>0</v>
      </c>
      <c r="I437" s="83">
        <v>0</v>
      </c>
      <c r="J437" s="83">
        <f t="shared" si="398"/>
        <v>0</v>
      </c>
      <c r="K437" s="83">
        <f t="shared" si="399"/>
        <v>70.69</v>
      </c>
      <c r="L437" s="83"/>
      <c r="M437" s="83">
        <f t="shared" si="400"/>
        <v>70.69</v>
      </c>
      <c r="N437" s="83">
        <f t="shared" si="356"/>
        <v>-33.1915697949154</v>
      </c>
      <c r="O437" s="388"/>
    </row>
    <row r="438" s="36" customFormat="1" customHeight="1" spans="1:15">
      <c r="A438" s="392" t="s">
        <v>87</v>
      </c>
      <c r="B438" s="393"/>
      <c r="C438" s="138">
        <f t="shared" ref="C438:M438" si="404">C6+C97+C104+C127+C150+C159+C175+C247+C288+C299+C314+C353+C362+C371+C378+C383+C390+C399+C407+C423+C424+C427+C430+C433+C436</f>
        <v>237366.68</v>
      </c>
      <c r="D438" s="138">
        <f t="shared" si="404"/>
        <v>78498.041203</v>
      </c>
      <c r="E438" s="138">
        <f t="shared" si="404"/>
        <v>315864.721203</v>
      </c>
      <c r="F438" s="138">
        <f>F6+F97+F104+F127+F150+F159+F175+F247+F288+F299+F314+F353+F362+F371+F378+F383+F390+F399+F407+F423+F424+F427+F430+F433+F436-1</f>
        <v>-32173.153028</v>
      </c>
      <c r="G438" s="138">
        <f t="shared" si="404"/>
        <v>0</v>
      </c>
      <c r="H438" s="138">
        <f>H6+H97+H104+H127+H150+H159+H175+H247+H288+H299+H314+H353+H362+H371+H378+H383+H390+H399+H407+H423+H424+H427+H430+H433+H436+1</f>
        <v>-23504.808075</v>
      </c>
      <c r="I438" s="138">
        <f t="shared" si="404"/>
        <v>-0.0103909999997995</v>
      </c>
      <c r="J438" s="138">
        <f t="shared" si="404"/>
        <v>-27179.701203</v>
      </c>
      <c r="K438" s="138">
        <f t="shared" si="404"/>
        <v>181688.708506</v>
      </c>
      <c r="L438" s="138">
        <f t="shared" si="404"/>
        <v>51318.34</v>
      </c>
      <c r="M438" s="138">
        <f t="shared" si="404"/>
        <v>233007.048506</v>
      </c>
      <c r="N438" s="138">
        <f t="shared" si="356"/>
        <v>-26.2320123568814</v>
      </c>
      <c r="O438" s="394"/>
    </row>
    <row r="439" s="5" customFormat="1" customHeight="1"/>
    <row r="440" s="5" customFormat="1" customHeight="1"/>
    <row r="441" s="5" customFormat="1" customHeight="1"/>
    <row r="442" s="5" customFormat="1" customHeight="1"/>
    <row r="443" s="5" customFormat="1" customHeight="1"/>
    <row r="444" s="5" customFormat="1" customHeight="1"/>
    <row r="445" s="5" customFormat="1" customHeight="1"/>
    <row r="446" s="5" customFormat="1" customHeight="1"/>
    <row r="447" s="5" customFormat="1" customHeight="1"/>
    <row r="448" s="5" customFormat="1" customHeight="1"/>
    <row r="449" s="5" customFormat="1" customHeight="1"/>
    <row r="450" s="5" customFormat="1" customHeight="1"/>
    <row r="451" s="5" customFormat="1" customHeight="1"/>
    <row r="452" s="5" customFormat="1" customHeight="1"/>
    <row r="453" s="5" customFormat="1" customHeight="1"/>
    <row r="454" s="5" customFormat="1" customHeight="1"/>
    <row r="455" s="5" customFormat="1" customHeight="1"/>
    <row r="456" s="5" customFormat="1" customHeight="1"/>
    <row r="457" s="5" customFormat="1" customHeight="1"/>
    <row r="458" s="5" customFormat="1" customHeight="1"/>
    <row r="459" s="5" customFormat="1" customHeight="1"/>
    <row r="460" s="5" customFormat="1" customHeight="1"/>
    <row r="461" s="5" customFormat="1" customHeight="1"/>
    <row r="462" s="5" customFormat="1" customHeight="1"/>
    <row r="463" s="5" customFormat="1" customHeight="1"/>
    <row r="464" s="5" customFormat="1" customHeight="1"/>
    <row r="465" s="5" customFormat="1" customHeight="1"/>
    <row r="466" s="5" customFormat="1" customHeight="1"/>
    <row r="467" s="5" customFormat="1" customHeight="1"/>
    <row r="468" s="5" customFormat="1" customHeight="1"/>
    <row r="469" s="5" customFormat="1" customHeight="1"/>
    <row r="470" s="5" customFormat="1" customHeight="1"/>
    <row r="471" s="5" customFormat="1" customHeight="1"/>
    <row r="472" s="5" customFormat="1" customHeight="1"/>
    <row r="473" s="5" customFormat="1" customHeight="1"/>
    <row r="474" s="5" customFormat="1" customHeight="1"/>
    <row r="475" s="5" customFormat="1" customHeight="1"/>
    <row r="476" s="5" customFormat="1" customHeight="1"/>
    <row r="477" s="5" customFormat="1" customHeight="1"/>
    <row r="478" s="5" customFormat="1" customHeight="1"/>
    <row r="479" s="5" customFormat="1" customHeight="1"/>
    <row r="480" s="5" customFormat="1" customHeight="1"/>
    <row r="481" s="5" customFormat="1" customHeight="1"/>
    <row r="482" s="5" customFormat="1" customHeight="1"/>
    <row r="483" s="5" customFormat="1" customHeight="1"/>
    <row r="484" s="5" customFormat="1" customHeight="1"/>
    <row r="485" s="5" customFormat="1" customHeight="1"/>
    <row r="486" s="5" customFormat="1" customHeight="1"/>
    <row r="487" s="5" customFormat="1" customHeight="1"/>
    <row r="488" s="5" customFormat="1" customHeight="1"/>
    <row r="489" s="5" customFormat="1" customHeight="1"/>
    <row r="490" s="5" customFormat="1" customHeight="1"/>
    <row r="491" s="5" customFormat="1" customHeight="1"/>
    <row r="492" s="5" customFormat="1" customHeight="1"/>
    <row r="493" s="5" customFormat="1" customHeight="1"/>
    <row r="494" s="5" customFormat="1" customHeight="1"/>
    <row r="495" s="5" customFormat="1" customHeight="1"/>
    <row r="496" s="5" customFormat="1" customHeight="1"/>
    <row r="497" s="5" customFormat="1" customHeight="1"/>
    <row r="498" s="5" customFormat="1" customHeight="1"/>
    <row r="499" s="5" customFormat="1" customHeight="1"/>
    <row r="500" s="5" customFormat="1" customHeight="1"/>
    <row r="501" s="5" customFormat="1" customHeight="1"/>
    <row r="502" s="5" customFormat="1" customHeight="1"/>
    <row r="503" s="5" customFormat="1" customHeight="1"/>
    <row r="504" s="5" customFormat="1" customHeight="1"/>
    <row r="505" s="5" customFormat="1" customHeight="1"/>
    <row r="506" s="5" customFormat="1" customHeight="1"/>
    <row r="507" s="5" customFormat="1" customHeight="1"/>
    <row r="508" s="5" customFormat="1" customHeight="1"/>
    <row r="509" s="5" customFormat="1" customHeight="1"/>
    <row r="510" s="5" customFormat="1" customHeight="1"/>
    <row r="511" s="5" customFormat="1" customHeight="1"/>
    <row r="512" s="5" customFormat="1" customHeight="1"/>
    <row r="513" s="5" customFormat="1" customHeight="1"/>
    <row r="514" s="5" customFormat="1" customHeight="1"/>
    <row r="515" s="5" customFormat="1" customHeight="1"/>
    <row r="516" s="5" customFormat="1" customHeight="1"/>
    <row r="517" s="5" customFormat="1" customHeight="1"/>
    <row r="518" s="5" customFormat="1" customHeight="1"/>
    <row r="519" s="5" customFormat="1" customHeight="1"/>
    <row r="520" s="5" customFormat="1" customHeight="1"/>
    <row r="521" s="5" customFormat="1" customHeight="1"/>
    <row r="522" s="5" customFormat="1" customHeight="1"/>
    <row r="523" s="5" customFormat="1" customHeight="1"/>
    <row r="524" s="5" customFormat="1" customHeight="1"/>
    <row r="525" s="5" customFormat="1" customHeight="1"/>
    <row r="526" s="5" customFormat="1" customHeight="1"/>
    <row r="527" s="5" customFormat="1" customHeight="1"/>
    <row r="528" s="5" customFormat="1" customHeight="1"/>
    <row r="529" s="5" customFormat="1" customHeight="1"/>
    <row r="530" s="5" customFormat="1" customHeight="1"/>
    <row r="531" s="5" customFormat="1" customHeight="1"/>
    <row r="532" s="5" customFormat="1" customHeight="1"/>
    <row r="533" s="5" customFormat="1" customHeight="1"/>
    <row r="534" s="5" customFormat="1" customHeight="1"/>
    <row r="535" s="5" customFormat="1" customHeight="1"/>
    <row r="536" s="5" customFormat="1" customHeight="1"/>
    <row r="537" s="5" customFormat="1" customHeight="1"/>
    <row r="538" s="5" customFormat="1" customHeight="1"/>
    <row r="539" s="5" customFormat="1" customHeight="1"/>
    <row r="540" s="5" customFormat="1" customHeight="1"/>
    <row r="541" s="5" customFormat="1" customHeight="1"/>
    <row r="542" s="5" customFormat="1" customHeight="1"/>
    <row r="543" s="5" customFormat="1" customHeight="1"/>
    <row r="544" s="5" customFormat="1" customHeight="1"/>
    <row r="545" s="5" customFormat="1" customHeight="1"/>
    <row r="546" s="5" customFormat="1" customHeight="1"/>
    <row r="547" s="5" customFormat="1" customHeight="1"/>
    <row r="548" s="5" customFormat="1" customHeight="1"/>
    <row r="549" s="5" customFormat="1" customHeight="1"/>
    <row r="550" s="5" customFormat="1" customHeight="1"/>
    <row r="551" s="5" customFormat="1" customHeight="1"/>
    <row r="552" s="5" customFormat="1" customHeight="1"/>
    <row r="553" s="5" customFormat="1" customHeight="1"/>
    <row r="554" s="5" customFormat="1" customHeight="1"/>
    <row r="555" s="5" customFormat="1" customHeight="1"/>
    <row r="556" s="5" customFormat="1" customHeight="1"/>
    <row r="557" s="5" customFormat="1" customHeight="1"/>
    <row r="558" s="5" customFormat="1" customHeight="1"/>
    <row r="559" s="5" customFormat="1" customHeight="1"/>
    <row r="560" s="5" customFormat="1" customHeight="1"/>
    <row r="561" s="5" customFormat="1" customHeight="1"/>
    <row r="562" s="5" customFormat="1" customHeight="1"/>
    <row r="563" s="5" customFormat="1" customHeight="1"/>
    <row r="564" s="5" customFormat="1" customHeight="1"/>
  </sheetData>
  <autoFilter xmlns:etc="http://www.wps.cn/officeDocument/2017/etCustomData" ref="A5:XFD438" etc:filterBottomFollowUsedRange="0">
    <extLst/>
  </autoFilter>
  <mergeCells count="9">
    <mergeCell ref="A2:O2"/>
    <mergeCell ref="C4:E4"/>
    <mergeCell ref="F4:J4"/>
    <mergeCell ref="K4:M4"/>
    <mergeCell ref="A438:B438"/>
    <mergeCell ref="A4:A5"/>
    <mergeCell ref="B4:B5"/>
    <mergeCell ref="N4:N5"/>
    <mergeCell ref="O4:O5"/>
  </mergeCells>
  <printOptions horizontalCentered="1"/>
  <pageMargins left="0.393055555555556" right="0.393055555555556" top="0.590277777777778" bottom="0.590277777777778" header="0.196527777777778" footer="0.196527777777778"/>
  <pageSetup paperSize="9" scale="57"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34"/>
  <sheetViews>
    <sheetView view="pageBreakPreview" zoomScale="80" zoomScaleNormal="100" workbookViewId="0">
      <pane ySplit="5" topLeftCell="A6" activePane="bottomLeft" state="frozen"/>
      <selection/>
      <selection pane="bottomLeft" activeCell="A736" sqref="$A736:$XFD783"/>
    </sheetView>
  </sheetViews>
  <sheetFormatPr defaultColWidth="9" defaultRowHeight="30" customHeight="1"/>
  <cols>
    <col min="1" max="1" width="5.625" style="320" customWidth="1"/>
    <col min="2" max="2" width="10.625" style="321" hidden="1" customWidth="1"/>
    <col min="3" max="3" width="20.625" style="112" customWidth="1"/>
    <col min="4" max="4" width="50.625" style="112" customWidth="1"/>
    <col min="5" max="5" width="15.625" style="322" customWidth="1"/>
    <col min="6" max="6" width="15.625" style="322" hidden="1" customWidth="1"/>
    <col min="7" max="9" width="15.625" style="322" customWidth="1"/>
    <col min="10" max="10" width="65.625" style="112" customWidth="1"/>
    <col min="11" max="16384" width="9" style="317"/>
  </cols>
  <sheetData>
    <row r="1" ht="20" customHeight="1" spans="1:3">
      <c r="A1" s="323" t="s">
        <v>586</v>
      </c>
      <c r="B1" s="323"/>
      <c r="C1" s="323"/>
    </row>
    <row r="2" customHeight="1" spans="1:10">
      <c r="A2" s="80" t="s">
        <v>587</v>
      </c>
      <c r="B2" s="324"/>
      <c r="C2" s="325"/>
      <c r="D2" s="325"/>
      <c r="E2" s="326"/>
      <c r="F2" s="326"/>
      <c r="G2" s="326"/>
      <c r="H2" s="326"/>
      <c r="I2" s="326"/>
      <c r="J2" s="325"/>
    </row>
    <row r="3" ht="20" customHeight="1" spans="9:10">
      <c r="I3" s="341" t="s">
        <v>24</v>
      </c>
      <c r="J3" s="342"/>
    </row>
    <row r="4" s="316" customFormat="1" customHeight="1" spans="1:10">
      <c r="A4" s="39" t="s">
        <v>588</v>
      </c>
      <c r="B4" s="39" t="s">
        <v>589</v>
      </c>
      <c r="C4" s="39" t="s">
        <v>590</v>
      </c>
      <c r="D4" s="38" t="s">
        <v>591</v>
      </c>
      <c r="E4" s="327" t="s">
        <v>592</v>
      </c>
      <c r="F4" s="327" t="s">
        <v>593</v>
      </c>
      <c r="G4" s="328" t="s">
        <v>594</v>
      </c>
      <c r="H4" s="328"/>
      <c r="I4" s="328" t="s">
        <v>28</v>
      </c>
      <c r="J4" s="38" t="s">
        <v>30</v>
      </c>
    </row>
    <row r="5" s="316" customFormat="1" customHeight="1" spans="1:10">
      <c r="A5" s="116"/>
      <c r="B5" s="116"/>
      <c r="C5" s="116"/>
      <c r="D5" s="38"/>
      <c r="E5" s="329"/>
      <c r="F5" s="329"/>
      <c r="G5" s="328" t="s">
        <v>595</v>
      </c>
      <c r="H5" s="328" t="s">
        <v>596</v>
      </c>
      <c r="I5" s="328"/>
      <c r="J5" s="38"/>
    </row>
    <row r="6" s="317" customFormat="1" customHeight="1" spans="1:10">
      <c r="A6" s="55" t="s">
        <v>87</v>
      </c>
      <c r="B6" s="55"/>
      <c r="C6" s="63"/>
      <c r="D6" s="63"/>
      <c r="E6" s="330">
        <f t="shared" ref="E6:I6" si="0">E7+E22+E23+E24</f>
        <v>237367.137959</v>
      </c>
      <c r="F6" s="330">
        <f t="shared" si="0"/>
        <v>59279.858118</v>
      </c>
      <c r="G6" s="330">
        <f t="shared" si="0"/>
        <v>-55678.217475</v>
      </c>
      <c r="H6" s="330">
        <f t="shared" si="0"/>
        <v>-55678.217475</v>
      </c>
      <c r="I6" s="330">
        <f t="shared" si="0"/>
        <v>181688.920484</v>
      </c>
      <c r="J6" s="37"/>
    </row>
    <row r="7" s="317" customFormat="1" customHeight="1" spans="1:10">
      <c r="A7" s="19" t="s">
        <v>597</v>
      </c>
      <c r="B7" s="331"/>
      <c r="C7" s="331"/>
      <c r="D7" s="20"/>
      <c r="E7" s="139">
        <f>SUM(E8:E21)</f>
        <v>109709.206817</v>
      </c>
      <c r="F7" s="332">
        <f t="shared" ref="E7:H7" si="1">SUM(F8:F21)</f>
        <v>19515.57318</v>
      </c>
      <c r="G7" s="139">
        <f t="shared" si="1"/>
        <v>-4961.942188</v>
      </c>
      <c r="H7" s="139">
        <f t="shared" si="1"/>
        <v>-4961.942188</v>
      </c>
      <c r="I7" s="139">
        <f t="shared" ref="I7:I67" si="2">E7+H7</f>
        <v>104747.264629</v>
      </c>
      <c r="J7" s="343"/>
    </row>
    <row r="8" s="317" customFormat="1" hidden="1" customHeight="1" spans="1:10">
      <c r="A8" s="128"/>
      <c r="B8" s="152" t="s">
        <v>598</v>
      </c>
      <c r="C8" s="333" t="s">
        <v>599</v>
      </c>
      <c r="D8" s="71" t="s">
        <v>600</v>
      </c>
      <c r="E8" s="83">
        <v>7190.39</v>
      </c>
      <c r="F8" s="83">
        <v>2012.737599</v>
      </c>
      <c r="G8" s="83">
        <v>-1100</v>
      </c>
      <c r="H8" s="83">
        <v>-1100</v>
      </c>
      <c r="I8" s="83">
        <f t="shared" si="2"/>
        <v>6090.39</v>
      </c>
      <c r="J8" s="71"/>
    </row>
    <row r="9" s="317" customFormat="1" hidden="1" customHeight="1" spans="1:10">
      <c r="A9" s="128"/>
      <c r="B9" s="152" t="s">
        <v>601</v>
      </c>
      <c r="C9" s="333" t="s">
        <v>602</v>
      </c>
      <c r="D9" s="71" t="s">
        <v>600</v>
      </c>
      <c r="E9" s="83">
        <v>6156.3503</v>
      </c>
      <c r="F9" s="83">
        <v>628.794073</v>
      </c>
      <c r="G9" s="83">
        <v>-413.72135</v>
      </c>
      <c r="H9" s="83">
        <v>-413.72135</v>
      </c>
      <c r="I9" s="83">
        <f t="shared" ref="I9:I21" si="3">E9+H9</f>
        <v>5742.62895</v>
      </c>
      <c r="J9" s="71"/>
    </row>
    <row r="10" s="317" customFormat="1" hidden="1" customHeight="1" spans="1:10">
      <c r="A10" s="128"/>
      <c r="B10" s="152" t="s">
        <v>603</v>
      </c>
      <c r="C10" s="71" t="s">
        <v>604</v>
      </c>
      <c r="D10" s="151" t="s">
        <v>600</v>
      </c>
      <c r="E10" s="83">
        <v>13557.289704</v>
      </c>
      <c r="F10" s="83">
        <v>3076.55471</v>
      </c>
      <c r="G10" s="83">
        <v>-1153.422266</v>
      </c>
      <c r="H10" s="83">
        <v>-1153.422266</v>
      </c>
      <c r="I10" s="83">
        <f t="shared" si="3"/>
        <v>12403.867438</v>
      </c>
      <c r="J10" s="59" t="s">
        <v>605</v>
      </c>
    </row>
    <row r="11" s="317" customFormat="1" hidden="1" customHeight="1" spans="1:10">
      <c r="A11" s="128"/>
      <c r="B11" s="152" t="s">
        <v>606</v>
      </c>
      <c r="C11" s="71" t="s">
        <v>607</v>
      </c>
      <c r="D11" s="71" t="s">
        <v>608</v>
      </c>
      <c r="E11" s="83">
        <v>2.5</v>
      </c>
      <c r="F11" s="83">
        <v>2.5</v>
      </c>
      <c r="G11" s="83">
        <v>-2.5</v>
      </c>
      <c r="H11" s="83">
        <v>-2.5</v>
      </c>
      <c r="I11" s="83">
        <f t="shared" si="3"/>
        <v>0</v>
      </c>
      <c r="J11" s="59" t="s">
        <v>609</v>
      </c>
    </row>
    <row r="12" s="317" customFormat="1" hidden="1" customHeight="1" spans="1:10">
      <c r="A12" s="128"/>
      <c r="B12" s="152" t="s">
        <v>606</v>
      </c>
      <c r="C12" s="71" t="s">
        <v>610</v>
      </c>
      <c r="D12" s="71" t="s">
        <v>608</v>
      </c>
      <c r="E12" s="83">
        <v>3.57</v>
      </c>
      <c r="F12" s="83">
        <v>0</v>
      </c>
      <c r="G12" s="83"/>
      <c r="H12" s="83"/>
      <c r="I12" s="83">
        <f t="shared" si="3"/>
        <v>3.57</v>
      </c>
      <c r="J12" s="59"/>
    </row>
    <row r="13" s="317" customFormat="1" hidden="1" customHeight="1" spans="1:10">
      <c r="A13" s="128"/>
      <c r="B13" s="152" t="s">
        <v>601</v>
      </c>
      <c r="C13" s="333" t="s">
        <v>611</v>
      </c>
      <c r="D13" s="71" t="s">
        <v>612</v>
      </c>
      <c r="E13" s="83">
        <v>6000</v>
      </c>
      <c r="F13" s="83">
        <v>897.538619</v>
      </c>
      <c r="G13" s="83">
        <v>-897.538619</v>
      </c>
      <c r="H13" s="83">
        <v>-897.538619</v>
      </c>
      <c r="I13" s="83">
        <f t="shared" si="3"/>
        <v>5102.461381</v>
      </c>
      <c r="J13" s="71"/>
    </row>
    <row r="14" s="317" customFormat="1" hidden="1" customHeight="1" spans="1:10">
      <c r="A14" s="128"/>
      <c r="B14" s="152" t="s">
        <v>613</v>
      </c>
      <c r="C14" s="333" t="s">
        <v>614</v>
      </c>
      <c r="D14" s="151" t="s">
        <v>600</v>
      </c>
      <c r="E14" s="83">
        <v>2276.436813</v>
      </c>
      <c r="F14" s="83">
        <v>754.648179</v>
      </c>
      <c r="G14" s="83">
        <v>-360</v>
      </c>
      <c r="H14" s="83">
        <v>-360</v>
      </c>
      <c r="I14" s="83">
        <f t="shared" si="3"/>
        <v>1916.436813</v>
      </c>
      <c r="J14" s="59" t="s">
        <v>615</v>
      </c>
    </row>
    <row r="15" s="317" customFormat="1" hidden="1" customHeight="1" spans="1:10">
      <c r="A15" s="128"/>
      <c r="B15" s="152" t="s">
        <v>616</v>
      </c>
      <c r="C15" s="333" t="s">
        <v>617</v>
      </c>
      <c r="D15" s="151" t="s">
        <v>618</v>
      </c>
      <c r="E15" s="83">
        <v>420</v>
      </c>
      <c r="F15" s="83">
        <v>13.76</v>
      </c>
      <c r="G15" s="83">
        <v>-5</v>
      </c>
      <c r="H15" s="83">
        <v>-5</v>
      </c>
      <c r="I15" s="83">
        <f t="shared" si="3"/>
        <v>415</v>
      </c>
      <c r="J15" s="59"/>
    </row>
    <row r="16" s="317" customFormat="1" hidden="1" customHeight="1" spans="1:10">
      <c r="A16" s="128"/>
      <c r="B16" s="152" t="s">
        <v>616</v>
      </c>
      <c r="C16" s="333" t="s">
        <v>602</v>
      </c>
      <c r="D16" s="151" t="s">
        <v>600</v>
      </c>
      <c r="E16" s="83">
        <v>2651.03</v>
      </c>
      <c r="F16" s="83">
        <v>35.2</v>
      </c>
      <c r="G16" s="83">
        <v>-560</v>
      </c>
      <c r="H16" s="83">
        <v>-560</v>
      </c>
      <c r="I16" s="83">
        <f t="shared" si="3"/>
        <v>2091.03</v>
      </c>
      <c r="J16" s="59"/>
    </row>
    <row r="17" s="317" customFormat="1" hidden="1" customHeight="1" spans="1:10">
      <c r="A17" s="128"/>
      <c r="B17" s="152" t="s">
        <v>616</v>
      </c>
      <c r="C17" s="333" t="s">
        <v>619</v>
      </c>
      <c r="D17" s="151" t="s">
        <v>620</v>
      </c>
      <c r="E17" s="83">
        <v>23.1</v>
      </c>
      <c r="F17" s="83">
        <v>0.6</v>
      </c>
      <c r="G17" s="83"/>
      <c r="H17" s="83"/>
      <c r="I17" s="83">
        <f t="shared" si="3"/>
        <v>23.1</v>
      </c>
      <c r="J17" s="59"/>
    </row>
    <row r="18" s="317" customFormat="1" hidden="1" customHeight="1" spans="1:10">
      <c r="A18" s="128"/>
      <c r="B18" s="152" t="s">
        <v>616</v>
      </c>
      <c r="C18" s="333" t="s">
        <v>621</v>
      </c>
      <c r="D18" s="151" t="s">
        <v>622</v>
      </c>
      <c r="E18" s="83">
        <v>60.8</v>
      </c>
      <c r="F18" s="83">
        <v>0</v>
      </c>
      <c r="G18" s="83"/>
      <c r="H18" s="83"/>
      <c r="I18" s="83">
        <f t="shared" si="3"/>
        <v>60.8</v>
      </c>
      <c r="J18" s="59"/>
    </row>
    <row r="19" s="317" customFormat="1" hidden="1" customHeight="1" spans="1:10">
      <c r="A19" s="128"/>
      <c r="B19" s="152" t="s">
        <v>616</v>
      </c>
      <c r="C19" s="333" t="s">
        <v>623</v>
      </c>
      <c r="D19" s="151" t="s">
        <v>608</v>
      </c>
      <c r="E19" s="83">
        <v>45</v>
      </c>
      <c r="F19" s="83">
        <v>21.35</v>
      </c>
      <c r="G19" s="83">
        <v>-10</v>
      </c>
      <c r="H19" s="83">
        <v>-10</v>
      </c>
      <c r="I19" s="83">
        <f t="shared" si="3"/>
        <v>35</v>
      </c>
      <c r="J19" s="59"/>
    </row>
    <row r="20" s="317" customFormat="1" hidden="1" customHeight="1" spans="1:10">
      <c r="A20" s="128"/>
      <c r="B20" s="152" t="s">
        <v>624</v>
      </c>
      <c r="C20" s="333" t="s">
        <v>602</v>
      </c>
      <c r="D20" s="151" t="s">
        <v>600</v>
      </c>
      <c r="E20" s="83">
        <v>71322.74</v>
      </c>
      <c r="F20" s="83">
        <v>12071.89</v>
      </c>
      <c r="G20" s="83">
        <v>-3979.759953</v>
      </c>
      <c r="H20" s="83">
        <v>-3979.759953</v>
      </c>
      <c r="I20" s="83">
        <f t="shared" si="3"/>
        <v>67342.980047</v>
      </c>
      <c r="J20" s="59"/>
    </row>
    <row r="21" s="317" customFormat="1" hidden="1" customHeight="1" spans="1:10">
      <c r="A21" s="128"/>
      <c r="B21" s="152" t="s">
        <v>624</v>
      </c>
      <c r="C21" s="333" t="s">
        <v>602</v>
      </c>
      <c r="D21" s="151" t="s">
        <v>625</v>
      </c>
      <c r="E21" s="83">
        <v>0</v>
      </c>
      <c r="F21" s="83">
        <v>0</v>
      </c>
      <c r="G21" s="83">
        <f>2400+1120</f>
        <v>3520</v>
      </c>
      <c r="H21" s="83">
        <f>2400+1120</f>
        <v>3520</v>
      </c>
      <c r="I21" s="83">
        <f t="shared" si="3"/>
        <v>3520</v>
      </c>
      <c r="J21" s="59"/>
    </row>
    <row r="22" s="317" customFormat="1" customHeight="1" spans="1:10">
      <c r="A22" s="19" t="s">
        <v>626</v>
      </c>
      <c r="B22" s="331"/>
      <c r="C22" s="331"/>
      <c r="D22" s="20"/>
      <c r="E22" s="139">
        <v>38343.37</v>
      </c>
      <c r="F22" s="332"/>
      <c r="G22" s="139">
        <f>-23305.612732-200+0.2</f>
        <v>-23505.412732</v>
      </c>
      <c r="H22" s="139">
        <f>-23305.612732-200+0.2</f>
        <v>-23505.412732</v>
      </c>
      <c r="I22" s="139">
        <f t="shared" si="2"/>
        <v>14837.957268</v>
      </c>
      <c r="J22" s="343" t="s">
        <v>627</v>
      </c>
    </row>
    <row r="23" s="317" customFormat="1" customHeight="1" spans="1:10">
      <c r="A23" s="19" t="s">
        <v>628</v>
      </c>
      <c r="B23" s="331"/>
      <c r="C23" s="331"/>
      <c r="D23" s="20"/>
      <c r="E23" s="139">
        <v>7500</v>
      </c>
      <c r="F23" s="332"/>
      <c r="G23" s="139"/>
      <c r="H23" s="139"/>
      <c r="I23" s="139">
        <f t="shared" si="2"/>
        <v>7500</v>
      </c>
      <c r="J23" s="343"/>
    </row>
    <row r="24" s="317" customFormat="1" customHeight="1" spans="1:10">
      <c r="A24" s="334" t="s">
        <v>629</v>
      </c>
      <c r="B24" s="335"/>
      <c r="C24" s="335"/>
      <c r="D24" s="336"/>
      <c r="E24" s="138">
        <f>SUM(E25:E734)/2+0.2</f>
        <v>81814.561142</v>
      </c>
      <c r="F24" s="138">
        <f>SUM(F25:F734)/2</f>
        <v>39764.284938</v>
      </c>
      <c r="G24" s="138">
        <f>SUM(G25:G734)/2</f>
        <v>-27210.862555</v>
      </c>
      <c r="H24" s="138">
        <f>SUM(H25:H734)/2</f>
        <v>-27210.862555</v>
      </c>
      <c r="I24" s="139">
        <f t="shared" si="2"/>
        <v>54603.698587</v>
      </c>
      <c r="J24" s="344"/>
    </row>
    <row r="25" s="317" customFormat="1" customHeight="1" spans="1:10">
      <c r="A25" s="128">
        <v>1</v>
      </c>
      <c r="B25" s="152" t="s">
        <v>603</v>
      </c>
      <c r="C25" s="71" t="s">
        <v>604</v>
      </c>
      <c r="D25" s="151" t="s">
        <v>630</v>
      </c>
      <c r="E25" s="83">
        <v>1463.93</v>
      </c>
      <c r="F25" s="83">
        <v>540.672396</v>
      </c>
      <c r="G25" s="83">
        <v>-376.502396</v>
      </c>
      <c r="H25" s="83">
        <v>-376.502396</v>
      </c>
      <c r="I25" s="83">
        <f t="shared" si="2"/>
        <v>1087.427604</v>
      </c>
      <c r="J25" s="59"/>
    </row>
    <row r="26" s="317" customFormat="1" customHeight="1" spans="1:10">
      <c r="A26" s="128">
        <v>2</v>
      </c>
      <c r="B26" s="152" t="s">
        <v>603</v>
      </c>
      <c r="C26" s="71" t="s">
        <v>604</v>
      </c>
      <c r="D26" s="151" t="s">
        <v>631</v>
      </c>
      <c r="E26" s="83">
        <v>84.29</v>
      </c>
      <c r="F26" s="83">
        <v>22.791794</v>
      </c>
      <c r="G26" s="83">
        <v>-17.145577</v>
      </c>
      <c r="H26" s="83">
        <v>-17.145577</v>
      </c>
      <c r="I26" s="83">
        <f t="shared" si="2"/>
        <v>67.144423</v>
      </c>
      <c r="J26" s="59"/>
    </row>
    <row r="27" s="317" customFormat="1" customHeight="1" spans="1:10">
      <c r="A27" s="128">
        <v>3</v>
      </c>
      <c r="B27" s="152" t="s">
        <v>603</v>
      </c>
      <c r="C27" s="71" t="s">
        <v>604</v>
      </c>
      <c r="D27" s="151" t="s">
        <v>632</v>
      </c>
      <c r="E27" s="83">
        <v>100.3</v>
      </c>
      <c r="F27" s="83">
        <v>12.544684</v>
      </c>
      <c r="G27" s="83">
        <v>-4.478776</v>
      </c>
      <c r="H27" s="83">
        <v>-4.478776</v>
      </c>
      <c r="I27" s="83">
        <f t="shared" si="2"/>
        <v>95.821224</v>
      </c>
      <c r="J27" s="59"/>
    </row>
    <row r="28" s="317" customFormat="1" customHeight="1" spans="1:10">
      <c r="A28" s="128">
        <v>4</v>
      </c>
      <c r="B28" s="152" t="s">
        <v>603</v>
      </c>
      <c r="C28" s="71" t="s">
        <v>604</v>
      </c>
      <c r="D28" s="151" t="s">
        <v>633</v>
      </c>
      <c r="E28" s="83">
        <v>96.48</v>
      </c>
      <c r="F28" s="83">
        <v>16.23</v>
      </c>
      <c r="G28" s="83">
        <v>-8.87</v>
      </c>
      <c r="H28" s="83">
        <v>-8.87</v>
      </c>
      <c r="I28" s="83">
        <f t="shared" si="2"/>
        <v>87.61</v>
      </c>
      <c r="J28" s="59"/>
    </row>
    <row r="29" s="317" customFormat="1" customHeight="1" spans="1:10">
      <c r="A29" s="128">
        <v>5</v>
      </c>
      <c r="B29" s="152" t="s">
        <v>603</v>
      </c>
      <c r="C29" s="71" t="s">
        <v>604</v>
      </c>
      <c r="D29" s="151" t="s">
        <v>634</v>
      </c>
      <c r="E29" s="83">
        <v>189.9</v>
      </c>
      <c r="F29" s="83">
        <v>44.306919</v>
      </c>
      <c r="G29" s="83">
        <v>-28.58493</v>
      </c>
      <c r="H29" s="83">
        <v>-28.58493</v>
      </c>
      <c r="I29" s="83">
        <f t="shared" si="2"/>
        <v>161.31507</v>
      </c>
      <c r="J29" s="59" t="s">
        <v>635</v>
      </c>
    </row>
    <row r="30" s="317" customFormat="1" customHeight="1" spans="1:10">
      <c r="A30" s="128">
        <v>6</v>
      </c>
      <c r="B30" s="152" t="s">
        <v>603</v>
      </c>
      <c r="C30" s="71" t="s">
        <v>604</v>
      </c>
      <c r="D30" s="151" t="s">
        <v>636</v>
      </c>
      <c r="E30" s="83">
        <v>554.2</v>
      </c>
      <c r="F30" s="83">
        <v>161.72</v>
      </c>
      <c r="G30" s="83">
        <v>-126.04</v>
      </c>
      <c r="H30" s="83">
        <v>-126.04</v>
      </c>
      <c r="I30" s="83">
        <f t="shared" si="2"/>
        <v>428.16</v>
      </c>
      <c r="J30" s="59"/>
    </row>
    <row r="31" s="317" customFormat="1" customHeight="1" spans="1:10">
      <c r="A31" s="128">
        <v>7</v>
      </c>
      <c r="B31" s="152" t="s">
        <v>603</v>
      </c>
      <c r="C31" s="71" t="s">
        <v>604</v>
      </c>
      <c r="D31" s="151" t="s">
        <v>637</v>
      </c>
      <c r="E31" s="83">
        <v>148</v>
      </c>
      <c r="F31" s="83">
        <v>21</v>
      </c>
      <c r="G31" s="83"/>
      <c r="H31" s="83"/>
      <c r="I31" s="83">
        <f t="shared" si="2"/>
        <v>148</v>
      </c>
      <c r="J31" s="59" t="s">
        <v>638</v>
      </c>
    </row>
    <row r="32" s="317" customFormat="1" customHeight="1" spans="1:10">
      <c r="A32" s="128">
        <v>8</v>
      </c>
      <c r="B32" s="152" t="s">
        <v>603</v>
      </c>
      <c r="C32" s="71" t="s">
        <v>604</v>
      </c>
      <c r="D32" s="151" t="s">
        <v>639</v>
      </c>
      <c r="E32" s="83">
        <v>54</v>
      </c>
      <c r="F32" s="83">
        <v>21</v>
      </c>
      <c r="G32" s="83">
        <v>-21</v>
      </c>
      <c r="H32" s="83">
        <v>-21</v>
      </c>
      <c r="I32" s="83">
        <f t="shared" si="2"/>
        <v>33</v>
      </c>
      <c r="J32" s="59"/>
    </row>
    <row r="33" s="317" customFormat="1" customHeight="1" spans="1:10">
      <c r="A33" s="128">
        <v>9</v>
      </c>
      <c r="B33" s="152" t="s">
        <v>603</v>
      </c>
      <c r="C33" s="71" t="s">
        <v>604</v>
      </c>
      <c r="D33" s="151" t="s">
        <v>640</v>
      </c>
      <c r="E33" s="83">
        <v>20.66</v>
      </c>
      <c r="F33" s="83">
        <v>6.732</v>
      </c>
      <c r="G33" s="83">
        <v>-6.732</v>
      </c>
      <c r="H33" s="83">
        <v>-6.732</v>
      </c>
      <c r="I33" s="83">
        <f t="shared" si="2"/>
        <v>13.928</v>
      </c>
      <c r="J33" s="59"/>
    </row>
    <row r="34" s="317" customFormat="1" customHeight="1" spans="1:10">
      <c r="A34" s="128">
        <v>10</v>
      </c>
      <c r="B34" s="152" t="s">
        <v>603</v>
      </c>
      <c r="C34" s="71" t="s">
        <v>604</v>
      </c>
      <c r="D34" s="151" t="s">
        <v>641</v>
      </c>
      <c r="E34" s="83">
        <v>35</v>
      </c>
      <c r="F34" s="83">
        <v>35</v>
      </c>
      <c r="G34" s="83">
        <v>-35</v>
      </c>
      <c r="H34" s="83">
        <v>-35</v>
      </c>
      <c r="I34" s="83">
        <f t="shared" si="2"/>
        <v>0</v>
      </c>
      <c r="J34" s="59"/>
    </row>
    <row r="35" s="317" customFormat="1" customHeight="1" spans="1:10">
      <c r="A35" s="128">
        <v>11</v>
      </c>
      <c r="B35" s="152" t="s">
        <v>603</v>
      </c>
      <c r="C35" s="71" t="s">
        <v>604</v>
      </c>
      <c r="D35" s="151" t="s">
        <v>642</v>
      </c>
      <c r="E35" s="83">
        <v>242.81</v>
      </c>
      <c r="F35" s="83">
        <v>242.81</v>
      </c>
      <c r="G35" s="83">
        <v>-242.81</v>
      </c>
      <c r="H35" s="83">
        <v>-242.81</v>
      </c>
      <c r="I35" s="83">
        <f t="shared" si="2"/>
        <v>0</v>
      </c>
      <c r="J35" s="59"/>
    </row>
    <row r="36" s="317" customFormat="1" customHeight="1" spans="1:10">
      <c r="A36" s="128">
        <v>12</v>
      </c>
      <c r="B36" s="152" t="s">
        <v>603</v>
      </c>
      <c r="C36" s="71" t="s">
        <v>604</v>
      </c>
      <c r="D36" s="151" t="s">
        <v>643</v>
      </c>
      <c r="E36" s="83">
        <v>0.7</v>
      </c>
      <c r="F36" s="83">
        <v>0.7</v>
      </c>
      <c r="G36" s="83">
        <v>-0.7</v>
      </c>
      <c r="H36" s="83">
        <v>-0.7</v>
      </c>
      <c r="I36" s="83">
        <f t="shared" si="2"/>
        <v>0</v>
      </c>
      <c r="J36" s="59"/>
    </row>
    <row r="37" s="317" customFormat="1" customHeight="1" spans="1:10">
      <c r="A37" s="128">
        <v>13</v>
      </c>
      <c r="B37" s="152" t="s">
        <v>603</v>
      </c>
      <c r="C37" s="71" t="s">
        <v>604</v>
      </c>
      <c r="D37" s="151" t="s">
        <v>644</v>
      </c>
      <c r="E37" s="83">
        <v>92.55</v>
      </c>
      <c r="F37" s="83">
        <v>22.15</v>
      </c>
      <c r="G37" s="83"/>
      <c r="H37" s="83"/>
      <c r="I37" s="83">
        <f t="shared" si="2"/>
        <v>92.55</v>
      </c>
      <c r="J37" s="59"/>
    </row>
    <row r="38" s="317" customFormat="1" customHeight="1" spans="1:10">
      <c r="A38" s="128">
        <v>14</v>
      </c>
      <c r="B38" s="152" t="s">
        <v>603</v>
      </c>
      <c r="C38" s="71" t="s">
        <v>604</v>
      </c>
      <c r="D38" s="151" t="s">
        <v>645</v>
      </c>
      <c r="E38" s="83">
        <v>40.5</v>
      </c>
      <c r="F38" s="83">
        <v>4.5</v>
      </c>
      <c r="G38" s="83"/>
      <c r="H38" s="83"/>
      <c r="I38" s="83">
        <f t="shared" si="2"/>
        <v>40.5</v>
      </c>
      <c r="J38" s="59"/>
    </row>
    <row r="39" s="317" customFormat="1" customHeight="1" spans="1:10">
      <c r="A39" s="128">
        <v>15</v>
      </c>
      <c r="B39" s="152" t="s">
        <v>603</v>
      </c>
      <c r="C39" s="71" t="s">
        <v>604</v>
      </c>
      <c r="D39" s="151" t="s">
        <v>646</v>
      </c>
      <c r="E39" s="83">
        <v>157.19</v>
      </c>
      <c r="F39" s="83">
        <v>22.698845</v>
      </c>
      <c r="G39" s="83"/>
      <c r="H39" s="83"/>
      <c r="I39" s="83">
        <f t="shared" si="2"/>
        <v>157.19</v>
      </c>
      <c r="J39" s="59"/>
    </row>
    <row r="40" s="317" customFormat="1" customHeight="1" spans="1:10">
      <c r="A40" s="128">
        <v>16</v>
      </c>
      <c r="B40" s="152" t="s">
        <v>603</v>
      </c>
      <c r="C40" s="71" t="s">
        <v>604</v>
      </c>
      <c r="D40" s="151" t="s">
        <v>647</v>
      </c>
      <c r="E40" s="83">
        <v>81.8</v>
      </c>
      <c r="F40" s="83">
        <v>28.276125</v>
      </c>
      <c r="G40" s="83">
        <v>-3.484</v>
      </c>
      <c r="H40" s="83">
        <v>-3.484</v>
      </c>
      <c r="I40" s="83">
        <f t="shared" si="2"/>
        <v>78.316</v>
      </c>
      <c r="J40" s="59"/>
    </row>
    <row r="41" s="317" customFormat="1" customHeight="1" spans="1:10">
      <c r="A41" s="128">
        <v>17</v>
      </c>
      <c r="B41" s="152" t="s">
        <v>648</v>
      </c>
      <c r="C41" s="71" t="s">
        <v>649</v>
      </c>
      <c r="D41" s="151" t="s">
        <v>650</v>
      </c>
      <c r="E41" s="83">
        <v>30</v>
      </c>
      <c r="F41" s="83">
        <v>0</v>
      </c>
      <c r="G41" s="83"/>
      <c r="H41" s="83"/>
      <c r="I41" s="83">
        <f t="shared" si="2"/>
        <v>30</v>
      </c>
      <c r="J41" s="71"/>
    </row>
    <row r="42" s="317" customFormat="1" customHeight="1" spans="1:10">
      <c r="A42" s="128">
        <v>18</v>
      </c>
      <c r="B42" s="152" t="s">
        <v>603</v>
      </c>
      <c r="C42" s="71" t="s">
        <v>649</v>
      </c>
      <c r="D42" s="151" t="s">
        <v>651</v>
      </c>
      <c r="E42" s="83">
        <v>2</v>
      </c>
      <c r="F42" s="83">
        <v>2</v>
      </c>
      <c r="G42" s="83">
        <v>-2</v>
      </c>
      <c r="H42" s="83">
        <v>-2</v>
      </c>
      <c r="I42" s="83">
        <f t="shared" si="2"/>
        <v>0</v>
      </c>
      <c r="J42" s="59"/>
    </row>
    <row r="43" s="317" customFormat="1" customHeight="1" spans="1:10">
      <c r="A43" s="128">
        <v>19</v>
      </c>
      <c r="B43" s="152" t="s">
        <v>603</v>
      </c>
      <c r="C43" s="71" t="s">
        <v>649</v>
      </c>
      <c r="D43" s="151" t="s">
        <v>652</v>
      </c>
      <c r="E43" s="83">
        <v>135</v>
      </c>
      <c r="F43" s="83">
        <v>62.495506</v>
      </c>
      <c r="G43" s="83">
        <v>-30</v>
      </c>
      <c r="H43" s="83">
        <v>-30</v>
      </c>
      <c r="I43" s="83">
        <f t="shared" si="2"/>
        <v>105</v>
      </c>
      <c r="J43" s="59"/>
    </row>
    <row r="44" s="317" customFormat="1" customHeight="1" spans="1:10">
      <c r="A44" s="128">
        <v>20</v>
      </c>
      <c r="B44" s="152" t="s">
        <v>603</v>
      </c>
      <c r="C44" s="333" t="s">
        <v>649</v>
      </c>
      <c r="D44" s="151" t="s">
        <v>653</v>
      </c>
      <c r="E44" s="83">
        <v>33</v>
      </c>
      <c r="F44" s="83">
        <v>0</v>
      </c>
      <c r="G44" s="83"/>
      <c r="H44" s="83"/>
      <c r="I44" s="83">
        <f t="shared" si="2"/>
        <v>33</v>
      </c>
      <c r="J44" s="59"/>
    </row>
    <row r="45" s="317" customFormat="1" customHeight="1" spans="1:10">
      <c r="A45" s="128">
        <v>21</v>
      </c>
      <c r="B45" s="152" t="s">
        <v>613</v>
      </c>
      <c r="C45" s="333" t="s">
        <v>649</v>
      </c>
      <c r="D45" s="151" t="s">
        <v>654</v>
      </c>
      <c r="E45" s="83">
        <v>1.2</v>
      </c>
      <c r="F45" s="83">
        <v>0.6</v>
      </c>
      <c r="G45" s="83"/>
      <c r="H45" s="83"/>
      <c r="I45" s="83">
        <f t="shared" si="2"/>
        <v>1.2</v>
      </c>
      <c r="J45" s="59"/>
    </row>
    <row r="46" s="317" customFormat="1" customHeight="1" spans="1:10">
      <c r="A46" s="128">
        <v>22</v>
      </c>
      <c r="B46" s="152" t="s">
        <v>601</v>
      </c>
      <c r="C46" s="71" t="s">
        <v>649</v>
      </c>
      <c r="D46" s="71" t="s">
        <v>655</v>
      </c>
      <c r="E46" s="142">
        <v>150</v>
      </c>
      <c r="F46" s="142">
        <v>34.14</v>
      </c>
      <c r="G46" s="142">
        <v>-6.44</v>
      </c>
      <c r="H46" s="142">
        <v>-6.44</v>
      </c>
      <c r="I46" s="83">
        <f t="shared" si="2"/>
        <v>143.56</v>
      </c>
      <c r="J46" s="71" t="s">
        <v>656</v>
      </c>
    </row>
    <row r="47" s="317" customFormat="1" customHeight="1" spans="1:10">
      <c r="A47" s="128">
        <v>23</v>
      </c>
      <c r="B47" s="152" t="s">
        <v>603</v>
      </c>
      <c r="C47" s="71" t="s">
        <v>657</v>
      </c>
      <c r="D47" s="151" t="s">
        <v>658</v>
      </c>
      <c r="E47" s="83">
        <v>10</v>
      </c>
      <c r="F47" s="83">
        <v>5</v>
      </c>
      <c r="G47" s="83"/>
      <c r="H47" s="83"/>
      <c r="I47" s="83">
        <f t="shared" si="2"/>
        <v>10</v>
      </c>
      <c r="J47" s="59"/>
    </row>
    <row r="48" s="317" customFormat="1" customHeight="1" spans="1:10">
      <c r="A48" s="128">
        <v>24</v>
      </c>
      <c r="B48" s="152" t="s">
        <v>613</v>
      </c>
      <c r="C48" s="71" t="s">
        <v>657</v>
      </c>
      <c r="D48" s="151" t="s">
        <v>654</v>
      </c>
      <c r="E48" s="83">
        <v>1.92</v>
      </c>
      <c r="F48" s="83">
        <v>0.96</v>
      </c>
      <c r="G48" s="83"/>
      <c r="H48" s="83"/>
      <c r="I48" s="83">
        <f t="shared" si="2"/>
        <v>1.92</v>
      </c>
      <c r="J48" s="59"/>
    </row>
    <row r="49" s="317" customFormat="1" customHeight="1" spans="1:10">
      <c r="A49" s="128">
        <v>25</v>
      </c>
      <c r="B49" s="152" t="s">
        <v>603</v>
      </c>
      <c r="C49" s="71" t="s">
        <v>659</v>
      </c>
      <c r="D49" s="151" t="s">
        <v>660</v>
      </c>
      <c r="E49" s="83">
        <v>61.11</v>
      </c>
      <c r="F49" s="83">
        <v>20.606373</v>
      </c>
      <c r="G49" s="83">
        <v>-4.9625</v>
      </c>
      <c r="H49" s="83">
        <v>-4.9625</v>
      </c>
      <c r="I49" s="83">
        <f t="shared" si="2"/>
        <v>56.1475</v>
      </c>
      <c r="J49" s="59"/>
    </row>
    <row r="50" s="317" customFormat="1" customHeight="1" spans="1:10">
      <c r="A50" s="128">
        <v>26</v>
      </c>
      <c r="B50" s="152" t="s">
        <v>613</v>
      </c>
      <c r="C50" s="333" t="s">
        <v>659</v>
      </c>
      <c r="D50" s="151" t="s">
        <v>654</v>
      </c>
      <c r="E50" s="83">
        <v>0.84</v>
      </c>
      <c r="F50" s="83">
        <v>0.42</v>
      </c>
      <c r="G50" s="83"/>
      <c r="H50" s="83"/>
      <c r="I50" s="83">
        <f t="shared" si="2"/>
        <v>0.84</v>
      </c>
      <c r="J50" s="59"/>
    </row>
    <row r="51" s="317" customFormat="1" customHeight="1" spans="1:10">
      <c r="A51" s="128">
        <v>27</v>
      </c>
      <c r="B51" s="152" t="s">
        <v>613</v>
      </c>
      <c r="C51" s="333" t="s">
        <v>661</v>
      </c>
      <c r="D51" s="151" t="s">
        <v>654</v>
      </c>
      <c r="E51" s="83">
        <v>0.84</v>
      </c>
      <c r="F51" s="83">
        <v>0.84</v>
      </c>
      <c r="G51" s="83"/>
      <c r="H51" s="83"/>
      <c r="I51" s="83">
        <f t="shared" si="2"/>
        <v>0.84</v>
      </c>
      <c r="J51" s="59"/>
    </row>
    <row r="52" s="317" customFormat="1" customHeight="1" spans="1:10">
      <c r="A52" s="128">
        <v>28</v>
      </c>
      <c r="B52" s="152" t="s">
        <v>603</v>
      </c>
      <c r="C52" s="333" t="s">
        <v>662</v>
      </c>
      <c r="D52" s="151" t="s">
        <v>663</v>
      </c>
      <c r="E52" s="83">
        <v>10</v>
      </c>
      <c r="F52" s="83">
        <v>0</v>
      </c>
      <c r="G52" s="83"/>
      <c r="H52" s="83"/>
      <c r="I52" s="83">
        <f t="shared" si="2"/>
        <v>10</v>
      </c>
      <c r="J52" s="59"/>
    </row>
    <row r="53" s="317" customFormat="1" customHeight="1" spans="1:10">
      <c r="A53" s="128">
        <v>29</v>
      </c>
      <c r="B53" s="152" t="s">
        <v>613</v>
      </c>
      <c r="C53" s="71" t="s">
        <v>662</v>
      </c>
      <c r="D53" s="151" t="s">
        <v>654</v>
      </c>
      <c r="E53" s="83">
        <v>0.6</v>
      </c>
      <c r="F53" s="83">
        <v>0.6</v>
      </c>
      <c r="G53" s="83"/>
      <c r="H53" s="83"/>
      <c r="I53" s="83">
        <f t="shared" si="2"/>
        <v>0.6</v>
      </c>
      <c r="J53" s="59"/>
    </row>
    <row r="54" s="317" customFormat="1" customHeight="1" spans="1:10">
      <c r="A54" s="128">
        <v>30</v>
      </c>
      <c r="B54" s="152" t="s">
        <v>603</v>
      </c>
      <c r="C54" s="71" t="s">
        <v>664</v>
      </c>
      <c r="D54" s="151" t="s">
        <v>665</v>
      </c>
      <c r="E54" s="83">
        <v>15</v>
      </c>
      <c r="F54" s="83">
        <v>15</v>
      </c>
      <c r="G54" s="83">
        <v>-4.75</v>
      </c>
      <c r="H54" s="83">
        <v>-4.75</v>
      </c>
      <c r="I54" s="83">
        <f t="shared" si="2"/>
        <v>10.25</v>
      </c>
      <c r="J54" s="59"/>
    </row>
    <row r="55" s="317" customFormat="1" customHeight="1" spans="1:10">
      <c r="A55" s="128">
        <v>31</v>
      </c>
      <c r="B55" s="152" t="s">
        <v>613</v>
      </c>
      <c r="C55" s="333" t="s">
        <v>664</v>
      </c>
      <c r="D55" s="151" t="s">
        <v>654</v>
      </c>
      <c r="E55" s="83">
        <v>1.08</v>
      </c>
      <c r="F55" s="83">
        <v>0.54</v>
      </c>
      <c r="G55" s="83"/>
      <c r="H55" s="83"/>
      <c r="I55" s="83">
        <f t="shared" si="2"/>
        <v>1.08</v>
      </c>
      <c r="J55" s="59"/>
    </row>
    <row r="56" s="317" customFormat="1" customHeight="1" spans="1:10">
      <c r="A56" s="128">
        <v>32</v>
      </c>
      <c r="B56" s="152" t="s">
        <v>603</v>
      </c>
      <c r="C56" s="333" t="s">
        <v>666</v>
      </c>
      <c r="D56" s="151" t="s">
        <v>667</v>
      </c>
      <c r="E56" s="83">
        <v>20</v>
      </c>
      <c r="F56" s="83">
        <v>0</v>
      </c>
      <c r="G56" s="83"/>
      <c r="H56" s="83"/>
      <c r="I56" s="83">
        <f t="shared" si="2"/>
        <v>20</v>
      </c>
      <c r="J56" s="59"/>
    </row>
    <row r="57" s="317" customFormat="1" customHeight="1" spans="1:10">
      <c r="A57" s="128">
        <v>33</v>
      </c>
      <c r="B57" s="152" t="s">
        <v>613</v>
      </c>
      <c r="C57" s="71" t="s">
        <v>666</v>
      </c>
      <c r="D57" s="151" t="s">
        <v>654</v>
      </c>
      <c r="E57" s="83">
        <v>0.72</v>
      </c>
      <c r="F57" s="83">
        <v>0.36</v>
      </c>
      <c r="G57" s="83"/>
      <c r="H57" s="83"/>
      <c r="I57" s="83">
        <f t="shared" si="2"/>
        <v>0.72</v>
      </c>
      <c r="J57" s="59"/>
    </row>
    <row r="58" s="317" customFormat="1" customHeight="1" spans="1:10">
      <c r="A58" s="337" t="s">
        <v>668</v>
      </c>
      <c r="B58" s="338"/>
      <c r="C58" s="339"/>
      <c r="D58" s="340"/>
      <c r="E58" s="138">
        <f>SUM(E25:E57)</f>
        <v>3835.62</v>
      </c>
      <c r="F58" s="138">
        <f>SUM(F25:F57)</f>
        <v>1346.694642</v>
      </c>
      <c r="G58" s="138">
        <f>SUM(G25:G57)</f>
        <v>-919.500179</v>
      </c>
      <c r="H58" s="138">
        <f>SUM(H25:H57)</f>
        <v>-919.500179</v>
      </c>
      <c r="I58" s="138">
        <f>SUM(I25:I57)</f>
        <v>2916.119821</v>
      </c>
      <c r="J58" s="344"/>
    </row>
    <row r="59" s="317" customFormat="1" customHeight="1" spans="1:10">
      <c r="A59" s="128">
        <v>34</v>
      </c>
      <c r="B59" s="152" t="s">
        <v>624</v>
      </c>
      <c r="C59" s="71" t="s">
        <v>669</v>
      </c>
      <c r="D59" s="71" t="s">
        <v>145</v>
      </c>
      <c r="E59" s="83">
        <v>10</v>
      </c>
      <c r="F59" s="83">
        <v>3</v>
      </c>
      <c r="G59" s="83">
        <v>-3</v>
      </c>
      <c r="H59" s="83">
        <v>-3</v>
      </c>
      <c r="I59" s="83">
        <f t="shared" ref="I59:I69" si="4">E59+H59</f>
        <v>7</v>
      </c>
      <c r="J59" s="59"/>
    </row>
    <row r="60" s="317" customFormat="1" customHeight="1" spans="1:10">
      <c r="A60" s="128">
        <v>35</v>
      </c>
      <c r="B60" s="152" t="s">
        <v>624</v>
      </c>
      <c r="C60" s="71" t="s">
        <v>669</v>
      </c>
      <c r="D60" s="71" t="s">
        <v>670</v>
      </c>
      <c r="E60" s="83">
        <v>4</v>
      </c>
      <c r="F60" s="83">
        <v>0.22071</v>
      </c>
      <c r="G60" s="83"/>
      <c r="H60" s="83"/>
      <c r="I60" s="83">
        <f t="shared" si="4"/>
        <v>4</v>
      </c>
      <c r="J60" s="59"/>
    </row>
    <row r="61" s="317" customFormat="1" customHeight="1" spans="1:10">
      <c r="A61" s="128">
        <v>36</v>
      </c>
      <c r="B61" s="152" t="s">
        <v>624</v>
      </c>
      <c r="C61" s="71" t="s">
        <v>669</v>
      </c>
      <c r="D61" s="71" t="s">
        <v>671</v>
      </c>
      <c r="E61" s="83">
        <v>64.74</v>
      </c>
      <c r="F61" s="83">
        <v>10.714932</v>
      </c>
      <c r="G61" s="83">
        <v>-4.90493199999999</v>
      </c>
      <c r="H61" s="83">
        <v>-4.90493199999999</v>
      </c>
      <c r="I61" s="83">
        <f t="shared" si="4"/>
        <v>59.835068</v>
      </c>
      <c r="J61" s="59"/>
    </row>
    <row r="62" s="317" customFormat="1" customHeight="1" spans="1:10">
      <c r="A62" s="128">
        <v>37</v>
      </c>
      <c r="B62" s="152" t="s">
        <v>624</v>
      </c>
      <c r="C62" s="71" t="s">
        <v>669</v>
      </c>
      <c r="D62" s="71" t="s">
        <v>672</v>
      </c>
      <c r="E62" s="83">
        <v>2</v>
      </c>
      <c r="F62" s="83">
        <v>1.93465</v>
      </c>
      <c r="G62" s="83">
        <v>-1.6802</v>
      </c>
      <c r="H62" s="83">
        <v>-1.6802</v>
      </c>
      <c r="I62" s="83">
        <f t="shared" si="4"/>
        <v>0.3198</v>
      </c>
      <c r="J62" s="59"/>
    </row>
    <row r="63" s="317" customFormat="1" customHeight="1" spans="1:10">
      <c r="A63" s="128">
        <v>38</v>
      </c>
      <c r="B63" s="152" t="s">
        <v>624</v>
      </c>
      <c r="C63" s="71" t="s">
        <v>669</v>
      </c>
      <c r="D63" s="71" t="s">
        <v>673</v>
      </c>
      <c r="E63" s="83">
        <v>2</v>
      </c>
      <c r="F63" s="83">
        <v>1</v>
      </c>
      <c r="G63" s="83">
        <v>-1</v>
      </c>
      <c r="H63" s="83">
        <v>-1</v>
      </c>
      <c r="I63" s="83">
        <f t="shared" si="4"/>
        <v>1</v>
      </c>
      <c r="J63" s="59"/>
    </row>
    <row r="64" s="317" customFormat="1" customHeight="1" spans="1:10">
      <c r="A64" s="128">
        <v>39</v>
      </c>
      <c r="B64" s="152" t="s">
        <v>624</v>
      </c>
      <c r="C64" s="71" t="s">
        <v>669</v>
      </c>
      <c r="D64" s="71" t="s">
        <v>148</v>
      </c>
      <c r="E64" s="83">
        <v>19</v>
      </c>
      <c r="F64" s="83">
        <v>0</v>
      </c>
      <c r="G64" s="83"/>
      <c r="H64" s="83"/>
      <c r="I64" s="83">
        <f t="shared" si="4"/>
        <v>19</v>
      </c>
      <c r="J64" s="59"/>
    </row>
    <row r="65" s="317" customFormat="1" customHeight="1" spans="1:10">
      <c r="A65" s="128">
        <v>40</v>
      </c>
      <c r="B65" s="152" t="s">
        <v>624</v>
      </c>
      <c r="C65" s="71" t="s">
        <v>669</v>
      </c>
      <c r="D65" s="71" t="s">
        <v>674</v>
      </c>
      <c r="E65" s="83">
        <v>7</v>
      </c>
      <c r="F65" s="83">
        <v>1.604825</v>
      </c>
      <c r="G65" s="83">
        <v>-0.759619999999999</v>
      </c>
      <c r="H65" s="83">
        <v>-0.759619999999999</v>
      </c>
      <c r="I65" s="83">
        <f t="shared" si="4"/>
        <v>6.24038</v>
      </c>
      <c r="J65" s="59"/>
    </row>
    <row r="66" s="317" customFormat="1" customHeight="1" spans="1:10">
      <c r="A66" s="128">
        <v>41</v>
      </c>
      <c r="B66" s="152" t="s">
        <v>624</v>
      </c>
      <c r="C66" s="71" t="s">
        <v>669</v>
      </c>
      <c r="D66" s="71" t="s">
        <v>675</v>
      </c>
      <c r="E66" s="83">
        <v>2</v>
      </c>
      <c r="F66" s="83">
        <v>0.12709</v>
      </c>
      <c r="G66" s="83"/>
      <c r="H66" s="83"/>
      <c r="I66" s="83">
        <f t="shared" si="4"/>
        <v>2</v>
      </c>
      <c r="J66" s="59"/>
    </row>
    <row r="67" s="317" customFormat="1" customHeight="1" spans="1:10">
      <c r="A67" s="128">
        <v>42</v>
      </c>
      <c r="B67" s="152" t="s">
        <v>624</v>
      </c>
      <c r="C67" s="71" t="s">
        <v>669</v>
      </c>
      <c r="D67" s="71" t="s">
        <v>676</v>
      </c>
      <c r="E67" s="83">
        <v>2</v>
      </c>
      <c r="F67" s="83">
        <v>0</v>
      </c>
      <c r="G67" s="83"/>
      <c r="H67" s="83"/>
      <c r="I67" s="83">
        <f t="shared" si="4"/>
        <v>2</v>
      </c>
      <c r="J67" s="59"/>
    </row>
    <row r="68" s="317" customFormat="1" customHeight="1" spans="1:10">
      <c r="A68" s="128">
        <v>43</v>
      </c>
      <c r="B68" s="152" t="s">
        <v>624</v>
      </c>
      <c r="C68" s="71" t="s">
        <v>669</v>
      </c>
      <c r="D68" s="71" t="s">
        <v>677</v>
      </c>
      <c r="E68" s="83">
        <v>8</v>
      </c>
      <c r="F68" s="83">
        <v>0</v>
      </c>
      <c r="G68" s="83"/>
      <c r="H68" s="83"/>
      <c r="I68" s="83">
        <f t="shared" si="4"/>
        <v>8</v>
      </c>
      <c r="J68" s="59"/>
    </row>
    <row r="69" s="317" customFormat="1" customHeight="1" spans="1:10">
      <c r="A69" s="337" t="s">
        <v>678</v>
      </c>
      <c r="B69" s="338"/>
      <c r="C69" s="339"/>
      <c r="D69" s="340"/>
      <c r="E69" s="138">
        <f>SUM(E59:E68)</f>
        <v>120.74</v>
      </c>
      <c r="F69" s="138">
        <f>SUM(F59:F68)</f>
        <v>18.602207</v>
      </c>
      <c r="G69" s="138">
        <f>SUM(G59:G68)</f>
        <v>-11.344752</v>
      </c>
      <c r="H69" s="138">
        <f>SUM(H59:H68)</f>
        <v>-11.344752</v>
      </c>
      <c r="I69" s="138">
        <f>SUM(I59:I68)</f>
        <v>109.395248</v>
      </c>
      <c r="J69" s="165"/>
    </row>
    <row r="70" s="317" customFormat="1" customHeight="1" spans="1:10">
      <c r="A70" s="128">
        <v>44</v>
      </c>
      <c r="B70" s="152" t="s">
        <v>648</v>
      </c>
      <c r="C70" s="71" t="s">
        <v>679</v>
      </c>
      <c r="D70" s="71" t="s">
        <v>680</v>
      </c>
      <c r="E70" s="83">
        <v>240</v>
      </c>
      <c r="F70" s="332">
        <v>240</v>
      </c>
      <c r="G70" s="83">
        <v>-240</v>
      </c>
      <c r="H70" s="83">
        <v>-240</v>
      </c>
      <c r="I70" s="83">
        <f t="shared" ref="I70:I88" si="5">E70+H70</f>
        <v>0</v>
      </c>
      <c r="J70" s="71" t="s">
        <v>681</v>
      </c>
    </row>
    <row r="71" s="317" customFormat="1" customHeight="1" spans="1:10">
      <c r="A71" s="128">
        <v>45</v>
      </c>
      <c r="B71" s="152" t="s">
        <v>648</v>
      </c>
      <c r="C71" s="71" t="s">
        <v>679</v>
      </c>
      <c r="D71" s="71" t="s">
        <v>682</v>
      </c>
      <c r="E71" s="83">
        <v>360</v>
      </c>
      <c r="F71" s="332">
        <v>320</v>
      </c>
      <c r="G71" s="83">
        <v>-320</v>
      </c>
      <c r="H71" s="83">
        <v>-320</v>
      </c>
      <c r="I71" s="83">
        <f t="shared" si="5"/>
        <v>40</v>
      </c>
      <c r="J71" s="71"/>
    </row>
    <row r="72" s="317" customFormat="1" customHeight="1" spans="1:10">
      <c r="A72" s="128">
        <v>46</v>
      </c>
      <c r="B72" s="152" t="s">
        <v>606</v>
      </c>
      <c r="C72" s="345" t="s">
        <v>679</v>
      </c>
      <c r="D72" s="345" t="s">
        <v>683</v>
      </c>
      <c r="E72" s="83">
        <v>21</v>
      </c>
      <c r="F72" s="332">
        <v>21</v>
      </c>
      <c r="G72" s="83">
        <v>-21</v>
      </c>
      <c r="H72" s="83">
        <v>-21</v>
      </c>
      <c r="I72" s="83">
        <f t="shared" si="5"/>
        <v>0</v>
      </c>
      <c r="J72" s="59"/>
    </row>
    <row r="73" s="317" customFormat="1" customHeight="1" spans="1:10">
      <c r="A73" s="128">
        <v>47</v>
      </c>
      <c r="B73" s="152" t="s">
        <v>603</v>
      </c>
      <c r="C73" s="71" t="s">
        <v>679</v>
      </c>
      <c r="D73" s="151" t="s">
        <v>684</v>
      </c>
      <c r="E73" s="83">
        <v>4.632</v>
      </c>
      <c r="F73" s="332">
        <v>2.3341</v>
      </c>
      <c r="G73" s="83"/>
      <c r="H73" s="83"/>
      <c r="I73" s="83">
        <f t="shared" si="5"/>
        <v>4.632</v>
      </c>
      <c r="J73" s="59"/>
    </row>
    <row r="74" s="317" customFormat="1" customHeight="1" spans="1:10">
      <c r="A74" s="128">
        <v>48</v>
      </c>
      <c r="B74" s="152" t="s">
        <v>624</v>
      </c>
      <c r="C74" s="71" t="s">
        <v>679</v>
      </c>
      <c r="D74" s="71" t="s">
        <v>685</v>
      </c>
      <c r="E74" s="83">
        <v>20</v>
      </c>
      <c r="F74" s="332">
        <v>6.741902</v>
      </c>
      <c r="G74" s="83"/>
      <c r="H74" s="83"/>
      <c r="I74" s="83">
        <f t="shared" si="5"/>
        <v>20</v>
      </c>
      <c r="J74" s="59"/>
    </row>
    <row r="75" s="317" customFormat="1" customHeight="1" spans="1:10">
      <c r="A75" s="128">
        <v>49</v>
      </c>
      <c r="B75" s="152" t="s">
        <v>624</v>
      </c>
      <c r="C75" s="71" t="s">
        <v>679</v>
      </c>
      <c r="D75" s="71" t="s">
        <v>686</v>
      </c>
      <c r="E75" s="83">
        <v>3</v>
      </c>
      <c r="F75" s="332">
        <v>0.280707</v>
      </c>
      <c r="G75" s="83"/>
      <c r="H75" s="83"/>
      <c r="I75" s="83">
        <f t="shared" si="5"/>
        <v>3</v>
      </c>
      <c r="J75" s="59"/>
    </row>
    <row r="76" s="317" customFormat="1" customHeight="1" spans="1:10">
      <c r="A76" s="128">
        <v>50</v>
      </c>
      <c r="B76" s="152" t="s">
        <v>624</v>
      </c>
      <c r="C76" s="71" t="s">
        <v>679</v>
      </c>
      <c r="D76" s="71" t="s">
        <v>687</v>
      </c>
      <c r="E76" s="83">
        <v>18.4</v>
      </c>
      <c r="F76" s="332">
        <v>18.4</v>
      </c>
      <c r="G76" s="83">
        <v>-18.4</v>
      </c>
      <c r="H76" s="83">
        <v>-18.4</v>
      </c>
      <c r="I76" s="83">
        <f t="shared" si="5"/>
        <v>0</v>
      </c>
      <c r="J76" s="59"/>
    </row>
    <row r="77" s="317" customFormat="1" customHeight="1" spans="1:10">
      <c r="A77" s="128">
        <v>51</v>
      </c>
      <c r="B77" s="152" t="s">
        <v>624</v>
      </c>
      <c r="C77" s="71" t="s">
        <v>679</v>
      </c>
      <c r="D77" s="71" t="s">
        <v>688</v>
      </c>
      <c r="E77" s="83">
        <v>80</v>
      </c>
      <c r="F77" s="332">
        <v>0</v>
      </c>
      <c r="G77" s="83"/>
      <c r="H77" s="83"/>
      <c r="I77" s="83">
        <f t="shared" si="5"/>
        <v>80</v>
      </c>
      <c r="J77" s="59"/>
    </row>
    <row r="78" s="317" customFormat="1" customHeight="1" spans="1:10">
      <c r="A78" s="128">
        <v>52</v>
      </c>
      <c r="B78" s="152" t="s">
        <v>624</v>
      </c>
      <c r="C78" s="71" t="s">
        <v>679</v>
      </c>
      <c r="D78" s="71" t="s">
        <v>689</v>
      </c>
      <c r="E78" s="83">
        <v>2</v>
      </c>
      <c r="F78" s="332">
        <v>0.1895</v>
      </c>
      <c r="G78" s="83"/>
      <c r="H78" s="83"/>
      <c r="I78" s="83">
        <f t="shared" si="5"/>
        <v>2</v>
      </c>
      <c r="J78" s="59"/>
    </row>
    <row r="79" s="317" customFormat="1" customHeight="1" spans="1:10">
      <c r="A79" s="128">
        <v>53</v>
      </c>
      <c r="B79" s="152" t="s">
        <v>624</v>
      </c>
      <c r="C79" s="71" t="s">
        <v>679</v>
      </c>
      <c r="D79" s="71" t="s">
        <v>690</v>
      </c>
      <c r="E79" s="83">
        <v>10</v>
      </c>
      <c r="F79" s="332">
        <v>10</v>
      </c>
      <c r="G79" s="83">
        <v>-3</v>
      </c>
      <c r="H79" s="83">
        <v>-3</v>
      </c>
      <c r="I79" s="83">
        <f t="shared" si="5"/>
        <v>7</v>
      </c>
      <c r="J79" s="59"/>
    </row>
    <row r="80" s="317" customFormat="1" customHeight="1" spans="1:10">
      <c r="A80" s="128">
        <v>54</v>
      </c>
      <c r="B80" s="152" t="s">
        <v>624</v>
      </c>
      <c r="C80" s="71" t="s">
        <v>679</v>
      </c>
      <c r="D80" s="71" t="s">
        <v>691</v>
      </c>
      <c r="E80" s="83">
        <v>10</v>
      </c>
      <c r="F80" s="332">
        <v>10</v>
      </c>
      <c r="G80" s="83"/>
      <c r="H80" s="83"/>
      <c r="I80" s="83">
        <f t="shared" si="5"/>
        <v>10</v>
      </c>
      <c r="J80" s="59"/>
    </row>
    <row r="81" s="317" customFormat="1" customHeight="1" spans="1:10">
      <c r="A81" s="128">
        <v>55</v>
      </c>
      <c r="B81" s="152" t="s">
        <v>624</v>
      </c>
      <c r="C81" s="71" t="s">
        <v>679</v>
      </c>
      <c r="D81" s="71" t="s">
        <v>692</v>
      </c>
      <c r="E81" s="83">
        <v>21</v>
      </c>
      <c r="F81" s="332">
        <v>21</v>
      </c>
      <c r="G81" s="83">
        <v>-21</v>
      </c>
      <c r="H81" s="83">
        <v>-21</v>
      </c>
      <c r="I81" s="83">
        <f t="shared" si="5"/>
        <v>0</v>
      </c>
      <c r="J81" s="59"/>
    </row>
    <row r="82" s="317" customFormat="1" customHeight="1" spans="1:10">
      <c r="A82" s="128">
        <v>56</v>
      </c>
      <c r="B82" s="152" t="s">
        <v>624</v>
      </c>
      <c r="C82" s="71" t="s">
        <v>679</v>
      </c>
      <c r="D82" s="71" t="s">
        <v>693</v>
      </c>
      <c r="E82" s="83">
        <v>50</v>
      </c>
      <c r="F82" s="332">
        <v>33.20985</v>
      </c>
      <c r="G82" s="83">
        <v>-28.781054</v>
      </c>
      <c r="H82" s="83">
        <v>-28.781054</v>
      </c>
      <c r="I82" s="83">
        <f t="shared" si="5"/>
        <v>21.218946</v>
      </c>
      <c r="J82" s="59"/>
    </row>
    <row r="83" s="317" customFormat="1" customHeight="1" spans="1:10">
      <c r="A83" s="128">
        <v>57</v>
      </c>
      <c r="B83" s="152" t="s">
        <v>624</v>
      </c>
      <c r="C83" s="71" t="s">
        <v>679</v>
      </c>
      <c r="D83" s="71" t="s">
        <v>694</v>
      </c>
      <c r="E83" s="83">
        <v>3</v>
      </c>
      <c r="F83" s="332">
        <v>3</v>
      </c>
      <c r="G83" s="83"/>
      <c r="H83" s="83"/>
      <c r="I83" s="83">
        <f t="shared" si="5"/>
        <v>3</v>
      </c>
      <c r="J83" s="59"/>
    </row>
    <row r="84" s="317" customFormat="1" customHeight="1" spans="1:10">
      <c r="A84" s="128">
        <v>58</v>
      </c>
      <c r="B84" s="152" t="s">
        <v>624</v>
      </c>
      <c r="C84" s="71" t="s">
        <v>679</v>
      </c>
      <c r="D84" s="71" t="s">
        <v>695</v>
      </c>
      <c r="E84" s="83">
        <v>28.79</v>
      </c>
      <c r="F84" s="332">
        <v>2.2875</v>
      </c>
      <c r="G84" s="83">
        <v>-2.2875</v>
      </c>
      <c r="H84" s="83">
        <v>-2.2875</v>
      </c>
      <c r="I84" s="83">
        <f t="shared" si="5"/>
        <v>26.5025</v>
      </c>
      <c r="J84" s="59"/>
    </row>
    <row r="85" s="317" customFormat="1" customHeight="1" spans="1:10">
      <c r="A85" s="128">
        <v>59</v>
      </c>
      <c r="B85" s="152" t="s">
        <v>624</v>
      </c>
      <c r="C85" s="71" t="s">
        <v>679</v>
      </c>
      <c r="D85" s="71" t="s">
        <v>696</v>
      </c>
      <c r="E85" s="83">
        <v>5</v>
      </c>
      <c r="F85" s="332">
        <v>5</v>
      </c>
      <c r="G85" s="83">
        <v>-5</v>
      </c>
      <c r="H85" s="83">
        <v>-5</v>
      </c>
      <c r="I85" s="83">
        <f t="shared" si="5"/>
        <v>0</v>
      </c>
      <c r="J85" s="59"/>
    </row>
    <row r="86" s="317" customFormat="1" customHeight="1" spans="1:10">
      <c r="A86" s="128">
        <v>60</v>
      </c>
      <c r="B86" s="152" t="s">
        <v>624</v>
      </c>
      <c r="C86" s="71" t="s">
        <v>679</v>
      </c>
      <c r="D86" s="71" t="s">
        <v>697</v>
      </c>
      <c r="E86" s="83">
        <v>120</v>
      </c>
      <c r="F86" s="332">
        <v>0</v>
      </c>
      <c r="G86" s="83"/>
      <c r="H86" s="83"/>
      <c r="I86" s="83">
        <f t="shared" si="5"/>
        <v>120</v>
      </c>
      <c r="J86" s="59"/>
    </row>
    <row r="87" s="317" customFormat="1" customHeight="1" spans="1:10">
      <c r="A87" s="128">
        <v>61</v>
      </c>
      <c r="B87" s="152" t="s">
        <v>624</v>
      </c>
      <c r="C87" s="71" t="s">
        <v>679</v>
      </c>
      <c r="D87" s="71" t="s">
        <v>698</v>
      </c>
      <c r="E87" s="83">
        <v>5</v>
      </c>
      <c r="F87" s="332">
        <v>5</v>
      </c>
      <c r="G87" s="83">
        <v>-2.8</v>
      </c>
      <c r="H87" s="83">
        <v>-2.8</v>
      </c>
      <c r="I87" s="83">
        <f t="shared" si="5"/>
        <v>2.2</v>
      </c>
      <c r="J87" s="59"/>
    </row>
    <row r="88" s="317" customFormat="1" customHeight="1" spans="1:10">
      <c r="A88" s="128">
        <v>62</v>
      </c>
      <c r="B88" s="152" t="s">
        <v>624</v>
      </c>
      <c r="C88" s="71" t="s">
        <v>679</v>
      </c>
      <c r="D88" s="71" t="s">
        <v>699</v>
      </c>
      <c r="E88" s="83">
        <v>10</v>
      </c>
      <c r="F88" s="332">
        <v>10</v>
      </c>
      <c r="G88" s="83">
        <v>-10</v>
      </c>
      <c r="H88" s="83">
        <v>-10</v>
      </c>
      <c r="I88" s="83">
        <f t="shared" si="5"/>
        <v>0</v>
      </c>
      <c r="J88" s="59"/>
    </row>
    <row r="89" s="317" customFormat="1" customHeight="1" spans="1:10">
      <c r="A89" s="337" t="s">
        <v>700</v>
      </c>
      <c r="B89" s="338"/>
      <c r="C89" s="339"/>
      <c r="D89" s="340"/>
      <c r="E89" s="138">
        <f t="shared" ref="E89:I89" si="6">SUM(E70:E88)</f>
        <v>1011.822</v>
      </c>
      <c r="F89" s="138">
        <f t="shared" si="6"/>
        <v>708.443559</v>
      </c>
      <c r="G89" s="138">
        <f t="shared" si="6"/>
        <v>-672.268554</v>
      </c>
      <c r="H89" s="138">
        <f t="shared" si="6"/>
        <v>-672.268554</v>
      </c>
      <c r="I89" s="138">
        <f t="shared" si="6"/>
        <v>339.553446</v>
      </c>
      <c r="J89" s="344"/>
    </row>
    <row r="90" s="317" customFormat="1" customHeight="1" spans="1:10">
      <c r="A90" s="128">
        <v>63</v>
      </c>
      <c r="B90" s="152" t="s">
        <v>624</v>
      </c>
      <c r="C90" s="71" t="s">
        <v>701</v>
      </c>
      <c r="D90" s="71" t="s">
        <v>702</v>
      </c>
      <c r="E90" s="83">
        <v>0.6</v>
      </c>
      <c r="F90" s="346">
        <v>0.6</v>
      </c>
      <c r="G90" s="346"/>
      <c r="H90" s="346"/>
      <c r="I90" s="83">
        <f t="shared" ref="I90:I94" si="7">E90+H90</f>
        <v>0.6</v>
      </c>
      <c r="J90" s="347"/>
    </row>
    <row r="91" s="317" customFormat="1" customHeight="1" spans="1:10">
      <c r="A91" s="128">
        <v>64</v>
      </c>
      <c r="B91" s="152" t="s">
        <v>624</v>
      </c>
      <c r="C91" s="71" t="s">
        <v>701</v>
      </c>
      <c r="D91" s="71" t="s">
        <v>703</v>
      </c>
      <c r="E91" s="83">
        <v>2</v>
      </c>
      <c r="F91" s="83">
        <v>0.10645</v>
      </c>
      <c r="G91" s="83"/>
      <c r="H91" s="83"/>
      <c r="I91" s="83">
        <f t="shared" si="7"/>
        <v>2</v>
      </c>
      <c r="J91" s="59"/>
    </row>
    <row r="92" s="317" customFormat="1" customHeight="1" spans="1:10">
      <c r="A92" s="128">
        <v>65</v>
      </c>
      <c r="B92" s="152" t="s">
        <v>624</v>
      </c>
      <c r="C92" s="71" t="s">
        <v>701</v>
      </c>
      <c r="D92" s="71" t="s">
        <v>704</v>
      </c>
      <c r="E92" s="83">
        <v>10</v>
      </c>
      <c r="F92" s="83">
        <v>2.63</v>
      </c>
      <c r="G92" s="83"/>
      <c r="H92" s="83"/>
      <c r="I92" s="83">
        <f t="shared" si="7"/>
        <v>10</v>
      </c>
      <c r="J92" s="59"/>
    </row>
    <row r="93" s="317" customFormat="1" customHeight="1" spans="1:10">
      <c r="A93" s="128">
        <v>66</v>
      </c>
      <c r="B93" s="152" t="s">
        <v>624</v>
      </c>
      <c r="C93" s="71" t="s">
        <v>701</v>
      </c>
      <c r="D93" s="71" t="s">
        <v>705</v>
      </c>
      <c r="E93" s="83">
        <v>5</v>
      </c>
      <c r="F93" s="83">
        <v>3</v>
      </c>
      <c r="G93" s="83"/>
      <c r="H93" s="83"/>
      <c r="I93" s="83">
        <f t="shared" si="7"/>
        <v>5</v>
      </c>
      <c r="J93" s="59"/>
    </row>
    <row r="94" s="317" customFormat="1" customHeight="1" spans="1:10">
      <c r="A94" s="128">
        <v>67</v>
      </c>
      <c r="B94" s="152" t="s">
        <v>624</v>
      </c>
      <c r="C94" s="71" t="s">
        <v>701</v>
      </c>
      <c r="D94" s="71" t="s">
        <v>706</v>
      </c>
      <c r="E94" s="83">
        <v>2</v>
      </c>
      <c r="F94" s="83">
        <v>0</v>
      </c>
      <c r="G94" s="83"/>
      <c r="H94" s="83"/>
      <c r="I94" s="83">
        <f t="shared" si="7"/>
        <v>2</v>
      </c>
      <c r="J94" s="59"/>
    </row>
    <row r="95" s="317" customFormat="1" customHeight="1" spans="1:10">
      <c r="A95" s="337" t="s">
        <v>707</v>
      </c>
      <c r="B95" s="338"/>
      <c r="C95" s="339"/>
      <c r="D95" s="340"/>
      <c r="E95" s="138">
        <f t="shared" ref="E95:I95" si="8">SUM(E90:E94)</f>
        <v>19.6</v>
      </c>
      <c r="F95" s="138">
        <f t="shared" si="8"/>
        <v>6.33645</v>
      </c>
      <c r="G95" s="138">
        <f t="shared" si="8"/>
        <v>0</v>
      </c>
      <c r="H95" s="138">
        <f t="shared" si="8"/>
        <v>0</v>
      </c>
      <c r="I95" s="138">
        <f t="shared" si="8"/>
        <v>19.6</v>
      </c>
      <c r="J95" s="344"/>
    </row>
    <row r="96" s="317" customFormat="1" customHeight="1" spans="1:10">
      <c r="A96" s="128">
        <v>68</v>
      </c>
      <c r="B96" s="152" t="s">
        <v>624</v>
      </c>
      <c r="C96" s="71" t="s">
        <v>708</v>
      </c>
      <c r="D96" s="71" t="s">
        <v>709</v>
      </c>
      <c r="E96" s="83">
        <v>2</v>
      </c>
      <c r="F96" s="332">
        <v>2</v>
      </c>
      <c r="G96" s="83"/>
      <c r="H96" s="83"/>
      <c r="I96" s="83">
        <f t="shared" ref="I96:I110" si="9">E96+H96</f>
        <v>2</v>
      </c>
      <c r="J96" s="59"/>
    </row>
    <row r="97" s="317" customFormat="1" customHeight="1" spans="1:10">
      <c r="A97" s="128">
        <v>69</v>
      </c>
      <c r="B97" s="152" t="s">
        <v>624</v>
      </c>
      <c r="C97" s="71" t="s">
        <v>708</v>
      </c>
      <c r="D97" s="71" t="s">
        <v>710</v>
      </c>
      <c r="E97" s="83">
        <v>5</v>
      </c>
      <c r="F97" s="332">
        <v>4.832</v>
      </c>
      <c r="G97" s="83">
        <v>-4.8</v>
      </c>
      <c r="H97" s="83">
        <v>-4.8</v>
      </c>
      <c r="I97" s="83">
        <f t="shared" si="9"/>
        <v>0.2</v>
      </c>
      <c r="J97" s="59"/>
    </row>
    <row r="98" s="317" customFormat="1" customHeight="1" spans="1:10">
      <c r="A98" s="128">
        <v>70</v>
      </c>
      <c r="B98" s="152" t="s">
        <v>624</v>
      </c>
      <c r="C98" s="71" t="s">
        <v>708</v>
      </c>
      <c r="D98" s="71" t="s">
        <v>711</v>
      </c>
      <c r="E98" s="83">
        <v>7</v>
      </c>
      <c r="F98" s="332">
        <v>1</v>
      </c>
      <c r="G98" s="83"/>
      <c r="H98" s="83"/>
      <c r="I98" s="83">
        <f t="shared" si="9"/>
        <v>7</v>
      </c>
      <c r="J98" s="59"/>
    </row>
    <row r="99" s="317" customFormat="1" customHeight="1" spans="1:10">
      <c r="A99" s="128">
        <v>71</v>
      </c>
      <c r="B99" s="152" t="s">
        <v>624</v>
      </c>
      <c r="C99" s="71" t="s">
        <v>708</v>
      </c>
      <c r="D99" s="71" t="s">
        <v>712</v>
      </c>
      <c r="E99" s="83">
        <v>14</v>
      </c>
      <c r="F99" s="332">
        <v>14</v>
      </c>
      <c r="G99" s="83">
        <v>-14</v>
      </c>
      <c r="H99" s="83">
        <v>-14</v>
      </c>
      <c r="I99" s="83">
        <f t="shared" si="9"/>
        <v>0</v>
      </c>
      <c r="J99" s="59"/>
    </row>
    <row r="100" s="317" customFormat="1" customHeight="1" spans="1:10">
      <c r="A100" s="128">
        <v>72</v>
      </c>
      <c r="B100" s="152" t="s">
        <v>624</v>
      </c>
      <c r="C100" s="71" t="s">
        <v>708</v>
      </c>
      <c r="D100" s="71" t="s">
        <v>713</v>
      </c>
      <c r="E100" s="83">
        <v>1</v>
      </c>
      <c r="F100" s="332">
        <v>0.8</v>
      </c>
      <c r="G100" s="83"/>
      <c r="H100" s="83"/>
      <c r="I100" s="83">
        <f t="shared" si="9"/>
        <v>1</v>
      </c>
      <c r="J100" s="59"/>
    </row>
    <row r="101" s="317" customFormat="1" customHeight="1" spans="1:10">
      <c r="A101" s="128">
        <v>73</v>
      </c>
      <c r="B101" s="152" t="s">
        <v>624</v>
      </c>
      <c r="C101" s="71" t="s">
        <v>708</v>
      </c>
      <c r="D101" s="71" t="s">
        <v>714</v>
      </c>
      <c r="E101" s="83">
        <v>130</v>
      </c>
      <c r="F101" s="332">
        <v>46.736</v>
      </c>
      <c r="G101" s="83">
        <v>-46.736</v>
      </c>
      <c r="H101" s="83">
        <v>-46.736</v>
      </c>
      <c r="I101" s="83">
        <f t="shared" si="9"/>
        <v>83.264</v>
      </c>
      <c r="J101" s="59"/>
    </row>
    <row r="102" s="317" customFormat="1" customHeight="1" spans="1:10">
      <c r="A102" s="128">
        <v>74</v>
      </c>
      <c r="B102" s="152" t="s">
        <v>624</v>
      </c>
      <c r="C102" s="71" t="s">
        <v>708</v>
      </c>
      <c r="D102" s="71" t="s">
        <v>715</v>
      </c>
      <c r="E102" s="83">
        <v>9</v>
      </c>
      <c r="F102" s="332">
        <v>4.337151</v>
      </c>
      <c r="G102" s="83"/>
      <c r="H102" s="83"/>
      <c r="I102" s="83">
        <f t="shared" si="9"/>
        <v>9</v>
      </c>
      <c r="J102" s="59"/>
    </row>
    <row r="103" s="317" customFormat="1" customHeight="1" spans="1:10">
      <c r="A103" s="128">
        <v>75</v>
      </c>
      <c r="B103" s="152" t="s">
        <v>624</v>
      </c>
      <c r="C103" s="71" t="s">
        <v>708</v>
      </c>
      <c r="D103" s="71" t="s">
        <v>716</v>
      </c>
      <c r="E103" s="83">
        <v>0.87</v>
      </c>
      <c r="F103" s="332">
        <v>0.006</v>
      </c>
      <c r="G103" s="83">
        <v>-0.00600000000000001</v>
      </c>
      <c r="H103" s="83">
        <v>-0.00600000000000001</v>
      </c>
      <c r="I103" s="83">
        <f t="shared" si="9"/>
        <v>0.864</v>
      </c>
      <c r="J103" s="59"/>
    </row>
    <row r="104" s="317" customFormat="1" customHeight="1" spans="1:10">
      <c r="A104" s="128">
        <v>76</v>
      </c>
      <c r="B104" s="152" t="s">
        <v>624</v>
      </c>
      <c r="C104" s="71" t="s">
        <v>708</v>
      </c>
      <c r="D104" s="71" t="s">
        <v>717</v>
      </c>
      <c r="E104" s="83">
        <v>4</v>
      </c>
      <c r="F104" s="332">
        <v>2.343725</v>
      </c>
      <c r="G104" s="83">
        <v>-2.343725</v>
      </c>
      <c r="H104" s="83">
        <v>-2.343725</v>
      </c>
      <c r="I104" s="83">
        <f t="shared" si="9"/>
        <v>1.656275</v>
      </c>
      <c r="J104" s="59"/>
    </row>
    <row r="105" s="317" customFormat="1" customHeight="1" spans="1:10">
      <c r="A105" s="128">
        <v>77</v>
      </c>
      <c r="B105" s="152" t="s">
        <v>624</v>
      </c>
      <c r="C105" s="71" t="s">
        <v>708</v>
      </c>
      <c r="D105" s="71" t="s">
        <v>718</v>
      </c>
      <c r="E105" s="83">
        <v>36</v>
      </c>
      <c r="F105" s="332">
        <v>27</v>
      </c>
      <c r="G105" s="83">
        <v>-27</v>
      </c>
      <c r="H105" s="83">
        <v>-27</v>
      </c>
      <c r="I105" s="83">
        <f t="shared" si="9"/>
        <v>9</v>
      </c>
      <c r="J105" s="59"/>
    </row>
    <row r="106" s="317" customFormat="1" customHeight="1" spans="1:10">
      <c r="A106" s="128">
        <v>78</v>
      </c>
      <c r="B106" s="152" t="s">
        <v>624</v>
      </c>
      <c r="C106" s="71" t="s">
        <v>708</v>
      </c>
      <c r="D106" s="71" t="s">
        <v>719</v>
      </c>
      <c r="E106" s="83">
        <v>149.8</v>
      </c>
      <c r="F106" s="332">
        <v>149.8</v>
      </c>
      <c r="G106" s="83">
        <v>-149.8</v>
      </c>
      <c r="H106" s="83">
        <v>-149.8</v>
      </c>
      <c r="I106" s="83">
        <f t="shared" si="9"/>
        <v>0</v>
      </c>
      <c r="J106" s="59"/>
    </row>
    <row r="107" s="317" customFormat="1" customHeight="1" spans="1:10">
      <c r="A107" s="128">
        <v>79</v>
      </c>
      <c r="B107" s="152" t="s">
        <v>624</v>
      </c>
      <c r="C107" s="71" t="s">
        <v>708</v>
      </c>
      <c r="D107" s="71" t="s">
        <v>714</v>
      </c>
      <c r="E107" s="83">
        <v>50</v>
      </c>
      <c r="F107" s="332">
        <v>50</v>
      </c>
      <c r="G107" s="83">
        <v>-50</v>
      </c>
      <c r="H107" s="83">
        <v>-50</v>
      </c>
      <c r="I107" s="83">
        <f t="shared" si="9"/>
        <v>0</v>
      </c>
      <c r="J107" s="59"/>
    </row>
    <row r="108" s="317" customFormat="1" customHeight="1" spans="1:10">
      <c r="A108" s="128">
        <v>80</v>
      </c>
      <c r="B108" s="152" t="s">
        <v>624</v>
      </c>
      <c r="C108" s="71" t="s">
        <v>708</v>
      </c>
      <c r="D108" s="71" t="s">
        <v>720</v>
      </c>
      <c r="E108" s="83">
        <v>12.03</v>
      </c>
      <c r="F108" s="332">
        <v>12.03</v>
      </c>
      <c r="G108" s="83">
        <v>-12.03</v>
      </c>
      <c r="H108" s="83">
        <v>-12.03</v>
      </c>
      <c r="I108" s="83">
        <f t="shared" si="9"/>
        <v>0</v>
      </c>
      <c r="J108" s="59"/>
    </row>
    <row r="109" s="317" customFormat="1" customHeight="1" spans="1:10">
      <c r="A109" s="128">
        <v>81</v>
      </c>
      <c r="B109" s="152" t="s">
        <v>624</v>
      </c>
      <c r="C109" s="71" t="s">
        <v>708</v>
      </c>
      <c r="D109" s="71" t="s">
        <v>721</v>
      </c>
      <c r="E109" s="83">
        <v>5.74</v>
      </c>
      <c r="F109" s="332">
        <v>5.74</v>
      </c>
      <c r="G109" s="83">
        <v>-5.704641</v>
      </c>
      <c r="H109" s="83">
        <v>-5.704641</v>
      </c>
      <c r="I109" s="83">
        <f t="shared" si="9"/>
        <v>0.0353590000000006</v>
      </c>
      <c r="J109" s="59"/>
    </row>
    <row r="110" s="317" customFormat="1" customHeight="1" spans="1:10">
      <c r="A110" s="337" t="s">
        <v>722</v>
      </c>
      <c r="B110" s="338"/>
      <c r="C110" s="339"/>
      <c r="D110" s="340"/>
      <c r="E110" s="138">
        <f>SUM(E96:E109)</f>
        <v>426.44</v>
      </c>
      <c r="F110" s="138">
        <f>SUM(F96:F109)</f>
        <v>320.624876</v>
      </c>
      <c r="G110" s="138">
        <f>SUM(G96:G109)</f>
        <v>-312.420366</v>
      </c>
      <c r="H110" s="138">
        <f>SUM(H96:H109)</f>
        <v>-312.420366</v>
      </c>
      <c r="I110" s="138">
        <f>SUM(I96:I109)</f>
        <v>114.019634</v>
      </c>
      <c r="J110" s="165"/>
    </row>
    <row r="111" s="317" customFormat="1" customHeight="1" spans="1:10">
      <c r="A111" s="128">
        <v>82</v>
      </c>
      <c r="B111" s="152" t="s">
        <v>624</v>
      </c>
      <c r="C111" s="71" t="s">
        <v>723</v>
      </c>
      <c r="D111" s="71" t="s">
        <v>724</v>
      </c>
      <c r="E111" s="83">
        <v>2</v>
      </c>
      <c r="F111" s="332">
        <v>2</v>
      </c>
      <c r="G111" s="83">
        <v>-0.0680999999999998</v>
      </c>
      <c r="H111" s="83">
        <v>-0.0680999999999998</v>
      </c>
      <c r="I111" s="83">
        <f>E111+H111</f>
        <v>1.9319</v>
      </c>
      <c r="J111" s="59"/>
    </row>
    <row r="112" s="317" customFormat="1" customHeight="1" spans="1:10">
      <c r="A112" s="128">
        <v>83</v>
      </c>
      <c r="B112" s="152" t="s">
        <v>624</v>
      </c>
      <c r="C112" s="71" t="s">
        <v>723</v>
      </c>
      <c r="D112" s="71" t="s">
        <v>725</v>
      </c>
      <c r="E112" s="83">
        <v>10</v>
      </c>
      <c r="F112" s="332">
        <v>10</v>
      </c>
      <c r="G112" s="83">
        <v>-10</v>
      </c>
      <c r="H112" s="83">
        <v>-10</v>
      </c>
      <c r="I112" s="83">
        <f>E112+H112</f>
        <v>0</v>
      </c>
      <c r="J112" s="59"/>
    </row>
    <row r="113" s="317" customFormat="1" customHeight="1" spans="1:10">
      <c r="A113" s="128">
        <v>84</v>
      </c>
      <c r="B113" s="152" t="s">
        <v>624</v>
      </c>
      <c r="C113" s="71" t="s">
        <v>723</v>
      </c>
      <c r="D113" s="71" t="s">
        <v>726</v>
      </c>
      <c r="E113" s="83">
        <v>40</v>
      </c>
      <c r="F113" s="332">
        <v>38.98486</v>
      </c>
      <c r="G113" s="83">
        <v>-38.98486</v>
      </c>
      <c r="H113" s="83">
        <v>-38.98486</v>
      </c>
      <c r="I113" s="83">
        <f>E113+H113</f>
        <v>1.01514</v>
      </c>
      <c r="J113" s="59"/>
    </row>
    <row r="114" s="317" customFormat="1" customHeight="1" spans="1:10">
      <c r="A114" s="128">
        <v>85</v>
      </c>
      <c r="B114" s="152" t="s">
        <v>624</v>
      </c>
      <c r="C114" s="71" t="s">
        <v>723</v>
      </c>
      <c r="D114" s="71" t="s">
        <v>727</v>
      </c>
      <c r="E114" s="83">
        <v>2.16</v>
      </c>
      <c r="F114" s="332">
        <v>0.46</v>
      </c>
      <c r="G114" s="83">
        <v>-0.46</v>
      </c>
      <c r="H114" s="83">
        <v>-0.46</v>
      </c>
      <c r="I114" s="83">
        <f>E114+H114</f>
        <v>1.7</v>
      </c>
      <c r="J114" s="59"/>
    </row>
    <row r="115" s="317" customFormat="1" customHeight="1" spans="1:10">
      <c r="A115" s="128">
        <v>86</v>
      </c>
      <c r="B115" s="152" t="s">
        <v>624</v>
      </c>
      <c r="C115" s="71" t="s">
        <v>723</v>
      </c>
      <c r="D115" s="71" t="s">
        <v>728</v>
      </c>
      <c r="E115" s="83">
        <v>3</v>
      </c>
      <c r="F115" s="332">
        <v>1.16</v>
      </c>
      <c r="G115" s="83">
        <v>-1.16</v>
      </c>
      <c r="H115" s="83">
        <v>-1.16</v>
      </c>
      <c r="I115" s="83">
        <f>E115+H115</f>
        <v>1.84</v>
      </c>
      <c r="J115" s="59"/>
    </row>
    <row r="116" s="317" customFormat="1" customHeight="1" spans="1:10">
      <c r="A116" s="337" t="s">
        <v>729</v>
      </c>
      <c r="B116" s="338"/>
      <c r="C116" s="339"/>
      <c r="D116" s="340"/>
      <c r="E116" s="138">
        <f>SUM(E111:E115)</f>
        <v>57.16</v>
      </c>
      <c r="F116" s="138">
        <f>SUM(F111:F115)</f>
        <v>52.60486</v>
      </c>
      <c r="G116" s="138">
        <f>SUM(G111:G115)</f>
        <v>-50.67296</v>
      </c>
      <c r="H116" s="138">
        <f>SUM(H111:H115)</f>
        <v>-50.67296</v>
      </c>
      <c r="I116" s="138">
        <f>SUM(I111:I115)</f>
        <v>6.48704</v>
      </c>
      <c r="J116" s="165"/>
    </row>
    <row r="117" s="317" customFormat="1" customHeight="1" spans="1:10">
      <c r="A117" s="128">
        <v>87</v>
      </c>
      <c r="B117" s="152" t="s">
        <v>624</v>
      </c>
      <c r="C117" s="71" t="s">
        <v>730</v>
      </c>
      <c r="D117" s="71" t="s">
        <v>731</v>
      </c>
      <c r="E117" s="83">
        <v>29</v>
      </c>
      <c r="F117" s="332">
        <v>9.85</v>
      </c>
      <c r="G117" s="83">
        <v>-9.853929</v>
      </c>
      <c r="H117" s="83">
        <v>-9.853929</v>
      </c>
      <c r="I117" s="83">
        <f t="shared" ref="I117:I126" si="10">E117+H117</f>
        <v>19.146071</v>
      </c>
      <c r="J117" s="59"/>
    </row>
    <row r="118" s="317" customFormat="1" customHeight="1" spans="1:10">
      <c r="A118" s="128">
        <v>88</v>
      </c>
      <c r="B118" s="152" t="s">
        <v>624</v>
      </c>
      <c r="C118" s="71" t="s">
        <v>730</v>
      </c>
      <c r="D118" s="71" t="s">
        <v>732</v>
      </c>
      <c r="E118" s="83">
        <v>84.66</v>
      </c>
      <c r="F118" s="332">
        <v>5.92288</v>
      </c>
      <c r="G118" s="83">
        <v>-5.92287999999999</v>
      </c>
      <c r="H118" s="83">
        <v>-5.92287999999999</v>
      </c>
      <c r="I118" s="83">
        <f t="shared" si="10"/>
        <v>78.73712</v>
      </c>
      <c r="J118" s="59"/>
    </row>
    <row r="119" s="317" customFormat="1" customHeight="1" spans="1:10">
      <c r="A119" s="128">
        <v>89</v>
      </c>
      <c r="B119" s="152" t="s">
        <v>624</v>
      </c>
      <c r="C119" s="71" t="s">
        <v>730</v>
      </c>
      <c r="D119" s="71" t="s">
        <v>733</v>
      </c>
      <c r="E119" s="83">
        <v>37.05</v>
      </c>
      <c r="F119" s="332">
        <v>34.3748</v>
      </c>
      <c r="G119" s="83">
        <v>-34.3748</v>
      </c>
      <c r="H119" s="83">
        <v>-34.3748</v>
      </c>
      <c r="I119" s="83">
        <f t="shared" si="10"/>
        <v>2.6752</v>
      </c>
      <c r="J119" s="59"/>
    </row>
    <row r="120" s="317" customFormat="1" customHeight="1" spans="1:10">
      <c r="A120" s="128">
        <v>90</v>
      </c>
      <c r="B120" s="152" t="s">
        <v>624</v>
      </c>
      <c r="C120" s="71" t="s">
        <v>730</v>
      </c>
      <c r="D120" s="71" t="s">
        <v>734</v>
      </c>
      <c r="E120" s="83">
        <v>14</v>
      </c>
      <c r="F120" s="332">
        <v>3.606381</v>
      </c>
      <c r="G120" s="83"/>
      <c r="H120" s="83"/>
      <c r="I120" s="83">
        <f t="shared" si="10"/>
        <v>14</v>
      </c>
      <c r="J120" s="59"/>
    </row>
    <row r="121" s="317" customFormat="1" customHeight="1" spans="1:10">
      <c r="A121" s="128">
        <v>91</v>
      </c>
      <c r="B121" s="152" t="s">
        <v>624</v>
      </c>
      <c r="C121" s="71" t="s">
        <v>730</v>
      </c>
      <c r="D121" s="71" t="s">
        <v>735</v>
      </c>
      <c r="E121" s="83">
        <v>2</v>
      </c>
      <c r="F121" s="332">
        <v>1.999291</v>
      </c>
      <c r="G121" s="83"/>
      <c r="H121" s="83"/>
      <c r="I121" s="83">
        <f t="shared" si="10"/>
        <v>2</v>
      </c>
      <c r="J121" s="59"/>
    </row>
    <row r="122" s="317" customFormat="1" customHeight="1" spans="1:10">
      <c r="A122" s="128">
        <v>92</v>
      </c>
      <c r="B122" s="152" t="s">
        <v>624</v>
      </c>
      <c r="C122" s="71" t="s">
        <v>730</v>
      </c>
      <c r="D122" s="71" t="s">
        <v>736</v>
      </c>
      <c r="E122" s="83">
        <v>1</v>
      </c>
      <c r="F122" s="332">
        <v>1</v>
      </c>
      <c r="G122" s="83"/>
      <c r="H122" s="83"/>
      <c r="I122" s="83">
        <f t="shared" si="10"/>
        <v>1</v>
      </c>
      <c r="J122" s="59"/>
    </row>
    <row r="123" s="317" customFormat="1" customHeight="1" spans="1:10">
      <c r="A123" s="128">
        <v>93</v>
      </c>
      <c r="B123" s="152" t="s">
        <v>624</v>
      </c>
      <c r="C123" s="71" t="s">
        <v>730</v>
      </c>
      <c r="D123" s="71" t="s">
        <v>737</v>
      </c>
      <c r="E123" s="83">
        <v>5</v>
      </c>
      <c r="F123" s="332">
        <v>5</v>
      </c>
      <c r="G123" s="83"/>
      <c r="H123" s="83"/>
      <c r="I123" s="83">
        <f t="shared" si="10"/>
        <v>5</v>
      </c>
      <c r="J123" s="59"/>
    </row>
    <row r="124" s="317" customFormat="1" customHeight="1" spans="1:10">
      <c r="A124" s="128">
        <v>94</v>
      </c>
      <c r="B124" s="152" t="s">
        <v>624</v>
      </c>
      <c r="C124" s="71" t="s">
        <v>730</v>
      </c>
      <c r="D124" s="71" t="s">
        <v>738</v>
      </c>
      <c r="E124" s="83">
        <v>25</v>
      </c>
      <c r="F124" s="332">
        <v>4.71</v>
      </c>
      <c r="G124" s="83"/>
      <c r="H124" s="83"/>
      <c r="I124" s="83">
        <f t="shared" si="10"/>
        <v>25</v>
      </c>
      <c r="J124" s="59"/>
    </row>
    <row r="125" s="317" customFormat="1" customHeight="1" spans="1:10">
      <c r="A125" s="128">
        <v>95</v>
      </c>
      <c r="B125" s="152" t="s">
        <v>624</v>
      </c>
      <c r="C125" s="71" t="s">
        <v>730</v>
      </c>
      <c r="D125" s="71" t="s">
        <v>739</v>
      </c>
      <c r="E125" s="83">
        <v>5</v>
      </c>
      <c r="F125" s="332">
        <v>2.41406</v>
      </c>
      <c r="G125" s="83"/>
      <c r="H125" s="83"/>
      <c r="I125" s="83">
        <f t="shared" si="10"/>
        <v>5</v>
      </c>
      <c r="J125" s="59"/>
    </row>
    <row r="126" s="317" customFormat="1" customHeight="1" spans="1:10">
      <c r="A126" s="337" t="s">
        <v>740</v>
      </c>
      <c r="B126" s="338"/>
      <c r="C126" s="339"/>
      <c r="D126" s="340"/>
      <c r="E126" s="138">
        <f>SUM(E117:E125)</f>
        <v>202.71</v>
      </c>
      <c r="F126" s="138">
        <f>SUM(F117:F125)</f>
        <v>68.877412</v>
      </c>
      <c r="G126" s="138">
        <f>SUM(G117:G125)</f>
        <v>-50.151609</v>
      </c>
      <c r="H126" s="138">
        <f>SUM(H117:H125)</f>
        <v>-50.151609</v>
      </c>
      <c r="I126" s="138">
        <f>SUM(I117:I125)</f>
        <v>152.558391</v>
      </c>
      <c r="J126" s="165"/>
    </row>
    <row r="127" s="317" customFormat="1" customHeight="1" spans="1:10">
      <c r="A127" s="128">
        <v>96</v>
      </c>
      <c r="B127" s="152" t="s">
        <v>624</v>
      </c>
      <c r="C127" s="71" t="s">
        <v>741</v>
      </c>
      <c r="D127" s="71" t="s">
        <v>742</v>
      </c>
      <c r="E127" s="83">
        <v>10</v>
      </c>
      <c r="F127" s="332">
        <v>10</v>
      </c>
      <c r="G127" s="83">
        <v>-10</v>
      </c>
      <c r="H127" s="83">
        <v>-10</v>
      </c>
      <c r="I127" s="83">
        <f t="shared" ref="I127:I169" si="11">E127+H127</f>
        <v>0</v>
      </c>
      <c r="J127" s="59"/>
    </row>
    <row r="128" s="317" customFormat="1" customHeight="1" spans="1:10">
      <c r="A128" s="128">
        <v>97</v>
      </c>
      <c r="B128" s="152" t="s">
        <v>624</v>
      </c>
      <c r="C128" s="71" t="s">
        <v>741</v>
      </c>
      <c r="D128" s="71" t="s">
        <v>743</v>
      </c>
      <c r="E128" s="83">
        <v>4</v>
      </c>
      <c r="F128" s="332">
        <v>4</v>
      </c>
      <c r="G128" s="83">
        <v>-4</v>
      </c>
      <c r="H128" s="83">
        <v>-4</v>
      </c>
      <c r="I128" s="83">
        <f t="shared" si="11"/>
        <v>0</v>
      </c>
      <c r="J128" s="59"/>
    </row>
    <row r="129" s="317" customFormat="1" customHeight="1" spans="1:10">
      <c r="A129" s="337" t="s">
        <v>744</v>
      </c>
      <c r="B129" s="338"/>
      <c r="C129" s="339"/>
      <c r="D129" s="340"/>
      <c r="E129" s="138">
        <f t="shared" ref="E129:I129" si="12">SUM(E127:E128)</f>
        <v>14</v>
      </c>
      <c r="F129" s="138">
        <f t="shared" si="12"/>
        <v>14</v>
      </c>
      <c r="G129" s="138">
        <f t="shared" si="12"/>
        <v>-14</v>
      </c>
      <c r="H129" s="138">
        <f t="shared" si="12"/>
        <v>-14</v>
      </c>
      <c r="I129" s="138">
        <f t="shared" si="12"/>
        <v>0</v>
      </c>
      <c r="J129" s="344"/>
    </row>
    <row r="130" s="317" customFormat="1" customHeight="1" spans="1:10">
      <c r="A130" s="128">
        <v>98</v>
      </c>
      <c r="B130" s="152" t="s">
        <v>648</v>
      </c>
      <c r="C130" s="71" t="s">
        <v>745</v>
      </c>
      <c r="D130" s="71" t="s">
        <v>746</v>
      </c>
      <c r="E130" s="83">
        <v>43.01</v>
      </c>
      <c r="F130" s="332">
        <v>0</v>
      </c>
      <c r="G130" s="83"/>
      <c r="H130" s="83"/>
      <c r="I130" s="83">
        <f t="shared" si="11"/>
        <v>43.01</v>
      </c>
      <c r="J130" s="71" t="s">
        <v>747</v>
      </c>
    </row>
    <row r="131" s="317" customFormat="1" customHeight="1" spans="1:10">
      <c r="A131" s="128">
        <v>99</v>
      </c>
      <c r="B131" s="152" t="s">
        <v>606</v>
      </c>
      <c r="C131" s="345" t="s">
        <v>745</v>
      </c>
      <c r="D131" s="345" t="s">
        <v>748</v>
      </c>
      <c r="E131" s="83">
        <v>9</v>
      </c>
      <c r="F131" s="332">
        <v>0</v>
      </c>
      <c r="G131" s="83"/>
      <c r="H131" s="83"/>
      <c r="I131" s="83">
        <f t="shared" si="11"/>
        <v>9</v>
      </c>
      <c r="J131" s="59"/>
    </row>
    <row r="132" s="317" customFormat="1" customHeight="1" spans="1:10">
      <c r="A132" s="128">
        <v>100</v>
      </c>
      <c r="B132" s="152" t="s">
        <v>606</v>
      </c>
      <c r="C132" s="345" t="s">
        <v>745</v>
      </c>
      <c r="D132" s="345" t="s">
        <v>749</v>
      </c>
      <c r="E132" s="83">
        <v>25</v>
      </c>
      <c r="F132" s="332">
        <v>25</v>
      </c>
      <c r="G132" s="83">
        <v>-25</v>
      </c>
      <c r="H132" s="83">
        <v>-25</v>
      </c>
      <c r="I132" s="83">
        <f t="shared" si="11"/>
        <v>0</v>
      </c>
      <c r="J132" s="59"/>
    </row>
    <row r="133" s="317" customFormat="1" customHeight="1" spans="1:10">
      <c r="A133" s="128">
        <v>101</v>
      </c>
      <c r="B133" s="152" t="s">
        <v>624</v>
      </c>
      <c r="C133" s="71" t="s">
        <v>745</v>
      </c>
      <c r="D133" s="71" t="s">
        <v>750</v>
      </c>
      <c r="E133" s="83">
        <v>1</v>
      </c>
      <c r="F133" s="332">
        <v>0.9781</v>
      </c>
      <c r="G133" s="83">
        <v>-0.251898</v>
      </c>
      <c r="H133" s="83">
        <v>-0.251898</v>
      </c>
      <c r="I133" s="83">
        <f t="shared" si="11"/>
        <v>0.748102</v>
      </c>
      <c r="J133" s="59"/>
    </row>
    <row r="134" s="317" customFormat="1" customHeight="1" spans="1:10">
      <c r="A134" s="128">
        <v>102</v>
      </c>
      <c r="B134" s="152" t="s">
        <v>624</v>
      </c>
      <c r="C134" s="71" t="s">
        <v>745</v>
      </c>
      <c r="D134" s="71" t="s">
        <v>751</v>
      </c>
      <c r="E134" s="83">
        <v>7</v>
      </c>
      <c r="F134" s="332">
        <v>0.577</v>
      </c>
      <c r="G134" s="83"/>
      <c r="H134" s="83"/>
      <c r="I134" s="83">
        <f t="shared" si="11"/>
        <v>7</v>
      </c>
      <c r="J134" s="59"/>
    </row>
    <row r="135" s="317" customFormat="1" customHeight="1" spans="1:10">
      <c r="A135" s="128">
        <v>103</v>
      </c>
      <c r="B135" s="152" t="s">
        <v>624</v>
      </c>
      <c r="C135" s="71" t="s">
        <v>745</v>
      </c>
      <c r="D135" s="71" t="s">
        <v>752</v>
      </c>
      <c r="E135" s="83">
        <v>1</v>
      </c>
      <c r="F135" s="332">
        <v>0.18625</v>
      </c>
      <c r="G135" s="83">
        <v>-0.18625</v>
      </c>
      <c r="H135" s="83">
        <v>-0.18625</v>
      </c>
      <c r="I135" s="83">
        <f t="shared" si="11"/>
        <v>0.81375</v>
      </c>
      <c r="J135" s="59"/>
    </row>
    <row r="136" s="317" customFormat="1" customHeight="1" spans="1:10">
      <c r="A136" s="128">
        <v>104</v>
      </c>
      <c r="B136" s="152" t="s">
        <v>624</v>
      </c>
      <c r="C136" s="71" t="s">
        <v>745</v>
      </c>
      <c r="D136" s="71" t="s">
        <v>753</v>
      </c>
      <c r="E136" s="83">
        <v>3</v>
      </c>
      <c r="F136" s="332">
        <v>2.161</v>
      </c>
      <c r="G136" s="83">
        <v>-1.486</v>
      </c>
      <c r="H136" s="83">
        <v>-1.486</v>
      </c>
      <c r="I136" s="83">
        <f t="shared" si="11"/>
        <v>1.514</v>
      </c>
      <c r="J136" s="59"/>
    </row>
    <row r="137" s="317" customFormat="1" customHeight="1" spans="1:10">
      <c r="A137" s="128">
        <v>105</v>
      </c>
      <c r="B137" s="152" t="s">
        <v>624</v>
      </c>
      <c r="C137" s="71" t="s">
        <v>745</v>
      </c>
      <c r="D137" s="71" t="s">
        <v>754</v>
      </c>
      <c r="E137" s="83">
        <v>23</v>
      </c>
      <c r="F137" s="332">
        <v>17.370623</v>
      </c>
      <c r="G137" s="83">
        <v>-15.514902</v>
      </c>
      <c r="H137" s="83">
        <v>-15.514902</v>
      </c>
      <c r="I137" s="83">
        <f t="shared" si="11"/>
        <v>7.485098</v>
      </c>
      <c r="J137" s="59"/>
    </row>
    <row r="138" s="317" customFormat="1" customHeight="1" spans="1:10">
      <c r="A138" s="128">
        <v>106</v>
      </c>
      <c r="B138" s="152" t="s">
        <v>624</v>
      </c>
      <c r="C138" s="71" t="s">
        <v>745</v>
      </c>
      <c r="D138" s="71" t="s">
        <v>755</v>
      </c>
      <c r="E138" s="83">
        <v>6.3</v>
      </c>
      <c r="F138" s="332">
        <v>5.8967</v>
      </c>
      <c r="G138" s="83">
        <v>-5.8967</v>
      </c>
      <c r="H138" s="83">
        <v>-5.8967</v>
      </c>
      <c r="I138" s="83">
        <f t="shared" si="11"/>
        <v>0.4033</v>
      </c>
      <c r="J138" s="59"/>
    </row>
    <row r="139" s="317" customFormat="1" customHeight="1" spans="1:10">
      <c r="A139" s="128">
        <v>107</v>
      </c>
      <c r="B139" s="152" t="s">
        <v>624</v>
      </c>
      <c r="C139" s="71" t="s">
        <v>745</v>
      </c>
      <c r="D139" s="71" t="s">
        <v>756</v>
      </c>
      <c r="E139" s="83">
        <v>5</v>
      </c>
      <c r="F139" s="332">
        <v>5</v>
      </c>
      <c r="G139" s="83">
        <v>-5</v>
      </c>
      <c r="H139" s="83">
        <v>-5</v>
      </c>
      <c r="I139" s="83">
        <f t="shared" si="11"/>
        <v>0</v>
      </c>
      <c r="J139" s="59"/>
    </row>
    <row r="140" s="317" customFormat="1" customHeight="1" spans="1:10">
      <c r="A140" s="128">
        <v>108</v>
      </c>
      <c r="B140" s="152" t="s">
        <v>624</v>
      </c>
      <c r="C140" s="71" t="s">
        <v>745</v>
      </c>
      <c r="D140" s="71" t="s">
        <v>757</v>
      </c>
      <c r="E140" s="83">
        <v>20</v>
      </c>
      <c r="F140" s="332">
        <v>0</v>
      </c>
      <c r="G140" s="83"/>
      <c r="H140" s="83"/>
      <c r="I140" s="83">
        <f t="shared" si="11"/>
        <v>20</v>
      </c>
      <c r="J140" s="59"/>
    </row>
    <row r="141" s="317" customFormat="1" customHeight="1" spans="1:10">
      <c r="A141" s="128">
        <v>109</v>
      </c>
      <c r="B141" s="152" t="s">
        <v>624</v>
      </c>
      <c r="C141" s="71" t="s">
        <v>745</v>
      </c>
      <c r="D141" s="71" t="s">
        <v>758</v>
      </c>
      <c r="E141" s="83">
        <v>9</v>
      </c>
      <c r="F141" s="332">
        <v>0</v>
      </c>
      <c r="G141" s="83"/>
      <c r="H141" s="83"/>
      <c r="I141" s="83">
        <f t="shared" si="11"/>
        <v>9</v>
      </c>
      <c r="J141" s="59"/>
    </row>
    <row r="142" s="317" customFormat="1" customHeight="1" spans="1:10">
      <c r="A142" s="128">
        <v>110</v>
      </c>
      <c r="B142" s="152" t="s">
        <v>624</v>
      </c>
      <c r="C142" s="71" t="s">
        <v>745</v>
      </c>
      <c r="D142" s="71" t="s">
        <v>759</v>
      </c>
      <c r="E142" s="83">
        <v>8</v>
      </c>
      <c r="F142" s="332">
        <v>0</v>
      </c>
      <c r="G142" s="83"/>
      <c r="H142" s="83"/>
      <c r="I142" s="83">
        <f t="shared" si="11"/>
        <v>8</v>
      </c>
      <c r="J142" s="59"/>
    </row>
    <row r="143" s="317" customFormat="1" customHeight="1" spans="1:10">
      <c r="A143" s="128">
        <v>111</v>
      </c>
      <c r="B143" s="152" t="s">
        <v>624</v>
      </c>
      <c r="C143" s="71" t="s">
        <v>745</v>
      </c>
      <c r="D143" s="71" t="s">
        <v>760</v>
      </c>
      <c r="E143" s="83">
        <v>6</v>
      </c>
      <c r="F143" s="332">
        <v>3.683</v>
      </c>
      <c r="G143" s="83">
        <v>-3.411</v>
      </c>
      <c r="H143" s="83">
        <v>-3.411</v>
      </c>
      <c r="I143" s="83">
        <f t="shared" si="11"/>
        <v>2.589</v>
      </c>
      <c r="J143" s="59"/>
    </row>
    <row r="144" s="317" customFormat="1" customHeight="1" spans="1:10">
      <c r="A144" s="128">
        <v>112</v>
      </c>
      <c r="B144" s="152" t="s">
        <v>624</v>
      </c>
      <c r="C144" s="71" t="s">
        <v>745</v>
      </c>
      <c r="D144" s="71" t="s">
        <v>761</v>
      </c>
      <c r="E144" s="83">
        <v>410</v>
      </c>
      <c r="F144" s="332">
        <v>161.844131</v>
      </c>
      <c r="G144" s="83">
        <v>-104.476852</v>
      </c>
      <c r="H144" s="83">
        <v>-104.476852</v>
      </c>
      <c r="I144" s="83">
        <f t="shared" si="11"/>
        <v>305.523148</v>
      </c>
      <c r="J144" s="59"/>
    </row>
    <row r="145" s="317" customFormat="1" customHeight="1" spans="1:10">
      <c r="A145" s="128">
        <v>113</v>
      </c>
      <c r="B145" s="152" t="s">
        <v>624</v>
      </c>
      <c r="C145" s="71" t="s">
        <v>745</v>
      </c>
      <c r="D145" s="71" t="s">
        <v>762</v>
      </c>
      <c r="E145" s="83">
        <v>5</v>
      </c>
      <c r="F145" s="332">
        <v>5</v>
      </c>
      <c r="G145" s="83">
        <v>-5</v>
      </c>
      <c r="H145" s="83">
        <v>-5</v>
      </c>
      <c r="I145" s="83">
        <f t="shared" si="11"/>
        <v>0</v>
      </c>
      <c r="J145" s="59"/>
    </row>
    <row r="146" s="317" customFormat="1" customHeight="1" spans="1:10">
      <c r="A146" s="128">
        <v>114</v>
      </c>
      <c r="B146" s="152" t="s">
        <v>624</v>
      </c>
      <c r="C146" s="71" t="s">
        <v>745</v>
      </c>
      <c r="D146" s="71" t="s">
        <v>763</v>
      </c>
      <c r="E146" s="83">
        <v>493.1</v>
      </c>
      <c r="F146" s="332">
        <v>150.267014</v>
      </c>
      <c r="G146" s="83">
        <v>-64.037015</v>
      </c>
      <c r="H146" s="83">
        <v>-64.037015</v>
      </c>
      <c r="I146" s="83">
        <f t="shared" si="11"/>
        <v>429.062985</v>
      </c>
      <c r="J146" s="59"/>
    </row>
    <row r="147" s="317" customFormat="1" customHeight="1" spans="1:10">
      <c r="A147" s="128">
        <v>115</v>
      </c>
      <c r="B147" s="152" t="s">
        <v>624</v>
      </c>
      <c r="C147" s="71" t="s">
        <v>745</v>
      </c>
      <c r="D147" s="71" t="s">
        <v>764</v>
      </c>
      <c r="E147" s="83">
        <v>1</v>
      </c>
      <c r="F147" s="332">
        <v>1</v>
      </c>
      <c r="G147" s="83">
        <v>-0.77</v>
      </c>
      <c r="H147" s="83">
        <v>-0.77</v>
      </c>
      <c r="I147" s="83">
        <f t="shared" si="11"/>
        <v>0.23</v>
      </c>
      <c r="J147" s="59"/>
    </row>
    <row r="148" s="317" customFormat="1" customHeight="1" spans="1:10">
      <c r="A148" s="128">
        <v>116</v>
      </c>
      <c r="B148" s="152" t="s">
        <v>624</v>
      </c>
      <c r="C148" s="71" t="s">
        <v>745</v>
      </c>
      <c r="D148" s="71" t="s">
        <v>765</v>
      </c>
      <c r="E148" s="83">
        <v>2</v>
      </c>
      <c r="F148" s="332">
        <v>2</v>
      </c>
      <c r="G148" s="83">
        <v>-1.292</v>
      </c>
      <c r="H148" s="83">
        <v>-1.292</v>
      </c>
      <c r="I148" s="83">
        <f t="shared" si="11"/>
        <v>0.708</v>
      </c>
      <c r="J148" s="59"/>
    </row>
    <row r="149" s="317" customFormat="1" customHeight="1" spans="1:10">
      <c r="A149" s="128">
        <v>117</v>
      </c>
      <c r="B149" s="152" t="s">
        <v>624</v>
      </c>
      <c r="C149" s="71" t="s">
        <v>745</v>
      </c>
      <c r="D149" s="71" t="s">
        <v>766</v>
      </c>
      <c r="E149" s="83">
        <v>4</v>
      </c>
      <c r="F149" s="332">
        <v>4</v>
      </c>
      <c r="G149" s="83">
        <v>-3.0784</v>
      </c>
      <c r="H149" s="83">
        <v>-3.0784</v>
      </c>
      <c r="I149" s="83">
        <f t="shared" si="11"/>
        <v>0.9216</v>
      </c>
      <c r="J149" s="59"/>
    </row>
    <row r="150" s="317" customFormat="1" customHeight="1" spans="1:10">
      <c r="A150" s="128">
        <v>118</v>
      </c>
      <c r="B150" s="152" t="s">
        <v>624</v>
      </c>
      <c r="C150" s="71" t="s">
        <v>745</v>
      </c>
      <c r="D150" s="71" t="s">
        <v>767</v>
      </c>
      <c r="E150" s="83">
        <v>10</v>
      </c>
      <c r="F150" s="332">
        <v>9.133</v>
      </c>
      <c r="G150" s="83">
        <v>-9.133</v>
      </c>
      <c r="H150" s="83">
        <v>-9.133</v>
      </c>
      <c r="I150" s="83">
        <f t="shared" si="11"/>
        <v>0.867000000000001</v>
      </c>
      <c r="J150" s="59"/>
    </row>
    <row r="151" s="317" customFormat="1" customHeight="1" spans="1:10">
      <c r="A151" s="128">
        <v>119</v>
      </c>
      <c r="B151" s="152" t="s">
        <v>624</v>
      </c>
      <c r="C151" s="71" t="s">
        <v>745</v>
      </c>
      <c r="D151" s="71" t="s">
        <v>768</v>
      </c>
      <c r="E151" s="83">
        <v>7</v>
      </c>
      <c r="F151" s="332">
        <v>7</v>
      </c>
      <c r="G151" s="83">
        <v>-7</v>
      </c>
      <c r="H151" s="83">
        <v>-7</v>
      </c>
      <c r="I151" s="83">
        <f t="shared" si="11"/>
        <v>0</v>
      </c>
      <c r="J151" s="59"/>
    </row>
    <row r="152" s="317" customFormat="1" customHeight="1" spans="1:10">
      <c r="A152" s="128">
        <v>120</v>
      </c>
      <c r="B152" s="152" t="s">
        <v>624</v>
      </c>
      <c r="C152" s="71" t="s">
        <v>745</v>
      </c>
      <c r="D152" s="71" t="s">
        <v>721</v>
      </c>
      <c r="E152" s="83">
        <v>0.26</v>
      </c>
      <c r="F152" s="332">
        <v>0.01</v>
      </c>
      <c r="G152" s="83">
        <v>-0.00630799999999998</v>
      </c>
      <c r="H152" s="83">
        <v>-0.00630799999999998</v>
      </c>
      <c r="I152" s="83">
        <f t="shared" si="11"/>
        <v>0.253692</v>
      </c>
      <c r="J152" s="59"/>
    </row>
    <row r="153" s="317" customFormat="1" customHeight="1" spans="1:10">
      <c r="A153" s="128">
        <v>121</v>
      </c>
      <c r="B153" s="152" t="s">
        <v>624</v>
      </c>
      <c r="C153" s="71" t="s">
        <v>745</v>
      </c>
      <c r="D153" s="71" t="s">
        <v>769</v>
      </c>
      <c r="E153" s="83">
        <v>8</v>
      </c>
      <c r="F153" s="332">
        <v>0</v>
      </c>
      <c r="G153" s="83"/>
      <c r="H153" s="83"/>
      <c r="I153" s="83">
        <f t="shared" si="11"/>
        <v>8</v>
      </c>
      <c r="J153" s="59"/>
    </row>
    <row r="154" s="317" customFormat="1" customHeight="1" spans="1:10">
      <c r="A154" s="128">
        <v>122</v>
      </c>
      <c r="B154" s="152" t="s">
        <v>624</v>
      </c>
      <c r="C154" s="71" t="s">
        <v>745</v>
      </c>
      <c r="D154" s="71" t="s">
        <v>770</v>
      </c>
      <c r="E154" s="83">
        <v>10</v>
      </c>
      <c r="F154" s="332">
        <v>10</v>
      </c>
      <c r="G154" s="83">
        <v>-10</v>
      </c>
      <c r="H154" s="83">
        <v>-10</v>
      </c>
      <c r="I154" s="83">
        <f t="shared" si="11"/>
        <v>0</v>
      </c>
      <c r="J154" s="59"/>
    </row>
    <row r="155" s="317" customFormat="1" customHeight="1" spans="1:10">
      <c r="A155" s="128">
        <v>123</v>
      </c>
      <c r="B155" s="152" t="s">
        <v>624</v>
      </c>
      <c r="C155" s="71" t="s">
        <v>745</v>
      </c>
      <c r="D155" s="71" t="s">
        <v>771</v>
      </c>
      <c r="E155" s="83">
        <v>10</v>
      </c>
      <c r="F155" s="332">
        <v>10</v>
      </c>
      <c r="G155" s="83">
        <v>-5</v>
      </c>
      <c r="H155" s="83">
        <v>-5</v>
      </c>
      <c r="I155" s="83">
        <f t="shared" si="11"/>
        <v>5</v>
      </c>
      <c r="J155" s="59"/>
    </row>
    <row r="156" s="317" customFormat="1" customHeight="1" spans="1:10">
      <c r="A156" s="128">
        <v>124</v>
      </c>
      <c r="B156" s="152" t="s">
        <v>624</v>
      </c>
      <c r="C156" s="71" t="s">
        <v>745</v>
      </c>
      <c r="D156" s="71" t="s">
        <v>772</v>
      </c>
      <c r="E156" s="83">
        <v>60</v>
      </c>
      <c r="F156" s="332">
        <v>5.56619</v>
      </c>
      <c r="G156" s="83">
        <v>-0.113220999999996</v>
      </c>
      <c r="H156" s="83">
        <v>-0.113220999999996</v>
      </c>
      <c r="I156" s="83">
        <f t="shared" si="11"/>
        <v>59.886779</v>
      </c>
      <c r="J156" s="59"/>
    </row>
    <row r="157" s="317" customFormat="1" customHeight="1" spans="1:10">
      <c r="A157" s="128">
        <v>125</v>
      </c>
      <c r="B157" s="152" t="s">
        <v>624</v>
      </c>
      <c r="C157" s="71" t="s">
        <v>745</v>
      </c>
      <c r="D157" s="71" t="s">
        <v>773</v>
      </c>
      <c r="E157" s="83">
        <v>15.18</v>
      </c>
      <c r="F157" s="332">
        <v>15.18</v>
      </c>
      <c r="G157" s="83">
        <v>-15.18</v>
      </c>
      <c r="H157" s="83">
        <v>-15.18</v>
      </c>
      <c r="I157" s="83">
        <f t="shared" si="11"/>
        <v>0</v>
      </c>
      <c r="J157" s="59"/>
    </row>
    <row r="158" s="317" customFormat="1" customHeight="1" spans="1:10">
      <c r="A158" s="128">
        <v>126</v>
      </c>
      <c r="B158" s="152" t="s">
        <v>624</v>
      </c>
      <c r="C158" s="71" t="s">
        <v>745</v>
      </c>
      <c r="D158" s="71" t="s">
        <v>774</v>
      </c>
      <c r="E158" s="83">
        <v>7.41</v>
      </c>
      <c r="F158" s="332">
        <v>0.00373800000000047</v>
      </c>
      <c r="G158" s="83">
        <v>-0.00373800000000024</v>
      </c>
      <c r="H158" s="83">
        <v>-0.00373800000000024</v>
      </c>
      <c r="I158" s="83">
        <f t="shared" si="11"/>
        <v>7.406262</v>
      </c>
      <c r="J158" s="59"/>
    </row>
    <row r="159" s="317" customFormat="1" customHeight="1" spans="1:10">
      <c r="A159" s="128">
        <v>127</v>
      </c>
      <c r="B159" s="152" t="s">
        <v>624</v>
      </c>
      <c r="C159" s="71" t="s">
        <v>745</v>
      </c>
      <c r="D159" s="71" t="s">
        <v>775</v>
      </c>
      <c r="E159" s="83">
        <v>23</v>
      </c>
      <c r="F159" s="332">
        <v>1.10802</v>
      </c>
      <c r="G159" s="83">
        <v>-1.10802</v>
      </c>
      <c r="H159" s="83">
        <v>-1.10802</v>
      </c>
      <c r="I159" s="83">
        <f t="shared" si="11"/>
        <v>21.89198</v>
      </c>
      <c r="J159" s="59"/>
    </row>
    <row r="160" s="317" customFormat="1" customHeight="1" spans="1:10">
      <c r="A160" s="128">
        <v>128</v>
      </c>
      <c r="B160" s="152" t="s">
        <v>624</v>
      </c>
      <c r="C160" s="71" t="s">
        <v>745</v>
      </c>
      <c r="D160" s="71" t="s">
        <v>776</v>
      </c>
      <c r="E160" s="83">
        <v>50</v>
      </c>
      <c r="F160" s="332">
        <v>50</v>
      </c>
      <c r="G160" s="83">
        <v>-50</v>
      </c>
      <c r="H160" s="83">
        <v>-50</v>
      </c>
      <c r="I160" s="83">
        <f t="shared" si="11"/>
        <v>0</v>
      </c>
      <c r="J160" s="59"/>
    </row>
    <row r="161" s="317" customFormat="1" customHeight="1" spans="1:10">
      <c r="A161" s="128">
        <v>129</v>
      </c>
      <c r="B161" s="152" t="s">
        <v>624</v>
      </c>
      <c r="C161" s="71" t="s">
        <v>745</v>
      </c>
      <c r="D161" s="71" t="s">
        <v>777</v>
      </c>
      <c r="E161" s="83">
        <v>157.09</v>
      </c>
      <c r="F161" s="332">
        <v>78.5484</v>
      </c>
      <c r="G161" s="83">
        <v>-78.5484</v>
      </c>
      <c r="H161" s="83">
        <v>-78.5484</v>
      </c>
      <c r="I161" s="83">
        <f t="shared" si="11"/>
        <v>78.5416</v>
      </c>
      <c r="J161" s="59"/>
    </row>
    <row r="162" s="317" customFormat="1" customHeight="1" spans="1:10">
      <c r="A162" s="128">
        <v>130</v>
      </c>
      <c r="B162" s="152" t="s">
        <v>624</v>
      </c>
      <c r="C162" s="71" t="s">
        <v>745</v>
      </c>
      <c r="D162" s="71" t="s">
        <v>778</v>
      </c>
      <c r="E162" s="83">
        <v>90</v>
      </c>
      <c r="F162" s="332">
        <v>87.594968</v>
      </c>
      <c r="G162" s="83">
        <v>-84.99524</v>
      </c>
      <c r="H162" s="83">
        <v>-84.99524</v>
      </c>
      <c r="I162" s="83">
        <f t="shared" si="11"/>
        <v>5.00476</v>
      </c>
      <c r="J162" s="59"/>
    </row>
    <row r="163" s="317" customFormat="1" customHeight="1" spans="1:10">
      <c r="A163" s="128">
        <v>131</v>
      </c>
      <c r="B163" s="152" t="s">
        <v>624</v>
      </c>
      <c r="C163" s="71" t="s">
        <v>745</v>
      </c>
      <c r="D163" s="71" t="s">
        <v>779</v>
      </c>
      <c r="E163" s="83">
        <v>5</v>
      </c>
      <c r="F163" s="332"/>
      <c r="G163" s="83"/>
      <c r="H163" s="83"/>
      <c r="I163" s="83">
        <f t="shared" si="11"/>
        <v>5</v>
      </c>
      <c r="J163" s="59"/>
    </row>
    <row r="164" s="317" customFormat="1" customHeight="1" spans="1:10">
      <c r="A164" s="128">
        <v>132</v>
      </c>
      <c r="B164" s="152" t="s">
        <v>624</v>
      </c>
      <c r="C164" s="71" t="s">
        <v>745</v>
      </c>
      <c r="D164" s="71" t="s">
        <v>780</v>
      </c>
      <c r="E164" s="83">
        <v>113.25</v>
      </c>
      <c r="F164" s="332">
        <v>30.343088</v>
      </c>
      <c r="G164" s="83">
        <v>-14.519014</v>
      </c>
      <c r="H164" s="83">
        <v>-14.519014</v>
      </c>
      <c r="I164" s="83">
        <f t="shared" si="11"/>
        <v>98.730986</v>
      </c>
      <c r="J164" s="59"/>
    </row>
    <row r="165" s="317" customFormat="1" customHeight="1" spans="1:10">
      <c r="A165" s="128">
        <v>133</v>
      </c>
      <c r="B165" s="152" t="s">
        <v>624</v>
      </c>
      <c r="C165" s="71" t="s">
        <v>745</v>
      </c>
      <c r="D165" s="71" t="s">
        <v>781</v>
      </c>
      <c r="E165" s="83">
        <v>10</v>
      </c>
      <c r="F165" s="332">
        <v>0</v>
      </c>
      <c r="G165" s="83"/>
      <c r="H165" s="83"/>
      <c r="I165" s="83">
        <f t="shared" si="11"/>
        <v>10</v>
      </c>
      <c r="J165" s="59"/>
    </row>
    <row r="166" s="317" customFormat="1" customHeight="1" spans="1:10">
      <c r="A166" s="337" t="s">
        <v>782</v>
      </c>
      <c r="B166" s="338"/>
      <c r="C166" s="339"/>
      <c r="D166" s="340"/>
      <c r="E166" s="138">
        <f>SUM(E130:E165)</f>
        <v>1657.6</v>
      </c>
      <c r="F166" s="138">
        <f>SUM(F130:F165)</f>
        <v>689.451222</v>
      </c>
      <c r="G166" s="138">
        <f>SUM(G130:G165)</f>
        <v>-511.007958</v>
      </c>
      <c r="H166" s="138">
        <f>SUM(H130:H165)</f>
        <v>-511.007958</v>
      </c>
      <c r="I166" s="138">
        <f>SUM(I130:I165)</f>
        <v>1146.592042</v>
      </c>
      <c r="J166" s="165"/>
    </row>
    <row r="167" s="317" customFormat="1" customHeight="1" spans="1:10">
      <c r="A167" s="128">
        <v>134</v>
      </c>
      <c r="B167" s="152" t="s">
        <v>624</v>
      </c>
      <c r="C167" s="71" t="s">
        <v>783</v>
      </c>
      <c r="D167" s="71" t="s">
        <v>784</v>
      </c>
      <c r="E167" s="83">
        <v>16</v>
      </c>
      <c r="F167" s="83">
        <v>0.11275</v>
      </c>
      <c r="G167" s="83">
        <v>-0.112749999999998</v>
      </c>
      <c r="H167" s="83">
        <v>-0.112749999999998</v>
      </c>
      <c r="I167" s="83">
        <f t="shared" ref="I167:I173" si="13">E167+H167</f>
        <v>15.88725</v>
      </c>
      <c r="J167" s="59"/>
    </row>
    <row r="168" s="317" customFormat="1" customHeight="1" spans="1:10">
      <c r="A168" s="128">
        <v>135</v>
      </c>
      <c r="B168" s="152" t="s">
        <v>624</v>
      </c>
      <c r="C168" s="71" t="s">
        <v>783</v>
      </c>
      <c r="D168" s="71" t="s">
        <v>785</v>
      </c>
      <c r="E168" s="83">
        <v>20.2</v>
      </c>
      <c r="F168" s="83">
        <v>2</v>
      </c>
      <c r="G168" s="83">
        <v>-2</v>
      </c>
      <c r="H168" s="83">
        <v>-2</v>
      </c>
      <c r="I168" s="83">
        <f t="shared" si="13"/>
        <v>18.2</v>
      </c>
      <c r="J168" s="59"/>
    </row>
    <row r="169" s="317" customFormat="1" customHeight="1" spans="1:10">
      <c r="A169" s="128">
        <v>136</v>
      </c>
      <c r="B169" s="152" t="s">
        <v>624</v>
      </c>
      <c r="C169" s="71" t="s">
        <v>783</v>
      </c>
      <c r="D169" s="71" t="s">
        <v>786</v>
      </c>
      <c r="E169" s="83">
        <v>30</v>
      </c>
      <c r="F169" s="83">
        <v>21.3952</v>
      </c>
      <c r="G169" s="83">
        <v>-7.89798</v>
      </c>
      <c r="H169" s="83">
        <v>-7.89798</v>
      </c>
      <c r="I169" s="83">
        <f t="shared" si="13"/>
        <v>22.10202</v>
      </c>
      <c r="J169" s="59"/>
    </row>
    <row r="170" s="317" customFormat="1" customHeight="1" spans="1:10">
      <c r="A170" s="128">
        <v>137</v>
      </c>
      <c r="B170" s="152" t="s">
        <v>624</v>
      </c>
      <c r="C170" s="71" t="s">
        <v>783</v>
      </c>
      <c r="D170" s="71" t="s">
        <v>787</v>
      </c>
      <c r="E170" s="83">
        <v>2</v>
      </c>
      <c r="F170" s="83">
        <v>2</v>
      </c>
      <c r="G170" s="83">
        <v>-1.319352</v>
      </c>
      <c r="H170" s="83">
        <v>-1.319352</v>
      </c>
      <c r="I170" s="83">
        <f t="shared" si="13"/>
        <v>0.680648</v>
      </c>
      <c r="J170" s="59"/>
    </row>
    <row r="171" s="317" customFormat="1" customHeight="1" spans="1:10">
      <c r="A171" s="128">
        <v>138</v>
      </c>
      <c r="B171" s="152" t="s">
        <v>624</v>
      </c>
      <c r="C171" s="71" t="s">
        <v>783</v>
      </c>
      <c r="D171" s="71" t="s">
        <v>788</v>
      </c>
      <c r="E171" s="83">
        <v>15</v>
      </c>
      <c r="F171" s="83">
        <v>0</v>
      </c>
      <c r="G171" s="83"/>
      <c r="H171" s="83"/>
      <c r="I171" s="83">
        <f t="shared" si="13"/>
        <v>15</v>
      </c>
      <c r="J171" s="59"/>
    </row>
    <row r="172" s="317" customFormat="1" customHeight="1" spans="1:10">
      <c r="A172" s="128">
        <v>139</v>
      </c>
      <c r="B172" s="152" t="s">
        <v>624</v>
      </c>
      <c r="C172" s="71" t="s">
        <v>783</v>
      </c>
      <c r="D172" s="71" t="s">
        <v>789</v>
      </c>
      <c r="E172" s="83">
        <v>36</v>
      </c>
      <c r="F172" s="83">
        <v>0.02</v>
      </c>
      <c r="G172" s="83"/>
      <c r="H172" s="83"/>
      <c r="I172" s="83">
        <f t="shared" si="13"/>
        <v>36</v>
      </c>
      <c r="J172" s="59"/>
    </row>
    <row r="173" s="317" customFormat="1" customHeight="1" spans="1:10">
      <c r="A173" s="128">
        <v>140</v>
      </c>
      <c r="B173" s="152" t="s">
        <v>624</v>
      </c>
      <c r="C173" s="71" t="s">
        <v>783</v>
      </c>
      <c r="D173" s="71" t="s">
        <v>790</v>
      </c>
      <c r="E173" s="83">
        <v>15</v>
      </c>
      <c r="F173" s="83">
        <v>15</v>
      </c>
      <c r="G173" s="83">
        <v>-0.186999999999999</v>
      </c>
      <c r="H173" s="83">
        <v>-0.186999999999999</v>
      </c>
      <c r="I173" s="83">
        <f t="shared" si="13"/>
        <v>14.813</v>
      </c>
      <c r="J173" s="59"/>
    </row>
    <row r="174" s="317" customFormat="1" customHeight="1" spans="1:10">
      <c r="A174" s="337" t="s">
        <v>791</v>
      </c>
      <c r="B174" s="338"/>
      <c r="C174" s="339"/>
      <c r="D174" s="340"/>
      <c r="E174" s="138">
        <f t="shared" ref="E174:I174" si="14">SUM(E167:E173)</f>
        <v>134.2</v>
      </c>
      <c r="F174" s="138">
        <f t="shared" si="14"/>
        <v>40.52795</v>
      </c>
      <c r="G174" s="138">
        <f t="shared" si="14"/>
        <v>-11.517082</v>
      </c>
      <c r="H174" s="138">
        <f t="shared" si="14"/>
        <v>-11.517082</v>
      </c>
      <c r="I174" s="138">
        <f t="shared" si="14"/>
        <v>122.682918</v>
      </c>
      <c r="J174" s="344"/>
    </row>
    <row r="175" s="317" customFormat="1" customHeight="1" spans="1:10">
      <c r="A175" s="128">
        <v>141</v>
      </c>
      <c r="B175" s="152" t="s">
        <v>624</v>
      </c>
      <c r="C175" s="71" t="s">
        <v>792</v>
      </c>
      <c r="D175" s="71" t="s">
        <v>793</v>
      </c>
      <c r="E175" s="83">
        <v>22</v>
      </c>
      <c r="F175" s="332">
        <v>15.99624</v>
      </c>
      <c r="G175" s="83">
        <v>-15.99624</v>
      </c>
      <c r="H175" s="83">
        <v>-15.99624</v>
      </c>
      <c r="I175" s="83">
        <f t="shared" ref="I175:I179" si="15">E175+H175</f>
        <v>6.00376</v>
      </c>
      <c r="J175" s="59"/>
    </row>
    <row r="176" s="317" customFormat="1" customHeight="1" spans="1:10">
      <c r="A176" s="128">
        <v>142</v>
      </c>
      <c r="B176" s="152" t="s">
        <v>624</v>
      </c>
      <c r="C176" s="71" t="s">
        <v>792</v>
      </c>
      <c r="D176" s="71" t="s">
        <v>794</v>
      </c>
      <c r="E176" s="83">
        <v>14.5</v>
      </c>
      <c r="F176" s="332">
        <v>1</v>
      </c>
      <c r="G176" s="83">
        <v>-1</v>
      </c>
      <c r="H176" s="83">
        <v>-1</v>
      </c>
      <c r="I176" s="83">
        <f t="shared" si="15"/>
        <v>13.5</v>
      </c>
      <c r="J176" s="59"/>
    </row>
    <row r="177" s="317" customFormat="1" customHeight="1" spans="1:10">
      <c r="A177" s="128">
        <v>143</v>
      </c>
      <c r="B177" s="152" t="s">
        <v>624</v>
      </c>
      <c r="C177" s="71" t="s">
        <v>792</v>
      </c>
      <c r="D177" s="71" t="s">
        <v>106</v>
      </c>
      <c r="E177" s="83">
        <v>6</v>
      </c>
      <c r="F177" s="332">
        <v>4.8472</v>
      </c>
      <c r="G177" s="83">
        <v>-3.7292</v>
      </c>
      <c r="H177" s="83">
        <v>-3.7292</v>
      </c>
      <c r="I177" s="83">
        <f t="shared" si="15"/>
        <v>2.2708</v>
      </c>
      <c r="J177" s="59"/>
    </row>
    <row r="178" s="317" customFormat="1" customHeight="1" spans="1:10">
      <c r="A178" s="128">
        <v>144</v>
      </c>
      <c r="B178" s="152" t="s">
        <v>624</v>
      </c>
      <c r="C178" s="71" t="s">
        <v>792</v>
      </c>
      <c r="D178" s="71" t="s">
        <v>795</v>
      </c>
      <c r="E178" s="83">
        <v>47.5</v>
      </c>
      <c r="F178" s="332">
        <v>43.1976</v>
      </c>
      <c r="G178" s="83">
        <v>-43.1976</v>
      </c>
      <c r="H178" s="83">
        <v>-43.1976</v>
      </c>
      <c r="I178" s="83">
        <f t="shared" si="15"/>
        <v>4.3024</v>
      </c>
      <c r="J178" s="59"/>
    </row>
    <row r="179" s="317" customFormat="1" customHeight="1" spans="1:10">
      <c r="A179" s="128">
        <v>145</v>
      </c>
      <c r="B179" s="152" t="s">
        <v>624</v>
      </c>
      <c r="C179" s="71" t="s">
        <v>792</v>
      </c>
      <c r="D179" s="71" t="s">
        <v>796</v>
      </c>
      <c r="E179" s="83">
        <v>29</v>
      </c>
      <c r="F179" s="332">
        <v>18.626644</v>
      </c>
      <c r="G179" s="83">
        <v>-10.668925</v>
      </c>
      <c r="H179" s="83">
        <v>-10.668925</v>
      </c>
      <c r="I179" s="83">
        <f t="shared" si="15"/>
        <v>18.331075</v>
      </c>
      <c r="J179" s="59"/>
    </row>
    <row r="180" s="317" customFormat="1" customHeight="1" spans="1:10">
      <c r="A180" s="337" t="s">
        <v>797</v>
      </c>
      <c r="B180" s="338"/>
      <c r="C180" s="339"/>
      <c r="D180" s="340"/>
      <c r="E180" s="138">
        <f t="shared" ref="E180:I180" si="16">SUM(E175:E179)</f>
        <v>119</v>
      </c>
      <c r="F180" s="138">
        <f t="shared" si="16"/>
        <v>83.667684</v>
      </c>
      <c r="G180" s="138">
        <f t="shared" si="16"/>
        <v>-74.591965</v>
      </c>
      <c r="H180" s="138">
        <f t="shared" si="16"/>
        <v>-74.591965</v>
      </c>
      <c r="I180" s="138">
        <f t="shared" si="16"/>
        <v>44.408035</v>
      </c>
      <c r="J180" s="344"/>
    </row>
    <row r="181" s="317" customFormat="1" customHeight="1" spans="1:10">
      <c r="A181" s="128">
        <v>146</v>
      </c>
      <c r="B181" s="152" t="s">
        <v>624</v>
      </c>
      <c r="C181" s="71" t="s">
        <v>798</v>
      </c>
      <c r="D181" s="71" t="s">
        <v>799</v>
      </c>
      <c r="E181" s="83">
        <v>74.7</v>
      </c>
      <c r="F181" s="83">
        <v>56.025</v>
      </c>
      <c r="G181" s="83">
        <v>-56.025</v>
      </c>
      <c r="H181" s="83">
        <v>-56.025</v>
      </c>
      <c r="I181" s="83">
        <f t="shared" ref="I181:I185" si="17">E181+H181</f>
        <v>18.675</v>
      </c>
      <c r="J181" s="59"/>
    </row>
    <row r="182" s="317" customFormat="1" customHeight="1" spans="1:10">
      <c r="A182" s="128">
        <v>147</v>
      </c>
      <c r="B182" s="152" t="s">
        <v>624</v>
      </c>
      <c r="C182" s="71" t="s">
        <v>798</v>
      </c>
      <c r="D182" s="71" t="s">
        <v>800</v>
      </c>
      <c r="E182" s="83">
        <v>29.88</v>
      </c>
      <c r="F182" s="83">
        <v>7.055</v>
      </c>
      <c r="G182" s="83">
        <v>-4.98</v>
      </c>
      <c r="H182" s="83">
        <v>-4.98</v>
      </c>
      <c r="I182" s="83">
        <f t="shared" si="17"/>
        <v>24.9</v>
      </c>
      <c r="J182" s="59"/>
    </row>
    <row r="183" s="317" customFormat="1" customHeight="1" spans="1:10">
      <c r="A183" s="128">
        <v>148</v>
      </c>
      <c r="B183" s="152" t="s">
        <v>624</v>
      </c>
      <c r="C183" s="71" t="s">
        <v>798</v>
      </c>
      <c r="D183" s="71" t="s">
        <v>801</v>
      </c>
      <c r="E183" s="83">
        <v>30</v>
      </c>
      <c r="F183" s="83">
        <v>30</v>
      </c>
      <c r="G183" s="83">
        <v>-30</v>
      </c>
      <c r="H183" s="83">
        <v>-30</v>
      </c>
      <c r="I183" s="83">
        <f t="shared" si="17"/>
        <v>0</v>
      </c>
      <c r="J183" s="59"/>
    </row>
    <row r="184" s="317" customFormat="1" customHeight="1" spans="1:10">
      <c r="A184" s="128">
        <v>149</v>
      </c>
      <c r="B184" s="152" t="s">
        <v>624</v>
      </c>
      <c r="C184" s="71" t="s">
        <v>798</v>
      </c>
      <c r="D184" s="71" t="s">
        <v>802</v>
      </c>
      <c r="E184" s="83">
        <v>18</v>
      </c>
      <c r="F184" s="83">
        <v>6.3</v>
      </c>
      <c r="G184" s="83"/>
      <c r="H184" s="83"/>
      <c r="I184" s="83">
        <f t="shared" si="17"/>
        <v>18</v>
      </c>
      <c r="J184" s="59"/>
    </row>
    <row r="185" s="317" customFormat="1" customHeight="1" spans="1:10">
      <c r="A185" s="128">
        <v>150</v>
      </c>
      <c r="B185" s="152" t="s">
        <v>624</v>
      </c>
      <c r="C185" s="71" t="s">
        <v>798</v>
      </c>
      <c r="D185" s="71" t="s">
        <v>803</v>
      </c>
      <c r="E185" s="83">
        <v>4</v>
      </c>
      <c r="F185" s="83">
        <v>4</v>
      </c>
      <c r="G185" s="83"/>
      <c r="H185" s="83"/>
      <c r="I185" s="83">
        <f t="shared" si="17"/>
        <v>4</v>
      </c>
      <c r="J185" s="59"/>
    </row>
    <row r="186" s="317" customFormat="1" customHeight="1" spans="1:10">
      <c r="A186" s="337" t="s">
        <v>804</v>
      </c>
      <c r="B186" s="338"/>
      <c r="C186" s="339"/>
      <c r="D186" s="340"/>
      <c r="E186" s="138">
        <f t="shared" ref="E186:I186" si="18">SUM(E181:E185)</f>
        <v>156.58</v>
      </c>
      <c r="F186" s="138">
        <f t="shared" si="18"/>
        <v>103.38</v>
      </c>
      <c r="G186" s="138">
        <f t="shared" si="18"/>
        <v>-91.005</v>
      </c>
      <c r="H186" s="138">
        <f t="shared" si="18"/>
        <v>-91.005</v>
      </c>
      <c r="I186" s="138">
        <f t="shared" si="18"/>
        <v>65.575</v>
      </c>
      <c r="J186" s="344"/>
    </row>
    <row r="187" s="317" customFormat="1" customHeight="1" spans="1:10">
      <c r="A187" s="128">
        <v>151</v>
      </c>
      <c r="B187" s="152" t="s">
        <v>624</v>
      </c>
      <c r="C187" s="71" t="s">
        <v>805</v>
      </c>
      <c r="D187" s="71" t="s">
        <v>799</v>
      </c>
      <c r="E187" s="83">
        <v>39.84</v>
      </c>
      <c r="F187" s="83">
        <v>23.24</v>
      </c>
      <c r="G187" s="83">
        <v>-19.92</v>
      </c>
      <c r="H187" s="83">
        <v>-19.92</v>
      </c>
      <c r="I187" s="83">
        <f t="shared" ref="I187:I211" si="19">E187+H187</f>
        <v>19.92</v>
      </c>
      <c r="J187" s="59"/>
    </row>
    <row r="188" s="317" customFormat="1" customHeight="1" spans="1:10">
      <c r="A188" s="128">
        <v>152</v>
      </c>
      <c r="B188" s="152" t="s">
        <v>624</v>
      </c>
      <c r="C188" s="71" t="s">
        <v>805</v>
      </c>
      <c r="D188" s="71" t="s">
        <v>800</v>
      </c>
      <c r="E188" s="83">
        <v>14.94</v>
      </c>
      <c r="F188" s="83">
        <v>0</v>
      </c>
      <c r="G188" s="83"/>
      <c r="H188" s="83"/>
      <c r="I188" s="83">
        <f t="shared" si="19"/>
        <v>14.94</v>
      </c>
      <c r="J188" s="59"/>
    </row>
    <row r="189" s="317" customFormat="1" customHeight="1" spans="1:10">
      <c r="A189" s="337" t="s">
        <v>806</v>
      </c>
      <c r="B189" s="338"/>
      <c r="C189" s="339"/>
      <c r="D189" s="340"/>
      <c r="E189" s="138">
        <f t="shared" ref="E189:I189" si="20">SUM(E187:E188)</f>
        <v>54.78</v>
      </c>
      <c r="F189" s="83">
        <f t="shared" si="20"/>
        <v>23.24</v>
      </c>
      <c r="G189" s="138">
        <f t="shared" si="20"/>
        <v>-19.92</v>
      </c>
      <c r="H189" s="138">
        <f t="shared" si="20"/>
        <v>-19.92</v>
      </c>
      <c r="I189" s="138">
        <f t="shared" si="20"/>
        <v>34.86</v>
      </c>
      <c r="J189" s="344"/>
    </row>
    <row r="190" s="317" customFormat="1" customHeight="1" spans="1:10">
      <c r="A190" s="128">
        <v>153</v>
      </c>
      <c r="B190" s="152" t="s">
        <v>648</v>
      </c>
      <c r="C190" s="71" t="s">
        <v>807</v>
      </c>
      <c r="D190" s="151" t="s">
        <v>808</v>
      </c>
      <c r="E190" s="83">
        <v>272</v>
      </c>
      <c r="F190" s="83">
        <v>222.19</v>
      </c>
      <c r="G190" s="83">
        <v>-222.19</v>
      </c>
      <c r="H190" s="83">
        <v>-222.19</v>
      </c>
      <c r="I190" s="83">
        <f t="shared" si="19"/>
        <v>49.81</v>
      </c>
      <c r="J190" s="71" t="s">
        <v>809</v>
      </c>
    </row>
    <row r="191" s="317" customFormat="1" customHeight="1" spans="1:10">
      <c r="A191" s="128">
        <v>154</v>
      </c>
      <c r="B191" s="152" t="s">
        <v>598</v>
      </c>
      <c r="C191" s="333" t="s">
        <v>807</v>
      </c>
      <c r="D191" s="333" t="s">
        <v>810</v>
      </c>
      <c r="E191" s="83">
        <v>10</v>
      </c>
      <c r="F191" s="83">
        <v>10</v>
      </c>
      <c r="G191" s="83">
        <v>-10</v>
      </c>
      <c r="H191" s="83">
        <v>-10</v>
      </c>
      <c r="I191" s="83">
        <f t="shared" si="19"/>
        <v>0</v>
      </c>
      <c r="J191" s="348" t="s">
        <v>811</v>
      </c>
    </row>
    <row r="192" s="317" customFormat="1" customHeight="1" spans="1:10">
      <c r="A192" s="128">
        <v>155</v>
      </c>
      <c r="B192" s="152" t="s">
        <v>598</v>
      </c>
      <c r="C192" s="333" t="s">
        <v>807</v>
      </c>
      <c r="D192" s="333" t="s">
        <v>812</v>
      </c>
      <c r="E192" s="83">
        <v>21.6</v>
      </c>
      <c r="F192" s="83">
        <v>3.6</v>
      </c>
      <c r="G192" s="83"/>
      <c r="H192" s="83"/>
      <c r="I192" s="83">
        <f t="shared" si="19"/>
        <v>21.6</v>
      </c>
      <c r="J192" s="348"/>
    </row>
    <row r="193" s="317" customFormat="1" customHeight="1" spans="1:10">
      <c r="A193" s="128">
        <v>156</v>
      </c>
      <c r="B193" s="152" t="s">
        <v>598</v>
      </c>
      <c r="C193" s="333" t="s">
        <v>807</v>
      </c>
      <c r="D193" s="333" t="s">
        <v>813</v>
      </c>
      <c r="E193" s="83">
        <v>21.6</v>
      </c>
      <c r="F193" s="83">
        <v>3.6</v>
      </c>
      <c r="G193" s="83"/>
      <c r="H193" s="83"/>
      <c r="I193" s="83">
        <f t="shared" si="19"/>
        <v>21.6</v>
      </c>
      <c r="J193" s="348"/>
    </row>
    <row r="194" s="317" customFormat="1" customHeight="1" spans="1:10">
      <c r="A194" s="128">
        <v>157</v>
      </c>
      <c r="B194" s="152" t="s">
        <v>598</v>
      </c>
      <c r="C194" s="333" t="s">
        <v>807</v>
      </c>
      <c r="D194" s="333" t="s">
        <v>814</v>
      </c>
      <c r="E194" s="83">
        <v>2</v>
      </c>
      <c r="F194" s="83">
        <v>2</v>
      </c>
      <c r="G194" s="83"/>
      <c r="H194" s="83"/>
      <c r="I194" s="83">
        <f t="shared" si="19"/>
        <v>2</v>
      </c>
      <c r="J194" s="348"/>
    </row>
    <row r="195" s="317" customFormat="1" customHeight="1" spans="1:10">
      <c r="A195" s="128">
        <v>158</v>
      </c>
      <c r="B195" s="152" t="s">
        <v>598</v>
      </c>
      <c r="C195" s="333" t="s">
        <v>807</v>
      </c>
      <c r="D195" s="333" t="s">
        <v>815</v>
      </c>
      <c r="E195" s="83">
        <v>4.08</v>
      </c>
      <c r="F195" s="83">
        <v>3.979</v>
      </c>
      <c r="G195" s="83"/>
      <c r="H195" s="83"/>
      <c r="I195" s="83">
        <f t="shared" si="19"/>
        <v>4.08</v>
      </c>
      <c r="J195" s="348"/>
    </row>
    <row r="196" s="317" customFormat="1" customHeight="1" spans="1:10">
      <c r="A196" s="128">
        <v>159</v>
      </c>
      <c r="B196" s="152" t="s">
        <v>598</v>
      </c>
      <c r="C196" s="333" t="s">
        <v>807</v>
      </c>
      <c r="D196" s="333" t="s">
        <v>816</v>
      </c>
      <c r="E196" s="83">
        <v>6</v>
      </c>
      <c r="F196" s="83">
        <v>4.7684</v>
      </c>
      <c r="G196" s="83">
        <v>-3</v>
      </c>
      <c r="H196" s="83">
        <v>-3</v>
      </c>
      <c r="I196" s="83">
        <f t="shared" si="19"/>
        <v>3</v>
      </c>
      <c r="J196" s="348"/>
    </row>
    <row r="197" s="317" customFormat="1" customHeight="1" spans="1:10">
      <c r="A197" s="128">
        <v>160</v>
      </c>
      <c r="B197" s="152" t="s">
        <v>598</v>
      </c>
      <c r="C197" s="333" t="s">
        <v>807</v>
      </c>
      <c r="D197" s="333" t="s">
        <v>817</v>
      </c>
      <c r="E197" s="83">
        <v>30</v>
      </c>
      <c r="F197" s="83">
        <v>7.5</v>
      </c>
      <c r="G197" s="83"/>
      <c r="H197" s="83"/>
      <c r="I197" s="83">
        <f t="shared" si="19"/>
        <v>30</v>
      </c>
      <c r="J197" s="348"/>
    </row>
    <row r="198" s="317" customFormat="1" customHeight="1" spans="1:10">
      <c r="A198" s="128">
        <v>161</v>
      </c>
      <c r="B198" s="152" t="s">
        <v>598</v>
      </c>
      <c r="C198" s="333" t="s">
        <v>807</v>
      </c>
      <c r="D198" s="333" t="s">
        <v>818</v>
      </c>
      <c r="E198" s="83">
        <v>3</v>
      </c>
      <c r="F198" s="83">
        <v>0.2794</v>
      </c>
      <c r="G198" s="83">
        <v>-0.025898</v>
      </c>
      <c r="H198" s="83">
        <v>-0.025898</v>
      </c>
      <c r="I198" s="83">
        <f t="shared" si="19"/>
        <v>2.974102</v>
      </c>
      <c r="J198" s="348"/>
    </row>
    <row r="199" s="317" customFormat="1" customHeight="1" spans="1:10">
      <c r="A199" s="128">
        <v>162</v>
      </c>
      <c r="B199" s="152" t="s">
        <v>598</v>
      </c>
      <c r="C199" s="333" t="s">
        <v>807</v>
      </c>
      <c r="D199" s="333" t="s">
        <v>819</v>
      </c>
      <c r="E199" s="83">
        <v>10</v>
      </c>
      <c r="F199" s="83">
        <v>1.7973</v>
      </c>
      <c r="G199" s="83"/>
      <c r="H199" s="83"/>
      <c r="I199" s="83">
        <f t="shared" si="19"/>
        <v>10</v>
      </c>
      <c r="J199" s="348"/>
    </row>
    <row r="200" s="317" customFormat="1" customHeight="1" spans="1:10">
      <c r="A200" s="128">
        <v>163</v>
      </c>
      <c r="B200" s="152" t="s">
        <v>598</v>
      </c>
      <c r="C200" s="333" t="s">
        <v>807</v>
      </c>
      <c r="D200" s="333" t="s">
        <v>820</v>
      </c>
      <c r="E200" s="83">
        <v>10</v>
      </c>
      <c r="F200" s="83">
        <v>0</v>
      </c>
      <c r="G200" s="83"/>
      <c r="H200" s="83"/>
      <c r="I200" s="83">
        <f t="shared" si="19"/>
        <v>10</v>
      </c>
      <c r="J200" s="348"/>
    </row>
    <row r="201" s="317" customFormat="1" customHeight="1" spans="1:10">
      <c r="A201" s="128">
        <v>164</v>
      </c>
      <c r="B201" s="152" t="s">
        <v>598</v>
      </c>
      <c r="C201" s="333" t="s">
        <v>807</v>
      </c>
      <c r="D201" s="333" t="s">
        <v>821</v>
      </c>
      <c r="E201" s="83">
        <v>3</v>
      </c>
      <c r="F201" s="83">
        <v>1.821524</v>
      </c>
      <c r="G201" s="83"/>
      <c r="H201" s="83"/>
      <c r="I201" s="83">
        <f t="shared" si="19"/>
        <v>3</v>
      </c>
      <c r="J201" s="348"/>
    </row>
    <row r="202" s="317" customFormat="1" customHeight="1" spans="1:10">
      <c r="A202" s="128">
        <v>165</v>
      </c>
      <c r="B202" s="152" t="s">
        <v>598</v>
      </c>
      <c r="C202" s="333" t="s">
        <v>807</v>
      </c>
      <c r="D202" s="333" t="s">
        <v>822</v>
      </c>
      <c r="E202" s="83">
        <v>30</v>
      </c>
      <c r="F202" s="83">
        <v>30</v>
      </c>
      <c r="G202" s="83">
        <v>-30</v>
      </c>
      <c r="H202" s="83">
        <v>-30</v>
      </c>
      <c r="I202" s="83">
        <f t="shared" si="19"/>
        <v>0</v>
      </c>
      <c r="J202" s="348" t="s">
        <v>823</v>
      </c>
    </row>
    <row r="203" s="317" customFormat="1" customHeight="1" spans="1:10">
      <c r="A203" s="128">
        <v>166</v>
      </c>
      <c r="B203" s="152" t="s">
        <v>598</v>
      </c>
      <c r="C203" s="333" t="s">
        <v>807</v>
      </c>
      <c r="D203" s="333" t="s">
        <v>824</v>
      </c>
      <c r="E203" s="83">
        <v>1</v>
      </c>
      <c r="F203" s="83">
        <v>0.9179</v>
      </c>
      <c r="G203" s="83"/>
      <c r="H203" s="83"/>
      <c r="I203" s="83">
        <f t="shared" si="19"/>
        <v>1</v>
      </c>
      <c r="J203" s="348"/>
    </row>
    <row r="204" s="317" customFormat="1" customHeight="1" spans="1:10">
      <c r="A204" s="128">
        <v>167</v>
      </c>
      <c r="B204" s="152" t="s">
        <v>598</v>
      </c>
      <c r="C204" s="333" t="s">
        <v>807</v>
      </c>
      <c r="D204" s="333" t="s">
        <v>825</v>
      </c>
      <c r="E204" s="83">
        <v>38</v>
      </c>
      <c r="F204" s="83">
        <v>38</v>
      </c>
      <c r="G204" s="83">
        <v>-28</v>
      </c>
      <c r="H204" s="83">
        <v>-28</v>
      </c>
      <c r="I204" s="83">
        <f t="shared" si="19"/>
        <v>10</v>
      </c>
      <c r="J204" s="348" t="s">
        <v>826</v>
      </c>
    </row>
    <row r="205" s="317" customFormat="1" customHeight="1" spans="1:10">
      <c r="A205" s="128">
        <v>168</v>
      </c>
      <c r="B205" s="152" t="s">
        <v>598</v>
      </c>
      <c r="C205" s="333" t="s">
        <v>807</v>
      </c>
      <c r="D205" s="333" t="s">
        <v>827</v>
      </c>
      <c r="E205" s="83">
        <v>5</v>
      </c>
      <c r="F205" s="83">
        <v>0.4972</v>
      </c>
      <c r="G205" s="83"/>
      <c r="H205" s="83"/>
      <c r="I205" s="83">
        <f t="shared" si="19"/>
        <v>5</v>
      </c>
      <c r="J205" s="348"/>
    </row>
    <row r="206" s="317" customFormat="1" customHeight="1" spans="1:10">
      <c r="A206" s="128">
        <v>169</v>
      </c>
      <c r="B206" s="152" t="s">
        <v>598</v>
      </c>
      <c r="C206" s="333" t="s">
        <v>807</v>
      </c>
      <c r="D206" s="333" t="s">
        <v>828</v>
      </c>
      <c r="E206" s="83">
        <v>5</v>
      </c>
      <c r="F206" s="83">
        <v>0.7578</v>
      </c>
      <c r="G206" s="83"/>
      <c r="H206" s="83"/>
      <c r="I206" s="83">
        <f t="shared" si="19"/>
        <v>5</v>
      </c>
      <c r="J206" s="348"/>
    </row>
    <row r="207" s="317" customFormat="1" customHeight="1" spans="1:10">
      <c r="A207" s="128">
        <v>170</v>
      </c>
      <c r="B207" s="152" t="s">
        <v>598</v>
      </c>
      <c r="C207" s="333" t="s">
        <v>807</v>
      </c>
      <c r="D207" s="333" t="s">
        <v>829</v>
      </c>
      <c r="E207" s="83">
        <v>1</v>
      </c>
      <c r="F207" s="83">
        <v>0.754</v>
      </c>
      <c r="G207" s="83"/>
      <c r="H207" s="83"/>
      <c r="I207" s="83">
        <f t="shared" si="19"/>
        <v>1</v>
      </c>
      <c r="J207" s="348"/>
    </row>
    <row r="208" s="317" customFormat="1" customHeight="1" spans="1:10">
      <c r="A208" s="128">
        <v>171</v>
      </c>
      <c r="B208" s="152" t="s">
        <v>598</v>
      </c>
      <c r="C208" s="333" t="s">
        <v>807</v>
      </c>
      <c r="D208" s="333" t="s">
        <v>830</v>
      </c>
      <c r="E208" s="83">
        <v>5</v>
      </c>
      <c r="F208" s="83">
        <v>3.1354</v>
      </c>
      <c r="G208" s="83"/>
      <c r="H208" s="83"/>
      <c r="I208" s="83">
        <f t="shared" si="19"/>
        <v>5</v>
      </c>
      <c r="J208" s="348"/>
    </row>
    <row r="209" s="317" customFormat="1" customHeight="1" spans="1:10">
      <c r="A209" s="128">
        <v>172</v>
      </c>
      <c r="B209" s="152" t="s">
        <v>598</v>
      </c>
      <c r="C209" s="333" t="s">
        <v>807</v>
      </c>
      <c r="D209" s="333" t="s">
        <v>831</v>
      </c>
      <c r="E209" s="83">
        <v>9.98</v>
      </c>
      <c r="F209" s="83">
        <v>0</v>
      </c>
      <c r="G209" s="83"/>
      <c r="H209" s="83"/>
      <c r="I209" s="83">
        <f t="shared" si="19"/>
        <v>9.98</v>
      </c>
      <c r="J209" s="348"/>
    </row>
    <row r="210" s="317" customFormat="1" customHeight="1" spans="1:10">
      <c r="A210" s="128">
        <v>173</v>
      </c>
      <c r="B210" s="152" t="s">
        <v>598</v>
      </c>
      <c r="C210" s="333" t="s">
        <v>807</v>
      </c>
      <c r="D210" s="333" t="s">
        <v>832</v>
      </c>
      <c r="E210" s="83">
        <v>2</v>
      </c>
      <c r="F210" s="83">
        <v>2</v>
      </c>
      <c r="G210" s="83"/>
      <c r="H210" s="83"/>
      <c r="I210" s="83">
        <f t="shared" si="19"/>
        <v>2</v>
      </c>
      <c r="J210" s="348"/>
    </row>
    <row r="211" s="317" customFormat="1" customHeight="1" spans="1:10">
      <c r="A211" s="128">
        <v>174</v>
      </c>
      <c r="B211" s="152" t="s">
        <v>598</v>
      </c>
      <c r="C211" s="333" t="s">
        <v>807</v>
      </c>
      <c r="D211" s="333" t="s">
        <v>833</v>
      </c>
      <c r="E211" s="83">
        <v>2</v>
      </c>
      <c r="F211" s="83">
        <v>1.633</v>
      </c>
      <c r="G211" s="83"/>
      <c r="H211" s="83"/>
      <c r="I211" s="83">
        <f t="shared" si="19"/>
        <v>2</v>
      </c>
      <c r="J211" s="348"/>
    </row>
    <row r="212" s="317" customFormat="1" customHeight="1" spans="1:10">
      <c r="A212" s="337" t="s">
        <v>834</v>
      </c>
      <c r="B212" s="338"/>
      <c r="C212" s="339"/>
      <c r="D212" s="340"/>
      <c r="E212" s="138">
        <f t="shared" ref="E212:I212" si="21">SUM(E190:E211)</f>
        <v>492.26</v>
      </c>
      <c r="F212" s="83">
        <f t="shared" si="21"/>
        <v>339.230924</v>
      </c>
      <c r="G212" s="138">
        <f t="shared" si="21"/>
        <v>-293.215898</v>
      </c>
      <c r="H212" s="138">
        <f t="shared" si="21"/>
        <v>-293.215898</v>
      </c>
      <c r="I212" s="138">
        <f t="shared" si="21"/>
        <v>199.044102</v>
      </c>
      <c r="J212" s="349"/>
    </row>
    <row r="213" s="317" customFormat="1" customHeight="1" spans="1:10">
      <c r="A213" s="128">
        <v>175</v>
      </c>
      <c r="B213" s="152" t="s">
        <v>598</v>
      </c>
      <c r="C213" s="333" t="s">
        <v>835</v>
      </c>
      <c r="D213" s="333" t="s">
        <v>836</v>
      </c>
      <c r="E213" s="83">
        <v>3</v>
      </c>
      <c r="F213" s="83">
        <v>2.1801</v>
      </c>
      <c r="G213" s="83"/>
      <c r="H213" s="83"/>
      <c r="I213" s="83">
        <f>E213+H213</f>
        <v>3</v>
      </c>
      <c r="J213" s="348"/>
    </row>
    <row r="214" s="317" customFormat="1" customHeight="1" spans="1:10">
      <c r="A214" s="337" t="s">
        <v>837</v>
      </c>
      <c r="B214" s="338"/>
      <c r="C214" s="339"/>
      <c r="D214" s="340"/>
      <c r="E214" s="138">
        <f t="shared" ref="E214:I214" si="22">E213</f>
        <v>3</v>
      </c>
      <c r="F214" s="83">
        <f t="shared" si="22"/>
        <v>2.1801</v>
      </c>
      <c r="G214" s="138">
        <f t="shared" si="22"/>
        <v>0</v>
      </c>
      <c r="H214" s="138">
        <f t="shared" si="22"/>
        <v>0</v>
      </c>
      <c r="I214" s="138">
        <f t="shared" si="22"/>
        <v>3</v>
      </c>
      <c r="J214" s="349"/>
    </row>
    <row r="215" s="317" customFormat="1" customHeight="1" spans="1:10">
      <c r="A215" s="128">
        <v>176</v>
      </c>
      <c r="B215" s="152" t="s">
        <v>648</v>
      </c>
      <c r="C215" s="71" t="s">
        <v>838</v>
      </c>
      <c r="D215" s="151" t="s">
        <v>839</v>
      </c>
      <c r="E215" s="83">
        <v>1107.519202</v>
      </c>
      <c r="F215" s="83">
        <v>4.84</v>
      </c>
      <c r="G215" s="83"/>
      <c r="H215" s="83"/>
      <c r="I215" s="83">
        <f>E215+H215</f>
        <v>1107.519202</v>
      </c>
      <c r="J215" s="71" t="s">
        <v>840</v>
      </c>
    </row>
    <row r="216" s="317" customFormat="1" customHeight="1" spans="1:10">
      <c r="A216" s="128">
        <v>177</v>
      </c>
      <c r="B216" s="152" t="s">
        <v>648</v>
      </c>
      <c r="C216" s="333" t="s">
        <v>838</v>
      </c>
      <c r="D216" s="151" t="s">
        <v>841</v>
      </c>
      <c r="E216" s="83">
        <v>25.7</v>
      </c>
      <c r="F216" s="83">
        <v>0</v>
      </c>
      <c r="G216" s="83"/>
      <c r="H216" s="83"/>
      <c r="I216" s="83">
        <f t="shared" ref="I216:I275" si="23">E216+H216</f>
        <v>25.7</v>
      </c>
      <c r="J216" s="71"/>
    </row>
    <row r="217" s="317" customFormat="1" customHeight="1" spans="1:10">
      <c r="A217" s="128">
        <v>178</v>
      </c>
      <c r="B217" s="152" t="s">
        <v>616</v>
      </c>
      <c r="C217" s="333" t="s">
        <v>838</v>
      </c>
      <c r="D217" s="333" t="s">
        <v>842</v>
      </c>
      <c r="E217" s="142">
        <v>60</v>
      </c>
      <c r="F217" s="142">
        <v>45</v>
      </c>
      <c r="G217" s="142">
        <v>-45</v>
      </c>
      <c r="H217" s="142">
        <v>-45</v>
      </c>
      <c r="I217" s="83">
        <f t="shared" si="23"/>
        <v>15</v>
      </c>
      <c r="J217" s="71"/>
    </row>
    <row r="218" s="317" customFormat="1" customHeight="1" spans="1:10">
      <c r="A218" s="128">
        <v>179</v>
      </c>
      <c r="B218" s="152" t="s">
        <v>624</v>
      </c>
      <c r="C218" s="71" t="s">
        <v>838</v>
      </c>
      <c r="D218" s="71" t="s">
        <v>843</v>
      </c>
      <c r="E218" s="83">
        <v>76.685</v>
      </c>
      <c r="F218" s="83">
        <v>45.8525</v>
      </c>
      <c r="G218" s="83">
        <v>-1.7325</v>
      </c>
      <c r="H218" s="83">
        <v>-1.7325</v>
      </c>
      <c r="I218" s="83">
        <f t="shared" si="23"/>
        <v>74.9525</v>
      </c>
      <c r="J218" s="59"/>
    </row>
    <row r="219" s="317" customFormat="1" customHeight="1" spans="1:10">
      <c r="A219" s="128">
        <v>180</v>
      </c>
      <c r="B219" s="152" t="s">
        <v>624</v>
      </c>
      <c r="C219" s="71" t="s">
        <v>838</v>
      </c>
      <c r="D219" s="71" t="s">
        <v>844</v>
      </c>
      <c r="E219" s="83">
        <v>16.5</v>
      </c>
      <c r="F219" s="83">
        <v>5.235</v>
      </c>
      <c r="G219" s="83">
        <v>-5.19</v>
      </c>
      <c r="H219" s="83">
        <v>-5.19</v>
      </c>
      <c r="I219" s="83">
        <f t="shared" si="23"/>
        <v>11.31</v>
      </c>
      <c r="J219" s="59"/>
    </row>
    <row r="220" s="317" customFormat="1" customHeight="1" spans="1:10">
      <c r="A220" s="128">
        <v>181</v>
      </c>
      <c r="B220" s="152" t="s">
        <v>624</v>
      </c>
      <c r="C220" s="71" t="s">
        <v>838</v>
      </c>
      <c r="D220" s="71" t="s">
        <v>845</v>
      </c>
      <c r="E220" s="83">
        <v>25</v>
      </c>
      <c r="F220" s="83">
        <v>4.825</v>
      </c>
      <c r="G220" s="83">
        <v>-4.825</v>
      </c>
      <c r="H220" s="83">
        <v>-4.825</v>
      </c>
      <c r="I220" s="83">
        <f t="shared" si="23"/>
        <v>20.175</v>
      </c>
      <c r="J220" s="59"/>
    </row>
    <row r="221" s="317" customFormat="1" customHeight="1" spans="1:10">
      <c r="A221" s="128">
        <v>182</v>
      </c>
      <c r="B221" s="152" t="s">
        <v>624</v>
      </c>
      <c r="C221" s="71" t="s">
        <v>838</v>
      </c>
      <c r="D221" s="71" t="s">
        <v>846</v>
      </c>
      <c r="E221" s="83">
        <v>20</v>
      </c>
      <c r="F221" s="83">
        <v>20</v>
      </c>
      <c r="G221" s="83">
        <v>-20</v>
      </c>
      <c r="H221" s="83">
        <v>-20</v>
      </c>
      <c r="I221" s="83">
        <f t="shared" si="23"/>
        <v>0</v>
      </c>
      <c r="J221" s="59"/>
    </row>
    <row r="222" s="317" customFormat="1" customHeight="1" spans="1:10">
      <c r="A222" s="128">
        <v>183</v>
      </c>
      <c r="B222" s="152" t="s">
        <v>624</v>
      </c>
      <c r="C222" s="71" t="s">
        <v>838</v>
      </c>
      <c r="D222" s="71" t="s">
        <v>847</v>
      </c>
      <c r="E222" s="83">
        <v>250</v>
      </c>
      <c r="F222" s="83">
        <v>0.84</v>
      </c>
      <c r="G222" s="83">
        <v>-0.839999999999975</v>
      </c>
      <c r="H222" s="83">
        <v>-0.839999999999975</v>
      </c>
      <c r="I222" s="83">
        <f t="shared" si="23"/>
        <v>249.16</v>
      </c>
      <c r="J222" s="59"/>
    </row>
    <row r="223" s="317" customFormat="1" customHeight="1" spans="1:10">
      <c r="A223" s="128">
        <v>184</v>
      </c>
      <c r="B223" s="152" t="s">
        <v>624</v>
      </c>
      <c r="C223" s="71" t="s">
        <v>838</v>
      </c>
      <c r="D223" s="71" t="s">
        <v>848</v>
      </c>
      <c r="E223" s="83">
        <v>590</v>
      </c>
      <c r="F223" s="83">
        <v>590</v>
      </c>
      <c r="G223" s="83">
        <v>-565.55</v>
      </c>
      <c r="H223" s="83">
        <v>-565.55</v>
      </c>
      <c r="I223" s="83">
        <f t="shared" si="23"/>
        <v>24.45</v>
      </c>
      <c r="J223" s="59"/>
    </row>
    <row r="224" s="317" customFormat="1" customHeight="1" spans="1:10">
      <c r="A224" s="128">
        <v>185</v>
      </c>
      <c r="B224" s="152" t="s">
        <v>624</v>
      </c>
      <c r="C224" s="71" t="s">
        <v>838</v>
      </c>
      <c r="D224" s="71" t="s">
        <v>849</v>
      </c>
      <c r="E224" s="83">
        <v>300</v>
      </c>
      <c r="F224" s="83">
        <v>300</v>
      </c>
      <c r="G224" s="83">
        <v>-300</v>
      </c>
      <c r="H224" s="83">
        <v>-300</v>
      </c>
      <c r="I224" s="83">
        <f t="shared" si="23"/>
        <v>0</v>
      </c>
      <c r="J224" s="59"/>
    </row>
    <row r="225" s="317" customFormat="1" customHeight="1" spans="1:10">
      <c r="A225" s="128">
        <v>186</v>
      </c>
      <c r="B225" s="152" t="s">
        <v>624</v>
      </c>
      <c r="C225" s="71" t="s">
        <v>838</v>
      </c>
      <c r="D225" s="71" t="s">
        <v>850</v>
      </c>
      <c r="E225" s="83">
        <v>419</v>
      </c>
      <c r="F225" s="83">
        <v>239</v>
      </c>
      <c r="G225" s="83">
        <v>-139</v>
      </c>
      <c r="H225" s="83">
        <v>-139</v>
      </c>
      <c r="I225" s="83">
        <f t="shared" si="23"/>
        <v>280</v>
      </c>
      <c r="J225" s="59"/>
    </row>
    <row r="226" s="317" customFormat="1" customHeight="1" spans="1:10">
      <c r="A226" s="128">
        <v>187</v>
      </c>
      <c r="B226" s="152" t="s">
        <v>624</v>
      </c>
      <c r="C226" s="71" t="s">
        <v>838</v>
      </c>
      <c r="D226" s="71" t="s">
        <v>851</v>
      </c>
      <c r="E226" s="83">
        <v>234.9</v>
      </c>
      <c r="F226" s="83">
        <v>171.9</v>
      </c>
      <c r="G226" s="83">
        <v>-171.9</v>
      </c>
      <c r="H226" s="83">
        <v>-171.9</v>
      </c>
      <c r="I226" s="83">
        <f t="shared" si="23"/>
        <v>63</v>
      </c>
      <c r="J226" s="59"/>
    </row>
    <row r="227" s="317" customFormat="1" customHeight="1" spans="1:10">
      <c r="A227" s="128">
        <v>188</v>
      </c>
      <c r="B227" s="152" t="s">
        <v>624</v>
      </c>
      <c r="C227" s="71" t="s">
        <v>838</v>
      </c>
      <c r="D227" s="71" t="s">
        <v>852</v>
      </c>
      <c r="E227" s="83">
        <v>6.5</v>
      </c>
      <c r="F227" s="83">
        <v>0</v>
      </c>
      <c r="G227" s="83"/>
      <c r="H227" s="83"/>
      <c r="I227" s="83">
        <f t="shared" si="23"/>
        <v>6.5</v>
      </c>
      <c r="J227" s="59"/>
    </row>
    <row r="228" s="317" customFormat="1" customHeight="1" spans="1:10">
      <c r="A228" s="128">
        <v>189</v>
      </c>
      <c r="B228" s="152" t="s">
        <v>624</v>
      </c>
      <c r="C228" s="71" t="s">
        <v>838</v>
      </c>
      <c r="D228" s="71" t="s">
        <v>853</v>
      </c>
      <c r="E228" s="83">
        <v>0</v>
      </c>
      <c r="F228" s="83">
        <v>0</v>
      </c>
      <c r="G228" s="83">
        <v>5</v>
      </c>
      <c r="H228" s="83">
        <v>5</v>
      </c>
      <c r="I228" s="83">
        <f t="shared" si="23"/>
        <v>5</v>
      </c>
      <c r="J228" s="59"/>
    </row>
    <row r="229" s="317" customFormat="1" customHeight="1" spans="1:10">
      <c r="A229" s="128">
        <v>190</v>
      </c>
      <c r="B229" s="152" t="s">
        <v>624</v>
      </c>
      <c r="C229" s="71" t="s">
        <v>838</v>
      </c>
      <c r="D229" s="71" t="s">
        <v>854</v>
      </c>
      <c r="E229" s="83">
        <v>30</v>
      </c>
      <c r="F229" s="83">
        <v>30</v>
      </c>
      <c r="G229" s="83">
        <v>-30</v>
      </c>
      <c r="H229" s="83">
        <v>-30</v>
      </c>
      <c r="I229" s="83">
        <f t="shared" si="23"/>
        <v>0</v>
      </c>
      <c r="J229" s="59"/>
    </row>
    <row r="230" s="317" customFormat="1" customHeight="1" spans="1:10">
      <c r="A230" s="128">
        <v>191</v>
      </c>
      <c r="B230" s="152" t="s">
        <v>624</v>
      </c>
      <c r="C230" s="71" t="s">
        <v>838</v>
      </c>
      <c r="D230" s="71" t="s">
        <v>855</v>
      </c>
      <c r="E230" s="83">
        <v>30</v>
      </c>
      <c r="F230" s="83">
        <v>30</v>
      </c>
      <c r="G230" s="83">
        <v>-30</v>
      </c>
      <c r="H230" s="83">
        <v>-30</v>
      </c>
      <c r="I230" s="83">
        <f t="shared" si="23"/>
        <v>0</v>
      </c>
      <c r="J230" s="59"/>
    </row>
    <row r="231" s="317" customFormat="1" customHeight="1" spans="1:10">
      <c r="A231" s="128">
        <v>192</v>
      </c>
      <c r="B231" s="152" t="s">
        <v>624</v>
      </c>
      <c r="C231" s="71" t="s">
        <v>838</v>
      </c>
      <c r="D231" s="71" t="s">
        <v>856</v>
      </c>
      <c r="E231" s="83">
        <v>30</v>
      </c>
      <c r="F231" s="83">
        <v>30</v>
      </c>
      <c r="G231" s="83">
        <v>-30</v>
      </c>
      <c r="H231" s="83">
        <v>-30</v>
      </c>
      <c r="I231" s="83">
        <f t="shared" si="23"/>
        <v>0</v>
      </c>
      <c r="J231" s="59"/>
    </row>
    <row r="232" s="317" customFormat="1" customHeight="1" spans="1:10">
      <c r="A232" s="128">
        <v>193</v>
      </c>
      <c r="B232" s="152" t="s">
        <v>624</v>
      </c>
      <c r="C232" s="71" t="s">
        <v>838</v>
      </c>
      <c r="D232" s="71" t="s">
        <v>857</v>
      </c>
      <c r="E232" s="83">
        <v>7</v>
      </c>
      <c r="F232" s="83">
        <v>7</v>
      </c>
      <c r="G232" s="83">
        <v>-7</v>
      </c>
      <c r="H232" s="83">
        <v>-7</v>
      </c>
      <c r="I232" s="83">
        <f t="shared" si="23"/>
        <v>0</v>
      </c>
      <c r="J232" s="59"/>
    </row>
    <row r="233" s="317" customFormat="1" customHeight="1" spans="1:10">
      <c r="A233" s="128">
        <v>194</v>
      </c>
      <c r="B233" s="152" t="s">
        <v>624</v>
      </c>
      <c r="C233" s="71" t="s">
        <v>838</v>
      </c>
      <c r="D233" s="71" t="s">
        <v>858</v>
      </c>
      <c r="E233" s="83">
        <v>10</v>
      </c>
      <c r="F233" s="83">
        <v>10</v>
      </c>
      <c r="G233" s="83">
        <v>-8</v>
      </c>
      <c r="H233" s="83">
        <v>-8</v>
      </c>
      <c r="I233" s="83">
        <f t="shared" si="23"/>
        <v>2</v>
      </c>
      <c r="J233" s="59"/>
    </row>
    <row r="234" s="317" customFormat="1" customHeight="1" spans="1:10">
      <c r="A234" s="128">
        <v>195</v>
      </c>
      <c r="B234" s="152" t="s">
        <v>624</v>
      </c>
      <c r="C234" s="71" t="s">
        <v>838</v>
      </c>
      <c r="D234" s="71" t="s">
        <v>859</v>
      </c>
      <c r="E234" s="83">
        <v>5</v>
      </c>
      <c r="F234" s="83">
        <v>5</v>
      </c>
      <c r="G234" s="83">
        <v>-3</v>
      </c>
      <c r="H234" s="83">
        <v>-3</v>
      </c>
      <c r="I234" s="83">
        <f t="shared" si="23"/>
        <v>2</v>
      </c>
      <c r="J234" s="59"/>
    </row>
    <row r="235" s="317" customFormat="1" customHeight="1" spans="1:10">
      <c r="A235" s="128">
        <v>196</v>
      </c>
      <c r="B235" s="152" t="s">
        <v>624</v>
      </c>
      <c r="C235" s="71" t="s">
        <v>838</v>
      </c>
      <c r="D235" s="71" t="s">
        <v>860</v>
      </c>
      <c r="E235" s="83">
        <v>5</v>
      </c>
      <c r="F235" s="83">
        <v>5</v>
      </c>
      <c r="G235" s="83">
        <v>-3</v>
      </c>
      <c r="H235" s="83">
        <v>-3</v>
      </c>
      <c r="I235" s="83">
        <f t="shared" si="23"/>
        <v>2</v>
      </c>
      <c r="J235" s="59"/>
    </row>
    <row r="236" s="317" customFormat="1" customHeight="1" spans="1:10">
      <c r="A236" s="128">
        <v>197</v>
      </c>
      <c r="B236" s="152" t="s">
        <v>624</v>
      </c>
      <c r="C236" s="71" t="s">
        <v>838</v>
      </c>
      <c r="D236" s="71" t="s">
        <v>861</v>
      </c>
      <c r="E236" s="83">
        <v>4</v>
      </c>
      <c r="F236" s="83">
        <v>4</v>
      </c>
      <c r="G236" s="83">
        <v>-4</v>
      </c>
      <c r="H236" s="83">
        <v>-4</v>
      </c>
      <c r="I236" s="83">
        <f t="shared" si="23"/>
        <v>0</v>
      </c>
      <c r="J236" s="59"/>
    </row>
    <row r="237" s="317" customFormat="1" customHeight="1" spans="1:10">
      <c r="A237" s="128">
        <v>198</v>
      </c>
      <c r="B237" s="152" t="s">
        <v>624</v>
      </c>
      <c r="C237" s="71" t="s">
        <v>838</v>
      </c>
      <c r="D237" s="71" t="s">
        <v>862</v>
      </c>
      <c r="E237" s="83">
        <v>6</v>
      </c>
      <c r="F237" s="83">
        <v>6</v>
      </c>
      <c r="G237" s="83">
        <v>-4</v>
      </c>
      <c r="H237" s="83">
        <v>-4</v>
      </c>
      <c r="I237" s="83">
        <f t="shared" si="23"/>
        <v>2</v>
      </c>
      <c r="J237" s="59"/>
    </row>
    <row r="238" s="317" customFormat="1" customHeight="1" spans="1:10">
      <c r="A238" s="128">
        <v>199</v>
      </c>
      <c r="B238" s="152" t="s">
        <v>624</v>
      </c>
      <c r="C238" s="71" t="s">
        <v>838</v>
      </c>
      <c r="D238" s="71" t="s">
        <v>863</v>
      </c>
      <c r="E238" s="83">
        <v>50</v>
      </c>
      <c r="F238" s="83">
        <v>42.969952</v>
      </c>
      <c r="G238" s="83">
        <v>-30</v>
      </c>
      <c r="H238" s="83">
        <v>-30</v>
      </c>
      <c r="I238" s="83">
        <f t="shared" si="23"/>
        <v>20</v>
      </c>
      <c r="J238" s="59"/>
    </row>
    <row r="239" s="317" customFormat="1" customHeight="1" spans="1:10">
      <c r="A239" s="128">
        <v>200</v>
      </c>
      <c r="B239" s="152" t="s">
        <v>624</v>
      </c>
      <c r="C239" s="71" t="s">
        <v>838</v>
      </c>
      <c r="D239" s="71" t="s">
        <v>864</v>
      </c>
      <c r="E239" s="83">
        <v>3</v>
      </c>
      <c r="F239" s="83">
        <v>3</v>
      </c>
      <c r="G239" s="83">
        <v>-1</v>
      </c>
      <c r="H239" s="83">
        <v>-1</v>
      </c>
      <c r="I239" s="83">
        <f t="shared" si="23"/>
        <v>2</v>
      </c>
      <c r="J239" s="59"/>
    </row>
    <row r="240" s="317" customFormat="1" customHeight="1" spans="1:10">
      <c r="A240" s="128">
        <v>201</v>
      </c>
      <c r="B240" s="152" t="s">
        <v>624</v>
      </c>
      <c r="C240" s="71" t="s">
        <v>838</v>
      </c>
      <c r="D240" s="71" t="s">
        <v>865</v>
      </c>
      <c r="E240" s="83">
        <v>12</v>
      </c>
      <c r="F240" s="83">
        <v>12</v>
      </c>
      <c r="G240" s="83">
        <v>-10</v>
      </c>
      <c r="H240" s="83">
        <v>-10</v>
      </c>
      <c r="I240" s="83">
        <f t="shared" si="23"/>
        <v>2</v>
      </c>
      <c r="J240" s="59"/>
    </row>
    <row r="241" s="317" customFormat="1" customHeight="1" spans="1:10">
      <c r="A241" s="128">
        <v>202</v>
      </c>
      <c r="B241" s="152" t="s">
        <v>624</v>
      </c>
      <c r="C241" s="71" t="s">
        <v>838</v>
      </c>
      <c r="D241" s="71" t="s">
        <v>866</v>
      </c>
      <c r="E241" s="83">
        <v>6</v>
      </c>
      <c r="F241" s="83">
        <v>6</v>
      </c>
      <c r="G241" s="83">
        <v>-6</v>
      </c>
      <c r="H241" s="83">
        <v>-6</v>
      </c>
      <c r="I241" s="83">
        <f t="shared" si="23"/>
        <v>0</v>
      </c>
      <c r="J241" s="59"/>
    </row>
    <row r="242" s="317" customFormat="1" customHeight="1" spans="1:10">
      <c r="A242" s="128">
        <v>203</v>
      </c>
      <c r="B242" s="152" t="s">
        <v>624</v>
      </c>
      <c r="C242" s="71" t="s">
        <v>838</v>
      </c>
      <c r="D242" s="71" t="s">
        <v>867</v>
      </c>
      <c r="E242" s="83">
        <v>4</v>
      </c>
      <c r="F242" s="83">
        <v>4</v>
      </c>
      <c r="G242" s="83">
        <v>-2</v>
      </c>
      <c r="H242" s="83">
        <v>-2</v>
      </c>
      <c r="I242" s="83">
        <f t="shared" si="23"/>
        <v>2</v>
      </c>
      <c r="J242" s="59"/>
    </row>
    <row r="243" s="317" customFormat="1" customHeight="1" spans="1:10">
      <c r="A243" s="128">
        <v>204</v>
      </c>
      <c r="B243" s="152" t="s">
        <v>624</v>
      </c>
      <c r="C243" s="71" t="s">
        <v>838</v>
      </c>
      <c r="D243" s="71" t="s">
        <v>868</v>
      </c>
      <c r="E243" s="83">
        <v>40</v>
      </c>
      <c r="F243" s="83">
        <v>0</v>
      </c>
      <c r="G243" s="83"/>
      <c r="H243" s="83"/>
      <c r="I243" s="83">
        <f t="shared" si="23"/>
        <v>40</v>
      </c>
      <c r="J243" s="350"/>
    </row>
    <row r="244" s="317" customFormat="1" customHeight="1" spans="1:10">
      <c r="A244" s="128">
        <v>205</v>
      </c>
      <c r="B244" s="152" t="s">
        <v>624</v>
      </c>
      <c r="C244" s="71" t="s">
        <v>838</v>
      </c>
      <c r="D244" s="71" t="s">
        <v>869</v>
      </c>
      <c r="E244" s="83">
        <v>1000</v>
      </c>
      <c r="F244" s="83">
        <v>1000</v>
      </c>
      <c r="G244" s="83">
        <v>-860</v>
      </c>
      <c r="H244" s="83">
        <v>-860</v>
      </c>
      <c r="I244" s="83">
        <f t="shared" si="23"/>
        <v>140</v>
      </c>
      <c r="J244" s="59"/>
    </row>
    <row r="245" s="317" customFormat="1" customHeight="1" spans="1:10">
      <c r="A245" s="128">
        <v>206</v>
      </c>
      <c r="B245" s="152" t="s">
        <v>624</v>
      </c>
      <c r="C245" s="71" t="s">
        <v>838</v>
      </c>
      <c r="D245" s="71" t="s">
        <v>870</v>
      </c>
      <c r="E245" s="83">
        <v>6</v>
      </c>
      <c r="F245" s="83">
        <v>3.68885</v>
      </c>
      <c r="G245" s="83">
        <v>-2.1801</v>
      </c>
      <c r="H245" s="83">
        <v>-2.1801</v>
      </c>
      <c r="I245" s="83">
        <f t="shared" si="23"/>
        <v>3.8199</v>
      </c>
      <c r="J245" s="350"/>
    </row>
    <row r="246" s="317" customFormat="1" customHeight="1" spans="1:10">
      <c r="A246" s="128">
        <v>207</v>
      </c>
      <c r="B246" s="152" t="s">
        <v>624</v>
      </c>
      <c r="C246" s="71" t="s">
        <v>838</v>
      </c>
      <c r="D246" s="71" t="s">
        <v>871</v>
      </c>
      <c r="E246" s="83">
        <v>0.58</v>
      </c>
      <c r="F246" s="83">
        <v>0.2335</v>
      </c>
      <c r="G246" s="83">
        <v>-0.146875</v>
      </c>
      <c r="H246" s="83">
        <v>-0.146875</v>
      </c>
      <c r="I246" s="83">
        <f t="shared" si="23"/>
        <v>0.433125</v>
      </c>
      <c r="J246" s="59"/>
    </row>
    <row r="247" s="317" customFormat="1" customHeight="1" spans="1:10">
      <c r="A247" s="128">
        <v>208</v>
      </c>
      <c r="B247" s="152" t="s">
        <v>624</v>
      </c>
      <c r="C247" s="71" t="s">
        <v>838</v>
      </c>
      <c r="D247" s="71" t="s">
        <v>872</v>
      </c>
      <c r="E247" s="83">
        <v>1</v>
      </c>
      <c r="F247" s="83">
        <v>1</v>
      </c>
      <c r="G247" s="83"/>
      <c r="H247" s="83"/>
      <c r="I247" s="83">
        <f t="shared" si="23"/>
        <v>1</v>
      </c>
      <c r="J247" s="59"/>
    </row>
    <row r="248" s="317" customFormat="1" customHeight="1" spans="1:10">
      <c r="A248" s="128">
        <v>209</v>
      </c>
      <c r="B248" s="152" t="s">
        <v>624</v>
      </c>
      <c r="C248" s="71" t="s">
        <v>838</v>
      </c>
      <c r="D248" s="71" t="s">
        <v>873</v>
      </c>
      <c r="E248" s="83">
        <v>26.71</v>
      </c>
      <c r="F248" s="83">
        <v>19.95</v>
      </c>
      <c r="G248" s="83">
        <v>-18.967874</v>
      </c>
      <c r="H248" s="83">
        <v>-18.967874</v>
      </c>
      <c r="I248" s="83">
        <f t="shared" si="23"/>
        <v>7.742126</v>
      </c>
      <c r="J248" s="59"/>
    </row>
    <row r="249" s="317" customFormat="1" customHeight="1" spans="1:10">
      <c r="A249" s="128">
        <v>210</v>
      </c>
      <c r="B249" s="152" t="s">
        <v>624</v>
      </c>
      <c r="C249" s="71" t="s">
        <v>838</v>
      </c>
      <c r="D249" s="71" t="s">
        <v>874</v>
      </c>
      <c r="E249" s="83">
        <v>20</v>
      </c>
      <c r="F249" s="83">
        <v>20</v>
      </c>
      <c r="G249" s="83">
        <v>-20</v>
      </c>
      <c r="H249" s="83">
        <v>-20</v>
      </c>
      <c r="I249" s="83">
        <f t="shared" si="23"/>
        <v>0</v>
      </c>
      <c r="J249" s="59"/>
    </row>
    <row r="250" s="317" customFormat="1" customHeight="1" spans="1:10">
      <c r="A250" s="128">
        <v>211</v>
      </c>
      <c r="B250" s="152" t="s">
        <v>624</v>
      </c>
      <c r="C250" s="71" t="s">
        <v>875</v>
      </c>
      <c r="D250" s="71" t="s">
        <v>876</v>
      </c>
      <c r="E250" s="83">
        <v>212.125</v>
      </c>
      <c r="F250" s="83">
        <v>4.31</v>
      </c>
      <c r="G250" s="83">
        <v>-1.13749999999999</v>
      </c>
      <c r="H250" s="83">
        <v>-1.13749999999999</v>
      </c>
      <c r="I250" s="83">
        <f t="shared" si="23"/>
        <v>210.9875</v>
      </c>
      <c r="J250" s="59"/>
    </row>
    <row r="251" s="317" customFormat="1" customHeight="1" spans="1:10">
      <c r="A251" s="128">
        <v>212</v>
      </c>
      <c r="B251" s="152" t="s">
        <v>624</v>
      </c>
      <c r="C251" s="71" t="s">
        <v>875</v>
      </c>
      <c r="D251" s="71" t="s">
        <v>877</v>
      </c>
      <c r="E251" s="83">
        <v>1016.46</v>
      </c>
      <c r="F251" s="83">
        <v>534.22</v>
      </c>
      <c r="G251" s="83">
        <v>-22.3810199999999</v>
      </c>
      <c r="H251" s="83">
        <v>-22.3810199999999</v>
      </c>
      <c r="I251" s="83">
        <f t="shared" si="23"/>
        <v>994.07898</v>
      </c>
      <c r="J251" s="59"/>
    </row>
    <row r="252" s="317" customFormat="1" customHeight="1" spans="1:10">
      <c r="A252" s="128">
        <v>213</v>
      </c>
      <c r="B252" s="152" t="s">
        <v>624</v>
      </c>
      <c r="C252" s="71" t="s">
        <v>875</v>
      </c>
      <c r="D252" s="71" t="s">
        <v>878</v>
      </c>
      <c r="E252" s="83">
        <v>32.88</v>
      </c>
      <c r="F252" s="83">
        <v>14.91</v>
      </c>
      <c r="G252" s="83">
        <v>-4.656624</v>
      </c>
      <c r="H252" s="83">
        <v>-4.656624</v>
      </c>
      <c r="I252" s="83">
        <f t="shared" si="23"/>
        <v>28.223376</v>
      </c>
      <c r="J252" s="59"/>
    </row>
    <row r="253" s="317" customFormat="1" customHeight="1" spans="1:10">
      <c r="A253" s="128">
        <v>214</v>
      </c>
      <c r="B253" s="152" t="s">
        <v>624</v>
      </c>
      <c r="C253" s="71" t="s">
        <v>875</v>
      </c>
      <c r="D253" s="71" t="s">
        <v>879</v>
      </c>
      <c r="E253" s="83">
        <v>334.2</v>
      </c>
      <c r="F253" s="83">
        <v>259.14</v>
      </c>
      <c r="G253" s="83">
        <v>-34</v>
      </c>
      <c r="H253" s="83">
        <v>-34</v>
      </c>
      <c r="I253" s="83">
        <f t="shared" si="23"/>
        <v>300.2</v>
      </c>
      <c r="J253" s="59"/>
    </row>
    <row r="254" s="317" customFormat="1" customHeight="1" spans="1:10">
      <c r="A254" s="128">
        <v>215</v>
      </c>
      <c r="B254" s="152" t="s">
        <v>624</v>
      </c>
      <c r="C254" s="71" t="s">
        <v>880</v>
      </c>
      <c r="D254" s="71" t="s">
        <v>881</v>
      </c>
      <c r="E254" s="83">
        <v>9.922</v>
      </c>
      <c r="F254" s="83">
        <v>7.06</v>
      </c>
      <c r="G254" s="83">
        <v>-3.72</v>
      </c>
      <c r="H254" s="83">
        <v>-3.72</v>
      </c>
      <c r="I254" s="83">
        <f t="shared" si="23"/>
        <v>6.202</v>
      </c>
      <c r="J254" s="59"/>
    </row>
    <row r="255" s="317" customFormat="1" customHeight="1" spans="1:10">
      <c r="A255" s="128">
        <v>216</v>
      </c>
      <c r="B255" s="152" t="s">
        <v>624</v>
      </c>
      <c r="C255" s="71" t="s">
        <v>880</v>
      </c>
      <c r="D255" s="71" t="s">
        <v>882</v>
      </c>
      <c r="E255" s="83">
        <v>93.904001</v>
      </c>
      <c r="F255" s="83">
        <v>62.02</v>
      </c>
      <c r="G255" s="83"/>
      <c r="H255" s="83"/>
      <c r="I255" s="83">
        <f t="shared" si="23"/>
        <v>93.904001</v>
      </c>
      <c r="J255" s="59"/>
    </row>
    <row r="256" s="317" customFormat="1" customHeight="1" spans="1:10">
      <c r="A256" s="128">
        <v>217</v>
      </c>
      <c r="B256" s="152" t="s">
        <v>624</v>
      </c>
      <c r="C256" s="71" t="s">
        <v>880</v>
      </c>
      <c r="D256" s="71" t="s">
        <v>883</v>
      </c>
      <c r="E256" s="83">
        <v>2.88</v>
      </c>
      <c r="F256" s="83">
        <v>2.88</v>
      </c>
      <c r="G256" s="83">
        <v>-0.6</v>
      </c>
      <c r="H256" s="83">
        <v>-0.6</v>
      </c>
      <c r="I256" s="83">
        <f t="shared" si="23"/>
        <v>2.28</v>
      </c>
      <c r="J256" s="59"/>
    </row>
    <row r="257" s="317" customFormat="1" customHeight="1" spans="1:10">
      <c r="A257" s="128">
        <v>218</v>
      </c>
      <c r="B257" s="152" t="s">
        <v>648</v>
      </c>
      <c r="C257" s="333" t="s">
        <v>884</v>
      </c>
      <c r="D257" s="71" t="s">
        <v>885</v>
      </c>
      <c r="E257" s="83">
        <v>0.7</v>
      </c>
      <c r="F257" s="83">
        <v>0.7</v>
      </c>
      <c r="G257" s="83">
        <v>-0.7</v>
      </c>
      <c r="H257" s="83">
        <v>-0.7</v>
      </c>
      <c r="I257" s="83">
        <f t="shared" si="23"/>
        <v>0</v>
      </c>
      <c r="J257" s="71"/>
    </row>
    <row r="258" s="317" customFormat="1" customHeight="1" spans="1:10">
      <c r="A258" s="128">
        <v>219</v>
      </c>
      <c r="B258" s="152" t="s">
        <v>648</v>
      </c>
      <c r="C258" s="333" t="s">
        <v>886</v>
      </c>
      <c r="D258" s="71" t="s">
        <v>887</v>
      </c>
      <c r="E258" s="83">
        <v>17.79</v>
      </c>
      <c r="F258" s="83">
        <v>0</v>
      </c>
      <c r="G258" s="83"/>
      <c r="H258" s="83"/>
      <c r="I258" s="83">
        <f t="shared" si="23"/>
        <v>17.79</v>
      </c>
      <c r="J258" s="71" t="s">
        <v>888</v>
      </c>
    </row>
    <row r="259" s="317" customFormat="1" customHeight="1" spans="1:10">
      <c r="A259" s="128">
        <v>220</v>
      </c>
      <c r="B259" s="152" t="s">
        <v>648</v>
      </c>
      <c r="C259" s="333" t="s">
        <v>889</v>
      </c>
      <c r="D259" s="151" t="s">
        <v>890</v>
      </c>
      <c r="E259" s="83">
        <v>72.4738</v>
      </c>
      <c r="F259" s="83">
        <v>0</v>
      </c>
      <c r="G259" s="83"/>
      <c r="H259" s="83"/>
      <c r="I259" s="83">
        <f t="shared" si="23"/>
        <v>72.4738</v>
      </c>
      <c r="J259" s="71" t="s">
        <v>891</v>
      </c>
    </row>
    <row r="260" s="317" customFormat="1" customHeight="1" spans="1:10">
      <c r="A260" s="128">
        <v>221</v>
      </c>
      <c r="B260" s="152" t="s">
        <v>648</v>
      </c>
      <c r="C260" s="333" t="s">
        <v>892</v>
      </c>
      <c r="D260" s="151" t="s">
        <v>893</v>
      </c>
      <c r="E260" s="83">
        <v>40</v>
      </c>
      <c r="F260" s="83">
        <v>0</v>
      </c>
      <c r="G260" s="83"/>
      <c r="H260" s="83"/>
      <c r="I260" s="83">
        <f t="shared" si="23"/>
        <v>40</v>
      </c>
      <c r="J260" s="71" t="s">
        <v>894</v>
      </c>
    </row>
    <row r="261" s="317" customFormat="1" customHeight="1" spans="1:10">
      <c r="A261" s="128">
        <v>222</v>
      </c>
      <c r="B261" s="152" t="s">
        <v>624</v>
      </c>
      <c r="C261" s="71" t="s">
        <v>895</v>
      </c>
      <c r="D261" s="71" t="s">
        <v>896</v>
      </c>
      <c r="E261" s="83">
        <v>80</v>
      </c>
      <c r="F261" s="332">
        <v>80</v>
      </c>
      <c r="G261" s="83">
        <v>-80</v>
      </c>
      <c r="H261" s="83">
        <v>-80</v>
      </c>
      <c r="I261" s="83">
        <f t="shared" si="23"/>
        <v>0</v>
      </c>
      <c r="J261" s="59"/>
    </row>
    <row r="262" s="317" customFormat="1" customHeight="1" spans="1:10">
      <c r="A262" s="128">
        <v>223</v>
      </c>
      <c r="B262" s="152" t="s">
        <v>648</v>
      </c>
      <c r="C262" s="71" t="s">
        <v>897</v>
      </c>
      <c r="D262" s="71" t="s">
        <v>898</v>
      </c>
      <c r="E262" s="83">
        <v>16.4</v>
      </c>
      <c r="F262" s="83">
        <v>0</v>
      </c>
      <c r="G262" s="83"/>
      <c r="H262" s="83"/>
      <c r="I262" s="83">
        <f t="shared" si="23"/>
        <v>16.4</v>
      </c>
      <c r="J262" s="71" t="s">
        <v>899</v>
      </c>
    </row>
    <row r="263" s="317" customFormat="1" customHeight="1" spans="1:10">
      <c r="A263" s="128">
        <v>224</v>
      </c>
      <c r="B263" s="152" t="s">
        <v>648</v>
      </c>
      <c r="C263" s="71" t="s">
        <v>900</v>
      </c>
      <c r="D263" s="71" t="s">
        <v>901</v>
      </c>
      <c r="E263" s="83">
        <v>19</v>
      </c>
      <c r="F263" s="83">
        <v>0</v>
      </c>
      <c r="G263" s="83"/>
      <c r="H263" s="83"/>
      <c r="I263" s="83">
        <f t="shared" si="23"/>
        <v>19</v>
      </c>
      <c r="J263" s="71" t="s">
        <v>902</v>
      </c>
    </row>
    <row r="264" s="317" customFormat="1" customHeight="1" spans="1:10">
      <c r="A264" s="128">
        <v>225</v>
      </c>
      <c r="B264" s="152" t="s">
        <v>648</v>
      </c>
      <c r="C264" s="71" t="s">
        <v>903</v>
      </c>
      <c r="D264" s="71" t="s">
        <v>904</v>
      </c>
      <c r="E264" s="83">
        <v>24.13</v>
      </c>
      <c r="F264" s="83">
        <v>0</v>
      </c>
      <c r="G264" s="83"/>
      <c r="H264" s="83"/>
      <c r="I264" s="83">
        <f t="shared" si="23"/>
        <v>24.13</v>
      </c>
      <c r="J264" s="71" t="s">
        <v>905</v>
      </c>
    </row>
    <row r="265" s="317" customFormat="1" customHeight="1" spans="1:10">
      <c r="A265" s="128">
        <v>226</v>
      </c>
      <c r="B265" s="152" t="s">
        <v>624</v>
      </c>
      <c r="C265" s="71" t="s">
        <v>906</v>
      </c>
      <c r="D265" s="71" t="s">
        <v>907</v>
      </c>
      <c r="E265" s="83">
        <v>79.86</v>
      </c>
      <c r="F265" s="83">
        <v>0</v>
      </c>
      <c r="G265" s="83"/>
      <c r="H265" s="83"/>
      <c r="I265" s="83">
        <f t="shared" si="23"/>
        <v>79.86</v>
      </c>
      <c r="J265" s="59"/>
    </row>
    <row r="266" s="317" customFormat="1" customHeight="1" spans="1:10">
      <c r="A266" s="128">
        <v>227</v>
      </c>
      <c r="B266" s="152" t="s">
        <v>648</v>
      </c>
      <c r="C266" s="333" t="s">
        <v>908</v>
      </c>
      <c r="D266" s="151" t="s">
        <v>909</v>
      </c>
      <c r="E266" s="83">
        <v>3.074</v>
      </c>
      <c r="F266" s="83">
        <v>3.07</v>
      </c>
      <c r="G266" s="83">
        <v>-3.07</v>
      </c>
      <c r="H266" s="83">
        <v>-3.07</v>
      </c>
      <c r="I266" s="83">
        <f t="shared" si="23"/>
        <v>0.004</v>
      </c>
      <c r="J266" s="71" t="s">
        <v>910</v>
      </c>
    </row>
    <row r="267" s="317" customFormat="1" customHeight="1" spans="1:10">
      <c r="A267" s="128">
        <v>228</v>
      </c>
      <c r="B267" s="152" t="s">
        <v>624</v>
      </c>
      <c r="C267" s="71" t="s">
        <v>911</v>
      </c>
      <c r="D267" s="71" t="s">
        <v>912</v>
      </c>
      <c r="E267" s="83">
        <v>6</v>
      </c>
      <c r="F267" s="83">
        <v>1.03</v>
      </c>
      <c r="G267" s="83">
        <v>-0.0299999999999994</v>
      </c>
      <c r="H267" s="83">
        <v>-0.0299999999999994</v>
      </c>
      <c r="I267" s="83">
        <f t="shared" si="23"/>
        <v>5.97</v>
      </c>
      <c r="J267" s="59"/>
    </row>
    <row r="268" s="317" customFormat="1" customHeight="1" spans="1:10">
      <c r="A268" s="128">
        <v>229</v>
      </c>
      <c r="B268" s="152" t="s">
        <v>624</v>
      </c>
      <c r="C268" s="71" t="s">
        <v>911</v>
      </c>
      <c r="D268" s="71" t="s">
        <v>913</v>
      </c>
      <c r="E268" s="83">
        <v>20</v>
      </c>
      <c r="F268" s="83">
        <v>10.009482</v>
      </c>
      <c r="G268" s="83">
        <v>-10.009482</v>
      </c>
      <c r="H268" s="83">
        <v>-10.009482</v>
      </c>
      <c r="I268" s="83">
        <f t="shared" si="23"/>
        <v>9.990518</v>
      </c>
      <c r="J268" s="59"/>
    </row>
    <row r="269" s="317" customFormat="1" customHeight="1" spans="1:10">
      <c r="A269" s="128">
        <v>230</v>
      </c>
      <c r="B269" s="152" t="s">
        <v>624</v>
      </c>
      <c r="C269" s="71" t="s">
        <v>914</v>
      </c>
      <c r="D269" s="71" t="s">
        <v>876</v>
      </c>
      <c r="E269" s="83">
        <v>21</v>
      </c>
      <c r="F269" s="83">
        <v>9.852339</v>
      </c>
      <c r="G269" s="83">
        <v>-2.2225</v>
      </c>
      <c r="H269" s="83">
        <v>-2.2225</v>
      </c>
      <c r="I269" s="83">
        <f t="shared" si="23"/>
        <v>18.7775</v>
      </c>
      <c r="J269" s="59"/>
    </row>
    <row r="270" s="317" customFormat="1" customHeight="1" spans="1:10">
      <c r="A270" s="337" t="s">
        <v>915</v>
      </c>
      <c r="B270" s="338"/>
      <c r="C270" s="339"/>
      <c r="D270" s="340"/>
      <c r="E270" s="138">
        <f>SUM(E215:E269)</f>
        <v>6530.893003</v>
      </c>
      <c r="F270" s="83">
        <f>SUM(F215:F269)</f>
        <v>3656.536623</v>
      </c>
      <c r="G270" s="138">
        <f>SUM(G215:G269)</f>
        <v>-2480.859475</v>
      </c>
      <c r="H270" s="138">
        <f>SUM(H215:H269)</f>
        <v>-2480.859475</v>
      </c>
      <c r="I270" s="138">
        <f>SUM(I215:I269)</f>
        <v>4050.033528</v>
      </c>
      <c r="J270" s="344"/>
    </row>
    <row r="271" s="317" customFormat="1" customHeight="1" spans="1:10">
      <c r="A271" s="128">
        <v>231</v>
      </c>
      <c r="B271" s="152" t="s">
        <v>648</v>
      </c>
      <c r="C271" s="71" t="s">
        <v>916</v>
      </c>
      <c r="D271" s="71" t="s">
        <v>917</v>
      </c>
      <c r="E271" s="83">
        <v>10.89</v>
      </c>
      <c r="F271" s="332">
        <v>0</v>
      </c>
      <c r="G271" s="83"/>
      <c r="H271" s="83"/>
      <c r="I271" s="83">
        <f>E271+H271</f>
        <v>10.89</v>
      </c>
      <c r="J271" s="71" t="s">
        <v>918</v>
      </c>
    </row>
    <row r="272" s="318" customFormat="1" customHeight="1" spans="1:10">
      <c r="A272" s="128">
        <v>232</v>
      </c>
      <c r="B272" s="152" t="s">
        <v>624</v>
      </c>
      <c r="C272" s="71" t="s">
        <v>916</v>
      </c>
      <c r="D272" s="71" t="s">
        <v>919</v>
      </c>
      <c r="E272" s="83">
        <v>1.86</v>
      </c>
      <c r="F272" s="332">
        <v>0.075</v>
      </c>
      <c r="G272" s="83">
        <v>-0.075</v>
      </c>
      <c r="H272" s="83">
        <v>-0.075</v>
      </c>
      <c r="I272" s="83">
        <f>E272+H272</f>
        <v>1.785</v>
      </c>
      <c r="J272" s="59"/>
    </row>
    <row r="273" s="318" customFormat="1" customHeight="1" spans="1:10">
      <c r="A273" s="128">
        <v>233</v>
      </c>
      <c r="B273" s="152" t="s">
        <v>624</v>
      </c>
      <c r="C273" s="71" t="s">
        <v>916</v>
      </c>
      <c r="D273" s="71" t="s">
        <v>920</v>
      </c>
      <c r="E273" s="83">
        <v>23.42</v>
      </c>
      <c r="F273" s="332">
        <v>15.255059</v>
      </c>
      <c r="G273" s="83">
        <v>-5</v>
      </c>
      <c r="H273" s="83">
        <v>-5</v>
      </c>
      <c r="I273" s="83">
        <f>E273+H273</f>
        <v>18.42</v>
      </c>
      <c r="J273" s="59"/>
    </row>
    <row r="274" s="318" customFormat="1" customHeight="1" spans="1:10">
      <c r="A274" s="128">
        <v>234</v>
      </c>
      <c r="B274" s="152" t="s">
        <v>624</v>
      </c>
      <c r="C274" s="71" t="s">
        <v>916</v>
      </c>
      <c r="D274" s="71" t="s">
        <v>921</v>
      </c>
      <c r="E274" s="83">
        <v>30</v>
      </c>
      <c r="F274" s="332">
        <v>5.003748</v>
      </c>
      <c r="G274" s="83"/>
      <c r="H274" s="83"/>
      <c r="I274" s="83">
        <f>E274+H274</f>
        <v>30</v>
      </c>
      <c r="J274" s="59"/>
    </row>
    <row r="275" s="318" customFormat="1" customHeight="1" spans="1:10">
      <c r="A275" s="337" t="s">
        <v>922</v>
      </c>
      <c r="B275" s="338"/>
      <c r="C275" s="339"/>
      <c r="D275" s="340"/>
      <c r="E275" s="138">
        <f>SUM(E271:E274)</f>
        <v>66.17</v>
      </c>
      <c r="F275" s="138">
        <f>SUM(F271:F274)</f>
        <v>20.333807</v>
      </c>
      <c r="G275" s="138">
        <f>SUM(G271:G274)</f>
        <v>-5.075</v>
      </c>
      <c r="H275" s="138">
        <f>SUM(H271:H274)</f>
        <v>-5.075</v>
      </c>
      <c r="I275" s="138">
        <f>SUM(I271:I274)</f>
        <v>61.095</v>
      </c>
      <c r="J275" s="344"/>
    </row>
    <row r="276" s="318" customFormat="1" customHeight="1" spans="1:10">
      <c r="A276" s="128">
        <v>235</v>
      </c>
      <c r="B276" s="152" t="s">
        <v>598</v>
      </c>
      <c r="C276" s="333" t="s">
        <v>923</v>
      </c>
      <c r="D276" s="333" t="s">
        <v>924</v>
      </c>
      <c r="E276" s="83">
        <v>34</v>
      </c>
      <c r="F276" s="83">
        <v>18.7279</v>
      </c>
      <c r="G276" s="83">
        <v>-10.000209</v>
      </c>
      <c r="H276" s="83">
        <v>-10.000209</v>
      </c>
      <c r="I276" s="83">
        <f t="shared" ref="I276:I281" si="24">E276+H276</f>
        <v>23.999791</v>
      </c>
      <c r="J276" s="348"/>
    </row>
    <row r="277" s="317" customFormat="1" customHeight="1" spans="1:10">
      <c r="A277" s="128">
        <v>236</v>
      </c>
      <c r="B277" s="152" t="s">
        <v>598</v>
      </c>
      <c r="C277" s="333" t="s">
        <v>923</v>
      </c>
      <c r="D277" s="333" t="s">
        <v>925</v>
      </c>
      <c r="E277" s="83">
        <v>3</v>
      </c>
      <c r="F277" s="83">
        <v>3</v>
      </c>
      <c r="G277" s="83"/>
      <c r="H277" s="83"/>
      <c r="I277" s="83">
        <f t="shared" si="24"/>
        <v>3</v>
      </c>
      <c r="J277" s="348"/>
    </row>
    <row r="278" s="317" customFormat="1" customHeight="1" spans="1:10">
      <c r="A278" s="128">
        <v>237</v>
      </c>
      <c r="B278" s="152" t="s">
        <v>598</v>
      </c>
      <c r="C278" s="333" t="s">
        <v>923</v>
      </c>
      <c r="D278" s="333" t="s">
        <v>926</v>
      </c>
      <c r="E278" s="83">
        <v>2</v>
      </c>
      <c r="F278" s="83">
        <v>2</v>
      </c>
      <c r="G278" s="83"/>
      <c r="H278" s="83"/>
      <c r="I278" s="83">
        <f t="shared" si="24"/>
        <v>2</v>
      </c>
      <c r="J278" s="348"/>
    </row>
    <row r="279" s="317" customFormat="1" customHeight="1" spans="1:10">
      <c r="A279" s="128">
        <v>238</v>
      </c>
      <c r="B279" s="152" t="s">
        <v>598</v>
      </c>
      <c r="C279" s="333" t="s">
        <v>923</v>
      </c>
      <c r="D279" s="333" t="s">
        <v>927</v>
      </c>
      <c r="E279" s="83">
        <v>5.7</v>
      </c>
      <c r="F279" s="83">
        <v>0.0279</v>
      </c>
      <c r="G279" s="83"/>
      <c r="H279" s="83"/>
      <c r="I279" s="83">
        <f t="shared" si="24"/>
        <v>5.7</v>
      </c>
      <c r="J279" s="348"/>
    </row>
    <row r="280" s="317" customFormat="1" customHeight="1" spans="1:10">
      <c r="A280" s="128">
        <v>239</v>
      </c>
      <c r="B280" s="152" t="s">
        <v>598</v>
      </c>
      <c r="C280" s="333" t="s">
        <v>923</v>
      </c>
      <c r="D280" s="333" t="s">
        <v>928</v>
      </c>
      <c r="E280" s="83">
        <v>90</v>
      </c>
      <c r="F280" s="83">
        <v>0</v>
      </c>
      <c r="G280" s="83"/>
      <c r="H280" s="83"/>
      <c r="I280" s="83">
        <f t="shared" si="24"/>
        <v>90</v>
      </c>
      <c r="J280" s="348" t="s">
        <v>929</v>
      </c>
    </row>
    <row r="281" s="317" customFormat="1" customHeight="1" spans="1:10">
      <c r="A281" s="128">
        <v>240</v>
      </c>
      <c r="B281" s="152" t="s">
        <v>598</v>
      </c>
      <c r="C281" s="333" t="s">
        <v>923</v>
      </c>
      <c r="D281" s="333" t="s">
        <v>930</v>
      </c>
      <c r="E281" s="83">
        <v>2</v>
      </c>
      <c r="F281" s="83">
        <v>0</v>
      </c>
      <c r="G281" s="83"/>
      <c r="H281" s="83"/>
      <c r="I281" s="83">
        <f t="shared" si="24"/>
        <v>2</v>
      </c>
      <c r="J281" s="348"/>
    </row>
    <row r="282" s="317" customFormat="1" customHeight="1" spans="1:10">
      <c r="A282" s="337" t="s">
        <v>931</v>
      </c>
      <c r="B282" s="338"/>
      <c r="C282" s="339"/>
      <c r="D282" s="340"/>
      <c r="E282" s="138">
        <f t="shared" ref="E282:I282" si="25">SUM(E276:E281)</f>
        <v>136.7</v>
      </c>
      <c r="F282" s="138">
        <f t="shared" si="25"/>
        <v>23.7558</v>
      </c>
      <c r="G282" s="138">
        <f t="shared" si="25"/>
        <v>-10.000209</v>
      </c>
      <c r="H282" s="138">
        <f t="shared" si="25"/>
        <v>-10.000209</v>
      </c>
      <c r="I282" s="138">
        <f t="shared" si="25"/>
        <v>126.699791</v>
      </c>
      <c r="J282" s="349"/>
    </row>
    <row r="283" s="317" customFormat="1" customHeight="1" spans="1:10">
      <c r="A283" s="128">
        <v>241</v>
      </c>
      <c r="B283" s="152" t="s">
        <v>601</v>
      </c>
      <c r="C283" s="71" t="s">
        <v>932</v>
      </c>
      <c r="D283" s="71" t="s">
        <v>933</v>
      </c>
      <c r="E283" s="142">
        <v>181.59</v>
      </c>
      <c r="F283" s="142">
        <v>0</v>
      </c>
      <c r="G283" s="142"/>
      <c r="H283" s="142"/>
      <c r="I283" s="83">
        <f t="shared" ref="I283:I296" si="26">E283+H283</f>
        <v>181.59</v>
      </c>
      <c r="J283" s="71" t="s">
        <v>934</v>
      </c>
    </row>
    <row r="284" s="317" customFormat="1" customHeight="1" spans="1:10">
      <c r="A284" s="128">
        <v>242</v>
      </c>
      <c r="B284" s="152" t="s">
        <v>601</v>
      </c>
      <c r="C284" s="71" t="s">
        <v>932</v>
      </c>
      <c r="D284" s="71" t="s">
        <v>935</v>
      </c>
      <c r="E284" s="142">
        <v>540</v>
      </c>
      <c r="F284" s="142">
        <v>0.22</v>
      </c>
      <c r="G284" s="142">
        <v>-65.0777</v>
      </c>
      <c r="H284" s="142">
        <v>-65.0777</v>
      </c>
      <c r="I284" s="83">
        <f t="shared" si="26"/>
        <v>474.9223</v>
      </c>
      <c r="J284" s="71" t="s">
        <v>936</v>
      </c>
    </row>
    <row r="285" s="317" customFormat="1" customHeight="1" spans="1:10">
      <c r="A285" s="128">
        <v>243</v>
      </c>
      <c r="B285" s="152" t="s">
        <v>601</v>
      </c>
      <c r="C285" s="71" t="s">
        <v>932</v>
      </c>
      <c r="D285" s="71" t="s">
        <v>937</v>
      </c>
      <c r="E285" s="142">
        <v>750</v>
      </c>
      <c r="F285" s="142">
        <v>198.2</v>
      </c>
      <c r="G285" s="142"/>
      <c r="H285" s="142"/>
      <c r="I285" s="83">
        <f t="shared" si="26"/>
        <v>750</v>
      </c>
      <c r="J285" s="71" t="s">
        <v>938</v>
      </c>
    </row>
    <row r="286" s="317" customFormat="1" customHeight="1" spans="1:10">
      <c r="A286" s="128">
        <v>244</v>
      </c>
      <c r="B286" s="152" t="s">
        <v>601</v>
      </c>
      <c r="C286" s="71" t="s">
        <v>932</v>
      </c>
      <c r="D286" s="71" t="s">
        <v>939</v>
      </c>
      <c r="E286" s="142">
        <v>5</v>
      </c>
      <c r="F286" s="142">
        <v>3.85</v>
      </c>
      <c r="G286" s="142"/>
      <c r="H286" s="142"/>
      <c r="I286" s="83">
        <f t="shared" si="26"/>
        <v>5</v>
      </c>
      <c r="J286" s="71" t="s">
        <v>940</v>
      </c>
    </row>
    <row r="287" s="317" customFormat="1" customHeight="1" spans="1:10">
      <c r="A287" s="128">
        <v>245</v>
      </c>
      <c r="B287" s="152" t="s">
        <v>601</v>
      </c>
      <c r="C287" s="71" t="s">
        <v>932</v>
      </c>
      <c r="D287" s="71" t="s">
        <v>941</v>
      </c>
      <c r="E287" s="142">
        <v>57</v>
      </c>
      <c r="F287" s="142">
        <v>27.35</v>
      </c>
      <c r="G287" s="142"/>
      <c r="H287" s="142"/>
      <c r="I287" s="83">
        <f t="shared" si="26"/>
        <v>57</v>
      </c>
      <c r="J287" s="71" t="s">
        <v>942</v>
      </c>
    </row>
    <row r="288" s="317" customFormat="1" customHeight="1" spans="1:10">
      <c r="A288" s="128">
        <v>246</v>
      </c>
      <c r="B288" s="152" t="s">
        <v>601</v>
      </c>
      <c r="C288" s="71" t="s">
        <v>932</v>
      </c>
      <c r="D288" s="71" t="s">
        <v>943</v>
      </c>
      <c r="E288" s="142">
        <v>1</v>
      </c>
      <c r="F288" s="142">
        <v>1</v>
      </c>
      <c r="G288" s="142"/>
      <c r="H288" s="142"/>
      <c r="I288" s="83">
        <f t="shared" si="26"/>
        <v>1</v>
      </c>
      <c r="J288" s="71" t="s">
        <v>944</v>
      </c>
    </row>
    <row r="289" s="317" customFormat="1" customHeight="1" spans="1:10">
      <c r="A289" s="128">
        <v>247</v>
      </c>
      <c r="B289" s="152" t="s">
        <v>601</v>
      </c>
      <c r="C289" s="71" t="s">
        <v>932</v>
      </c>
      <c r="D289" s="71" t="s">
        <v>945</v>
      </c>
      <c r="E289" s="142">
        <v>15</v>
      </c>
      <c r="F289" s="142">
        <v>15</v>
      </c>
      <c r="G289" s="142">
        <v>-15</v>
      </c>
      <c r="H289" s="142">
        <v>-15</v>
      </c>
      <c r="I289" s="83">
        <f t="shared" si="26"/>
        <v>0</v>
      </c>
      <c r="J289" s="71"/>
    </row>
    <row r="290" s="317" customFormat="1" customHeight="1" spans="1:10">
      <c r="A290" s="128">
        <v>248</v>
      </c>
      <c r="B290" s="152" t="s">
        <v>601</v>
      </c>
      <c r="C290" s="71" t="s">
        <v>932</v>
      </c>
      <c r="D290" s="71" t="s">
        <v>946</v>
      </c>
      <c r="E290" s="142">
        <v>300</v>
      </c>
      <c r="F290" s="142">
        <v>104.73</v>
      </c>
      <c r="G290" s="142">
        <v>-101.525</v>
      </c>
      <c r="H290" s="142">
        <v>-101.525</v>
      </c>
      <c r="I290" s="83">
        <f t="shared" si="26"/>
        <v>198.475</v>
      </c>
      <c r="J290" s="71" t="s">
        <v>947</v>
      </c>
    </row>
    <row r="291" s="317" customFormat="1" customHeight="1" spans="1:10">
      <c r="A291" s="128">
        <v>249</v>
      </c>
      <c r="B291" s="152" t="s">
        <v>601</v>
      </c>
      <c r="C291" s="71" t="s">
        <v>932</v>
      </c>
      <c r="D291" s="71" t="s">
        <v>948</v>
      </c>
      <c r="E291" s="142">
        <v>16</v>
      </c>
      <c r="F291" s="142">
        <v>9.96</v>
      </c>
      <c r="G291" s="142">
        <v>-4.562</v>
      </c>
      <c r="H291" s="142">
        <v>-4.562</v>
      </c>
      <c r="I291" s="83">
        <f t="shared" si="26"/>
        <v>11.438</v>
      </c>
      <c r="J291" s="71" t="s">
        <v>949</v>
      </c>
    </row>
    <row r="292" s="317" customFormat="1" customHeight="1" spans="1:10">
      <c r="A292" s="128">
        <v>250</v>
      </c>
      <c r="B292" s="152" t="s">
        <v>601</v>
      </c>
      <c r="C292" s="71" t="s">
        <v>932</v>
      </c>
      <c r="D292" s="71" t="s">
        <v>950</v>
      </c>
      <c r="E292" s="142">
        <v>243</v>
      </c>
      <c r="F292" s="142">
        <v>136.63</v>
      </c>
      <c r="G292" s="142">
        <v>-29.358339</v>
      </c>
      <c r="H292" s="142">
        <v>-29.358339</v>
      </c>
      <c r="I292" s="83">
        <f t="shared" si="26"/>
        <v>213.641661</v>
      </c>
      <c r="J292" s="71" t="s">
        <v>951</v>
      </c>
    </row>
    <row r="293" s="317" customFormat="1" customHeight="1" spans="1:10">
      <c r="A293" s="128">
        <v>251</v>
      </c>
      <c r="B293" s="152" t="s">
        <v>601</v>
      </c>
      <c r="C293" s="71" t="s">
        <v>932</v>
      </c>
      <c r="D293" s="71" t="s">
        <v>952</v>
      </c>
      <c r="E293" s="142">
        <v>32.4</v>
      </c>
      <c r="F293" s="142">
        <v>10.79</v>
      </c>
      <c r="G293" s="142">
        <v>-5.940673</v>
      </c>
      <c r="H293" s="142">
        <v>-5.940673</v>
      </c>
      <c r="I293" s="83">
        <f t="shared" si="26"/>
        <v>26.459327</v>
      </c>
      <c r="J293" s="351" t="s">
        <v>953</v>
      </c>
    </row>
    <row r="294" s="317" customFormat="1" customHeight="1" spans="1:10">
      <c r="A294" s="128">
        <v>252</v>
      </c>
      <c r="B294" s="152" t="s">
        <v>601</v>
      </c>
      <c r="C294" s="71" t="s">
        <v>932</v>
      </c>
      <c r="D294" s="71" t="s">
        <v>954</v>
      </c>
      <c r="E294" s="142">
        <v>3.84</v>
      </c>
      <c r="F294" s="142">
        <v>3.84</v>
      </c>
      <c r="G294" s="142">
        <v>-0.56</v>
      </c>
      <c r="H294" s="142">
        <v>-0.56</v>
      </c>
      <c r="I294" s="83">
        <f t="shared" si="26"/>
        <v>3.28</v>
      </c>
      <c r="J294" s="71" t="s">
        <v>955</v>
      </c>
    </row>
    <row r="295" s="317" customFormat="1" customHeight="1" spans="1:10">
      <c r="A295" s="128">
        <v>253</v>
      </c>
      <c r="B295" s="152" t="s">
        <v>601</v>
      </c>
      <c r="C295" s="71" t="s">
        <v>932</v>
      </c>
      <c r="D295" s="71" t="s">
        <v>956</v>
      </c>
      <c r="E295" s="142">
        <v>38</v>
      </c>
      <c r="F295" s="142">
        <v>38</v>
      </c>
      <c r="G295" s="142">
        <v>-38</v>
      </c>
      <c r="H295" s="142">
        <v>-38</v>
      </c>
      <c r="I295" s="83">
        <f t="shared" si="26"/>
        <v>0</v>
      </c>
      <c r="J295" s="71" t="s">
        <v>957</v>
      </c>
    </row>
    <row r="296" s="317" customFormat="1" customHeight="1" spans="1:10">
      <c r="A296" s="128">
        <v>254</v>
      </c>
      <c r="B296" s="152" t="s">
        <v>601</v>
      </c>
      <c r="C296" s="71" t="s">
        <v>932</v>
      </c>
      <c r="D296" s="71" t="s">
        <v>958</v>
      </c>
      <c r="E296" s="142">
        <v>17.76</v>
      </c>
      <c r="F296" s="142">
        <v>17.76</v>
      </c>
      <c r="G296" s="142">
        <v>-1.193428</v>
      </c>
      <c r="H296" s="142">
        <v>-1.193428</v>
      </c>
      <c r="I296" s="83">
        <f t="shared" si="26"/>
        <v>16.566572</v>
      </c>
      <c r="J296" s="71" t="s">
        <v>959</v>
      </c>
    </row>
    <row r="297" s="317" customFormat="1" customHeight="1" spans="1:10">
      <c r="A297" s="128">
        <v>255</v>
      </c>
      <c r="B297" s="152" t="s">
        <v>601</v>
      </c>
      <c r="C297" s="71" t="s">
        <v>932</v>
      </c>
      <c r="D297" s="71" t="s">
        <v>960</v>
      </c>
      <c r="E297" s="142">
        <v>1</v>
      </c>
      <c r="F297" s="142">
        <v>1</v>
      </c>
      <c r="G297" s="142">
        <v>-1</v>
      </c>
      <c r="H297" s="142">
        <v>-1</v>
      </c>
      <c r="I297" s="83">
        <f t="shared" ref="I297:I311" si="27">E297+H297</f>
        <v>0</v>
      </c>
      <c r="J297" s="71"/>
    </row>
    <row r="298" s="317" customFormat="1" customHeight="1" spans="1:10">
      <c r="A298" s="128">
        <v>256</v>
      </c>
      <c r="B298" s="152" t="s">
        <v>601</v>
      </c>
      <c r="C298" s="71" t="s">
        <v>932</v>
      </c>
      <c r="D298" s="71" t="s">
        <v>961</v>
      </c>
      <c r="E298" s="142">
        <v>1</v>
      </c>
      <c r="F298" s="142">
        <v>1</v>
      </c>
      <c r="G298" s="142">
        <v>-1</v>
      </c>
      <c r="H298" s="142">
        <v>-1</v>
      </c>
      <c r="I298" s="83">
        <f t="shared" si="27"/>
        <v>0</v>
      </c>
      <c r="J298" s="71"/>
    </row>
    <row r="299" s="317" customFormat="1" customHeight="1" spans="1:10">
      <c r="A299" s="128">
        <v>257</v>
      </c>
      <c r="B299" s="152" t="s">
        <v>601</v>
      </c>
      <c r="C299" s="71" t="s">
        <v>932</v>
      </c>
      <c r="D299" s="71" t="s">
        <v>962</v>
      </c>
      <c r="E299" s="142">
        <v>1</v>
      </c>
      <c r="F299" s="142">
        <v>1</v>
      </c>
      <c r="G299" s="142">
        <v>-1</v>
      </c>
      <c r="H299" s="142">
        <v>-1</v>
      </c>
      <c r="I299" s="83">
        <f t="shared" si="27"/>
        <v>0</v>
      </c>
      <c r="J299" s="71"/>
    </row>
    <row r="300" s="317" customFormat="1" customHeight="1" spans="1:10">
      <c r="A300" s="128">
        <v>258</v>
      </c>
      <c r="B300" s="152" t="s">
        <v>601</v>
      </c>
      <c r="C300" s="71" t="s">
        <v>932</v>
      </c>
      <c r="D300" s="71" t="s">
        <v>963</v>
      </c>
      <c r="E300" s="142">
        <v>4</v>
      </c>
      <c r="F300" s="142">
        <v>0</v>
      </c>
      <c r="G300" s="142"/>
      <c r="H300" s="142"/>
      <c r="I300" s="83">
        <f t="shared" si="27"/>
        <v>4</v>
      </c>
      <c r="J300" s="71"/>
    </row>
    <row r="301" s="317" customFormat="1" customHeight="1" spans="1:10">
      <c r="A301" s="128">
        <v>259</v>
      </c>
      <c r="B301" s="152" t="s">
        <v>601</v>
      </c>
      <c r="C301" s="71" t="s">
        <v>932</v>
      </c>
      <c r="D301" s="71" t="s">
        <v>964</v>
      </c>
      <c r="E301" s="142">
        <v>42.24</v>
      </c>
      <c r="F301" s="142">
        <v>42.24</v>
      </c>
      <c r="G301" s="142">
        <v>-42.24</v>
      </c>
      <c r="H301" s="142">
        <v>-42.24</v>
      </c>
      <c r="I301" s="83">
        <f t="shared" si="27"/>
        <v>0</v>
      </c>
      <c r="J301" s="71"/>
    </row>
    <row r="302" s="317" customFormat="1" customHeight="1" spans="1:10">
      <c r="A302" s="128">
        <v>260</v>
      </c>
      <c r="B302" s="152" t="s">
        <v>601</v>
      </c>
      <c r="C302" s="71" t="s">
        <v>932</v>
      </c>
      <c r="D302" s="71" t="s">
        <v>965</v>
      </c>
      <c r="E302" s="142">
        <v>1</v>
      </c>
      <c r="F302" s="142">
        <v>0</v>
      </c>
      <c r="G302" s="142"/>
      <c r="H302" s="142"/>
      <c r="I302" s="83">
        <f t="shared" si="27"/>
        <v>1</v>
      </c>
      <c r="J302" s="71"/>
    </row>
    <row r="303" s="317" customFormat="1" customHeight="1" spans="1:10">
      <c r="A303" s="128">
        <v>261</v>
      </c>
      <c r="B303" s="152" t="s">
        <v>601</v>
      </c>
      <c r="C303" s="71" t="s">
        <v>932</v>
      </c>
      <c r="D303" s="71" t="s">
        <v>966</v>
      </c>
      <c r="E303" s="142">
        <v>133</v>
      </c>
      <c r="F303" s="142">
        <v>39.37</v>
      </c>
      <c r="G303" s="142">
        <v>-17.4182</v>
      </c>
      <c r="H303" s="142">
        <v>-17.4182</v>
      </c>
      <c r="I303" s="83">
        <f t="shared" si="27"/>
        <v>115.5818</v>
      </c>
      <c r="J303" s="71" t="s">
        <v>967</v>
      </c>
    </row>
    <row r="304" s="317" customFormat="1" customHeight="1" spans="1:10">
      <c r="A304" s="128">
        <v>262</v>
      </c>
      <c r="B304" s="152" t="s">
        <v>601</v>
      </c>
      <c r="C304" s="71" t="s">
        <v>932</v>
      </c>
      <c r="D304" s="71" t="s">
        <v>968</v>
      </c>
      <c r="E304" s="142">
        <v>10</v>
      </c>
      <c r="F304" s="142">
        <v>0</v>
      </c>
      <c r="G304" s="142"/>
      <c r="H304" s="142"/>
      <c r="I304" s="83">
        <f t="shared" si="27"/>
        <v>10</v>
      </c>
      <c r="J304" s="71"/>
    </row>
    <row r="305" s="317" customFormat="1" customHeight="1" spans="1:10">
      <c r="A305" s="128">
        <v>263</v>
      </c>
      <c r="B305" s="152" t="s">
        <v>601</v>
      </c>
      <c r="C305" s="71" t="s">
        <v>932</v>
      </c>
      <c r="D305" s="71" t="s">
        <v>969</v>
      </c>
      <c r="E305" s="142">
        <v>1</v>
      </c>
      <c r="F305" s="142">
        <v>0</v>
      </c>
      <c r="G305" s="142">
        <v>-0.1013</v>
      </c>
      <c r="H305" s="142">
        <v>-0.1013</v>
      </c>
      <c r="I305" s="83">
        <f t="shared" si="27"/>
        <v>0.8987</v>
      </c>
      <c r="J305" s="71"/>
    </row>
    <row r="306" s="317" customFormat="1" customHeight="1" spans="1:10">
      <c r="A306" s="128">
        <v>264</v>
      </c>
      <c r="B306" s="152" t="s">
        <v>601</v>
      </c>
      <c r="C306" s="71" t="s">
        <v>932</v>
      </c>
      <c r="D306" s="71" t="s">
        <v>970</v>
      </c>
      <c r="E306" s="142">
        <v>0.5</v>
      </c>
      <c r="F306" s="142">
        <v>0.07</v>
      </c>
      <c r="G306" s="142">
        <v>-0.032</v>
      </c>
      <c r="H306" s="142">
        <v>-0.032</v>
      </c>
      <c r="I306" s="83">
        <f t="shared" si="27"/>
        <v>0.468</v>
      </c>
      <c r="J306" s="71" t="s">
        <v>971</v>
      </c>
    </row>
    <row r="307" s="317" customFormat="1" customHeight="1" spans="1:10">
      <c r="A307" s="128">
        <v>265</v>
      </c>
      <c r="B307" s="152" t="s">
        <v>601</v>
      </c>
      <c r="C307" s="71" t="s">
        <v>932</v>
      </c>
      <c r="D307" s="71" t="s">
        <v>972</v>
      </c>
      <c r="E307" s="142">
        <v>1</v>
      </c>
      <c r="F307" s="142">
        <v>0</v>
      </c>
      <c r="G307" s="142">
        <v>-0.3025</v>
      </c>
      <c r="H307" s="142">
        <v>-0.3025</v>
      </c>
      <c r="I307" s="83">
        <f t="shared" si="27"/>
        <v>0.6975</v>
      </c>
      <c r="J307" s="71"/>
    </row>
    <row r="308" s="317" customFormat="1" customHeight="1" spans="1:10">
      <c r="A308" s="128">
        <v>266</v>
      </c>
      <c r="B308" s="152" t="s">
        <v>601</v>
      </c>
      <c r="C308" s="71" t="s">
        <v>932</v>
      </c>
      <c r="D308" s="71" t="s">
        <v>973</v>
      </c>
      <c r="E308" s="142">
        <v>2</v>
      </c>
      <c r="F308" s="142">
        <v>0</v>
      </c>
      <c r="G308" s="142">
        <v>-0.6</v>
      </c>
      <c r="H308" s="142">
        <v>-0.6</v>
      </c>
      <c r="I308" s="83">
        <f t="shared" si="27"/>
        <v>1.4</v>
      </c>
      <c r="J308" s="71"/>
    </row>
    <row r="309" s="317" customFormat="1" customHeight="1" spans="1:10">
      <c r="A309" s="128">
        <v>267</v>
      </c>
      <c r="B309" s="152" t="s">
        <v>613</v>
      </c>
      <c r="C309" s="71" t="s">
        <v>932</v>
      </c>
      <c r="D309" s="151" t="s">
        <v>974</v>
      </c>
      <c r="E309" s="83">
        <v>281.67</v>
      </c>
      <c r="F309" s="83">
        <v>251.6879</v>
      </c>
      <c r="G309" s="83">
        <v>-251.6879</v>
      </c>
      <c r="H309" s="83">
        <v>-251.6879</v>
      </c>
      <c r="I309" s="83">
        <f t="shared" si="27"/>
        <v>29.9821</v>
      </c>
      <c r="J309" s="59"/>
    </row>
    <row r="310" s="317" customFormat="1" customHeight="1" spans="1:10">
      <c r="A310" s="128">
        <v>268</v>
      </c>
      <c r="B310" s="152" t="s">
        <v>613</v>
      </c>
      <c r="C310" s="71" t="s">
        <v>932</v>
      </c>
      <c r="D310" s="151" t="s">
        <v>975</v>
      </c>
      <c r="E310" s="83">
        <v>5</v>
      </c>
      <c r="F310" s="83">
        <v>4.09</v>
      </c>
      <c r="G310" s="83"/>
      <c r="H310" s="83"/>
      <c r="I310" s="83">
        <f t="shared" si="27"/>
        <v>5</v>
      </c>
      <c r="J310" s="59"/>
    </row>
    <row r="311" s="317" customFormat="1" customHeight="1" spans="1:10">
      <c r="A311" s="128">
        <v>269</v>
      </c>
      <c r="B311" s="152" t="s">
        <v>613</v>
      </c>
      <c r="C311" s="71" t="s">
        <v>932</v>
      </c>
      <c r="D311" s="151" t="s">
        <v>976</v>
      </c>
      <c r="E311" s="83">
        <v>2</v>
      </c>
      <c r="F311" s="83">
        <v>2</v>
      </c>
      <c r="G311" s="83">
        <v>-1.47</v>
      </c>
      <c r="H311" s="83">
        <v>-1.47</v>
      </c>
      <c r="I311" s="83">
        <f t="shared" si="27"/>
        <v>0.53</v>
      </c>
      <c r="J311" s="59"/>
    </row>
    <row r="312" s="317" customFormat="1" customHeight="1" spans="1:10">
      <c r="A312" s="337" t="s">
        <v>977</v>
      </c>
      <c r="B312" s="338"/>
      <c r="C312" s="339"/>
      <c r="D312" s="340"/>
      <c r="E312" s="138">
        <f>SUM(E283:E311)</f>
        <v>2687</v>
      </c>
      <c r="F312" s="138">
        <f>SUM(F283:F311)</f>
        <v>909.7879</v>
      </c>
      <c r="G312" s="138">
        <f>SUM(G283:G311)</f>
        <v>-578.06904</v>
      </c>
      <c r="H312" s="138">
        <f>SUM(H283:H311)</f>
        <v>-578.06904</v>
      </c>
      <c r="I312" s="138">
        <f>SUM(I283:I311)</f>
        <v>2108.93096</v>
      </c>
      <c r="J312" s="344"/>
    </row>
    <row r="313" s="317" customFormat="1" customHeight="1" spans="1:10">
      <c r="A313" s="128">
        <v>270</v>
      </c>
      <c r="B313" s="152" t="s">
        <v>624</v>
      </c>
      <c r="C313" s="71" t="s">
        <v>978</v>
      </c>
      <c r="D313" s="71" t="s">
        <v>979</v>
      </c>
      <c r="E313" s="83">
        <v>2</v>
      </c>
      <c r="F313" s="83">
        <v>0</v>
      </c>
      <c r="G313" s="83"/>
      <c r="H313" s="83"/>
      <c r="I313" s="83">
        <f t="shared" ref="I313:I329" si="28">E313+H313</f>
        <v>2</v>
      </c>
      <c r="J313" s="59"/>
    </row>
    <row r="314" s="317" customFormat="1" customHeight="1" spans="1:10">
      <c r="A314" s="128">
        <v>271</v>
      </c>
      <c r="B314" s="152" t="s">
        <v>624</v>
      </c>
      <c r="C314" s="71" t="s">
        <v>978</v>
      </c>
      <c r="D314" s="71" t="s">
        <v>980</v>
      </c>
      <c r="E314" s="83">
        <v>1</v>
      </c>
      <c r="F314" s="83">
        <v>0</v>
      </c>
      <c r="G314" s="83"/>
      <c r="H314" s="83"/>
      <c r="I314" s="83">
        <f t="shared" si="28"/>
        <v>1</v>
      </c>
      <c r="J314" s="59"/>
    </row>
    <row r="315" s="317" customFormat="1" customHeight="1" spans="1:10">
      <c r="A315" s="128">
        <v>272</v>
      </c>
      <c r="B315" s="152" t="s">
        <v>624</v>
      </c>
      <c r="C315" s="71" t="s">
        <v>978</v>
      </c>
      <c r="D315" s="71" t="s">
        <v>981</v>
      </c>
      <c r="E315" s="83">
        <v>4</v>
      </c>
      <c r="F315" s="83">
        <v>4</v>
      </c>
      <c r="G315" s="83">
        <v>-4</v>
      </c>
      <c r="H315" s="83">
        <v>-4</v>
      </c>
      <c r="I315" s="83">
        <f t="shared" si="28"/>
        <v>0</v>
      </c>
      <c r="J315" s="59"/>
    </row>
    <row r="316" s="317" customFormat="1" customHeight="1" spans="1:10">
      <c r="A316" s="128">
        <v>273</v>
      </c>
      <c r="B316" s="152" t="s">
        <v>624</v>
      </c>
      <c r="C316" s="71" t="s">
        <v>978</v>
      </c>
      <c r="D316" s="71" t="s">
        <v>218</v>
      </c>
      <c r="E316" s="83">
        <v>15</v>
      </c>
      <c r="F316" s="332">
        <v>0.454397</v>
      </c>
      <c r="G316" s="83"/>
      <c r="H316" s="83"/>
      <c r="I316" s="83">
        <f t="shared" si="28"/>
        <v>15</v>
      </c>
      <c r="J316" s="59"/>
    </row>
    <row r="317" s="317" customFormat="1" customHeight="1" spans="1:10">
      <c r="A317" s="128">
        <v>274</v>
      </c>
      <c r="B317" s="152" t="s">
        <v>624</v>
      </c>
      <c r="C317" s="71" t="s">
        <v>978</v>
      </c>
      <c r="D317" s="71" t="s">
        <v>982</v>
      </c>
      <c r="E317" s="83">
        <v>5</v>
      </c>
      <c r="F317" s="332">
        <v>0</v>
      </c>
      <c r="G317" s="83"/>
      <c r="H317" s="83"/>
      <c r="I317" s="83">
        <f t="shared" si="28"/>
        <v>5</v>
      </c>
      <c r="J317" s="59"/>
    </row>
    <row r="318" s="317" customFormat="1" customHeight="1" spans="1:10">
      <c r="A318" s="128">
        <v>275</v>
      </c>
      <c r="B318" s="152" t="s">
        <v>624</v>
      </c>
      <c r="C318" s="71" t="s">
        <v>978</v>
      </c>
      <c r="D318" s="71" t="s">
        <v>983</v>
      </c>
      <c r="E318" s="83">
        <v>5</v>
      </c>
      <c r="F318" s="332">
        <v>5</v>
      </c>
      <c r="G318" s="83">
        <v>-5</v>
      </c>
      <c r="H318" s="83">
        <v>-5</v>
      </c>
      <c r="I318" s="83">
        <f t="shared" si="28"/>
        <v>0</v>
      </c>
      <c r="J318" s="59"/>
    </row>
    <row r="319" s="317" customFormat="1" customHeight="1" spans="1:10">
      <c r="A319" s="128">
        <v>276</v>
      </c>
      <c r="B319" s="152" t="s">
        <v>624</v>
      </c>
      <c r="C319" s="71" t="s">
        <v>978</v>
      </c>
      <c r="D319" s="71" t="s">
        <v>984</v>
      </c>
      <c r="E319" s="83">
        <v>8.5</v>
      </c>
      <c r="F319" s="332">
        <v>8.5</v>
      </c>
      <c r="G319" s="83">
        <v>-8.5</v>
      </c>
      <c r="H319" s="83">
        <v>-8.5</v>
      </c>
      <c r="I319" s="83">
        <f t="shared" si="28"/>
        <v>0</v>
      </c>
      <c r="J319" s="59"/>
    </row>
    <row r="320" s="317" customFormat="1" customHeight="1" spans="1:10">
      <c r="A320" s="128">
        <v>277</v>
      </c>
      <c r="B320" s="152" t="s">
        <v>624</v>
      </c>
      <c r="C320" s="71" t="s">
        <v>978</v>
      </c>
      <c r="D320" s="71" t="s">
        <v>985</v>
      </c>
      <c r="E320" s="83">
        <v>2</v>
      </c>
      <c r="F320" s="332">
        <v>2</v>
      </c>
      <c r="G320" s="83">
        <v>-2</v>
      </c>
      <c r="H320" s="83">
        <v>-2</v>
      </c>
      <c r="I320" s="83">
        <f t="shared" si="28"/>
        <v>0</v>
      </c>
      <c r="J320" s="59"/>
    </row>
    <row r="321" s="317" customFormat="1" customHeight="1" spans="1:10">
      <c r="A321" s="128">
        <v>278</v>
      </c>
      <c r="B321" s="152" t="s">
        <v>624</v>
      </c>
      <c r="C321" s="71" t="s">
        <v>978</v>
      </c>
      <c r="D321" s="71" t="s">
        <v>986</v>
      </c>
      <c r="E321" s="83">
        <v>1</v>
      </c>
      <c r="F321" s="332">
        <v>1</v>
      </c>
      <c r="G321" s="83">
        <v>-1</v>
      </c>
      <c r="H321" s="83">
        <v>-1</v>
      </c>
      <c r="I321" s="83">
        <f t="shared" si="28"/>
        <v>0</v>
      </c>
      <c r="J321" s="59"/>
    </row>
    <row r="322" s="317" customFormat="1" customHeight="1" spans="1:10">
      <c r="A322" s="128">
        <v>279</v>
      </c>
      <c r="B322" s="152" t="s">
        <v>624</v>
      </c>
      <c r="C322" s="71" t="s">
        <v>978</v>
      </c>
      <c r="D322" s="71" t="s">
        <v>987</v>
      </c>
      <c r="E322" s="83">
        <v>2</v>
      </c>
      <c r="F322" s="332">
        <v>2</v>
      </c>
      <c r="G322" s="83">
        <v>-1.867276</v>
      </c>
      <c r="H322" s="83">
        <v>-1.867276</v>
      </c>
      <c r="I322" s="83">
        <f t="shared" si="28"/>
        <v>0.132724</v>
      </c>
      <c r="J322" s="59"/>
    </row>
    <row r="323" s="317" customFormat="1" customHeight="1" spans="1:10">
      <c r="A323" s="128">
        <v>280</v>
      </c>
      <c r="B323" s="152" t="s">
        <v>624</v>
      </c>
      <c r="C323" s="71" t="s">
        <v>978</v>
      </c>
      <c r="D323" s="71" t="s">
        <v>988</v>
      </c>
      <c r="E323" s="83">
        <v>18</v>
      </c>
      <c r="F323" s="332">
        <v>18</v>
      </c>
      <c r="G323" s="83">
        <v>-18</v>
      </c>
      <c r="H323" s="83">
        <v>-18</v>
      </c>
      <c r="I323" s="83">
        <f t="shared" si="28"/>
        <v>0</v>
      </c>
      <c r="J323" s="59"/>
    </row>
    <row r="324" s="317" customFormat="1" customHeight="1" spans="1:10">
      <c r="A324" s="128">
        <v>281</v>
      </c>
      <c r="B324" s="152" t="s">
        <v>624</v>
      </c>
      <c r="C324" s="71" t="s">
        <v>978</v>
      </c>
      <c r="D324" s="71" t="s">
        <v>989</v>
      </c>
      <c r="E324" s="83">
        <v>5</v>
      </c>
      <c r="F324" s="332">
        <v>5</v>
      </c>
      <c r="G324" s="83">
        <v>-5</v>
      </c>
      <c r="H324" s="83">
        <v>-5</v>
      </c>
      <c r="I324" s="83">
        <f t="shared" si="28"/>
        <v>0</v>
      </c>
      <c r="J324" s="59"/>
    </row>
    <row r="325" s="317" customFormat="1" customHeight="1" spans="1:10">
      <c r="A325" s="128">
        <v>282</v>
      </c>
      <c r="B325" s="152" t="s">
        <v>624</v>
      </c>
      <c r="C325" s="71" t="s">
        <v>978</v>
      </c>
      <c r="D325" s="71" t="s">
        <v>990</v>
      </c>
      <c r="E325" s="83">
        <v>15</v>
      </c>
      <c r="F325" s="332">
        <v>15</v>
      </c>
      <c r="G325" s="83">
        <v>-15</v>
      </c>
      <c r="H325" s="83">
        <v>-15</v>
      </c>
      <c r="I325" s="83">
        <f t="shared" si="28"/>
        <v>0</v>
      </c>
      <c r="J325" s="59"/>
    </row>
    <row r="326" s="317" customFormat="1" customHeight="1" spans="1:10">
      <c r="A326" s="128">
        <v>283</v>
      </c>
      <c r="B326" s="152" t="s">
        <v>624</v>
      </c>
      <c r="C326" s="71" t="s">
        <v>978</v>
      </c>
      <c r="D326" s="71" t="s">
        <v>991</v>
      </c>
      <c r="E326" s="83">
        <v>2</v>
      </c>
      <c r="F326" s="332">
        <v>2</v>
      </c>
      <c r="G326" s="83">
        <v>-2</v>
      </c>
      <c r="H326" s="83">
        <v>-2</v>
      </c>
      <c r="I326" s="83">
        <f t="shared" si="28"/>
        <v>0</v>
      </c>
      <c r="J326" s="59"/>
    </row>
    <row r="327" s="317" customFormat="1" customHeight="1" spans="1:10">
      <c r="A327" s="128">
        <v>284</v>
      </c>
      <c r="B327" s="152" t="s">
        <v>624</v>
      </c>
      <c r="C327" s="71" t="s">
        <v>978</v>
      </c>
      <c r="D327" s="71" t="s">
        <v>992</v>
      </c>
      <c r="E327" s="83">
        <v>1</v>
      </c>
      <c r="F327" s="332">
        <v>1</v>
      </c>
      <c r="G327" s="83">
        <v>-1</v>
      </c>
      <c r="H327" s="83">
        <v>-1</v>
      </c>
      <c r="I327" s="83">
        <f t="shared" si="28"/>
        <v>0</v>
      </c>
      <c r="J327" s="59"/>
    </row>
    <row r="328" s="317" customFormat="1" customHeight="1" spans="1:10">
      <c r="A328" s="128">
        <v>285</v>
      </c>
      <c r="B328" s="152" t="s">
        <v>624</v>
      </c>
      <c r="C328" s="71" t="s">
        <v>978</v>
      </c>
      <c r="D328" s="71" t="s">
        <v>993</v>
      </c>
      <c r="E328" s="83">
        <v>56.7</v>
      </c>
      <c r="F328" s="332">
        <v>4.73743</v>
      </c>
      <c r="G328" s="83"/>
      <c r="H328" s="83"/>
      <c r="I328" s="83">
        <f t="shared" si="28"/>
        <v>56.7</v>
      </c>
      <c r="J328" s="59"/>
    </row>
    <row r="329" s="317" customFormat="1" customHeight="1" spans="1:10">
      <c r="A329" s="128">
        <v>286</v>
      </c>
      <c r="B329" s="152" t="s">
        <v>624</v>
      </c>
      <c r="C329" s="71" t="s">
        <v>978</v>
      </c>
      <c r="D329" s="71" t="s">
        <v>994</v>
      </c>
      <c r="E329" s="83">
        <v>70.349472</v>
      </c>
      <c r="F329" s="332">
        <v>0.489571999999997</v>
      </c>
      <c r="G329" s="83"/>
      <c r="H329" s="83"/>
      <c r="I329" s="83">
        <f t="shared" si="28"/>
        <v>70.349472</v>
      </c>
      <c r="J329" s="59"/>
    </row>
    <row r="330" s="317" customFormat="1" customHeight="1" spans="1:10">
      <c r="A330" s="337" t="s">
        <v>995</v>
      </c>
      <c r="B330" s="338"/>
      <c r="C330" s="339"/>
      <c r="D330" s="340"/>
      <c r="E330" s="138">
        <f t="shared" ref="E330:I330" si="29">SUM(E313:E329)</f>
        <v>213.549472</v>
      </c>
      <c r="F330" s="138">
        <f t="shared" si="29"/>
        <v>69.181399</v>
      </c>
      <c r="G330" s="138">
        <f t="shared" si="29"/>
        <v>-63.367276</v>
      </c>
      <c r="H330" s="138">
        <f t="shared" si="29"/>
        <v>-63.367276</v>
      </c>
      <c r="I330" s="138">
        <f t="shared" si="29"/>
        <v>150.182196</v>
      </c>
      <c r="J330" s="344"/>
    </row>
    <row r="331" s="317" customFormat="1" customHeight="1" spans="1:10">
      <c r="A331" s="128">
        <v>287</v>
      </c>
      <c r="B331" s="152" t="s">
        <v>624</v>
      </c>
      <c r="C331" s="71" t="s">
        <v>996</v>
      </c>
      <c r="D331" s="151" t="s">
        <v>997</v>
      </c>
      <c r="E331" s="83">
        <v>1</v>
      </c>
      <c r="F331" s="83">
        <v>1</v>
      </c>
      <c r="G331" s="83"/>
      <c r="H331" s="83"/>
      <c r="I331" s="83">
        <f t="shared" ref="I331:I342" si="30">E331+H331</f>
        <v>1</v>
      </c>
      <c r="J331" s="59"/>
    </row>
    <row r="332" s="317" customFormat="1" customHeight="1" spans="1:10">
      <c r="A332" s="128">
        <v>288</v>
      </c>
      <c r="B332" s="152" t="s">
        <v>624</v>
      </c>
      <c r="C332" s="71" t="s">
        <v>996</v>
      </c>
      <c r="D332" s="71" t="s">
        <v>998</v>
      </c>
      <c r="E332" s="83">
        <v>7</v>
      </c>
      <c r="F332" s="83">
        <v>2.854</v>
      </c>
      <c r="G332" s="83">
        <v>-2.854</v>
      </c>
      <c r="H332" s="83">
        <v>-2.854</v>
      </c>
      <c r="I332" s="83">
        <f t="shared" si="30"/>
        <v>4.146</v>
      </c>
      <c r="J332" s="59"/>
    </row>
    <row r="333" s="317" customFormat="1" customHeight="1" spans="1:10">
      <c r="A333" s="128">
        <v>289</v>
      </c>
      <c r="B333" s="152" t="s">
        <v>624</v>
      </c>
      <c r="C333" s="71" t="s">
        <v>996</v>
      </c>
      <c r="D333" s="71" t="s">
        <v>999</v>
      </c>
      <c r="E333" s="83">
        <v>49</v>
      </c>
      <c r="F333" s="83">
        <v>39.3</v>
      </c>
      <c r="G333" s="83">
        <v>-24.2</v>
      </c>
      <c r="H333" s="83">
        <v>-24.2</v>
      </c>
      <c r="I333" s="83">
        <f t="shared" si="30"/>
        <v>24.8</v>
      </c>
      <c r="J333" s="59"/>
    </row>
    <row r="334" s="317" customFormat="1" customHeight="1" spans="1:10">
      <c r="A334" s="128">
        <v>290</v>
      </c>
      <c r="B334" s="152" t="s">
        <v>624</v>
      </c>
      <c r="C334" s="71" t="s">
        <v>996</v>
      </c>
      <c r="D334" s="71" t="s">
        <v>1000</v>
      </c>
      <c r="E334" s="83">
        <v>99</v>
      </c>
      <c r="F334" s="83">
        <v>9.36</v>
      </c>
      <c r="G334" s="83">
        <v>-5.36</v>
      </c>
      <c r="H334" s="83">
        <v>-5.36</v>
      </c>
      <c r="I334" s="83">
        <f t="shared" si="30"/>
        <v>93.64</v>
      </c>
      <c r="J334" s="59"/>
    </row>
    <row r="335" s="317" customFormat="1" customHeight="1" spans="1:10">
      <c r="A335" s="128">
        <v>291</v>
      </c>
      <c r="B335" s="152" t="s">
        <v>624</v>
      </c>
      <c r="C335" s="71" t="s">
        <v>996</v>
      </c>
      <c r="D335" s="71" t="s">
        <v>1001</v>
      </c>
      <c r="E335" s="83">
        <v>3.5</v>
      </c>
      <c r="F335" s="83">
        <v>0</v>
      </c>
      <c r="G335" s="83"/>
      <c r="H335" s="83"/>
      <c r="I335" s="83">
        <f t="shared" si="30"/>
        <v>3.5</v>
      </c>
      <c r="J335" s="59"/>
    </row>
    <row r="336" s="317" customFormat="1" customHeight="1" spans="1:10">
      <c r="A336" s="128">
        <v>292</v>
      </c>
      <c r="B336" s="152" t="s">
        <v>624</v>
      </c>
      <c r="C336" s="71" t="s">
        <v>996</v>
      </c>
      <c r="D336" s="71" t="s">
        <v>1002</v>
      </c>
      <c r="E336" s="83">
        <v>91</v>
      </c>
      <c r="F336" s="83">
        <v>38.81</v>
      </c>
      <c r="G336" s="83">
        <v>-18.5</v>
      </c>
      <c r="H336" s="83">
        <v>-18.5</v>
      </c>
      <c r="I336" s="83">
        <f t="shared" si="30"/>
        <v>72.5</v>
      </c>
      <c r="J336" s="59"/>
    </row>
    <row r="337" s="317" customFormat="1" customHeight="1" spans="1:10">
      <c r="A337" s="128">
        <v>293</v>
      </c>
      <c r="B337" s="152" t="s">
        <v>624</v>
      </c>
      <c r="C337" s="71" t="s">
        <v>996</v>
      </c>
      <c r="D337" s="71" t="s">
        <v>1003</v>
      </c>
      <c r="E337" s="83">
        <v>31</v>
      </c>
      <c r="F337" s="83">
        <v>22.597364</v>
      </c>
      <c r="G337" s="83">
        <v>-0.997364000000001</v>
      </c>
      <c r="H337" s="83">
        <v>-0.997364000000001</v>
      </c>
      <c r="I337" s="83">
        <f t="shared" si="30"/>
        <v>30.002636</v>
      </c>
      <c r="J337" s="59"/>
    </row>
    <row r="338" s="317" customFormat="1" customHeight="1" spans="1:10">
      <c r="A338" s="128">
        <v>294</v>
      </c>
      <c r="B338" s="152" t="s">
        <v>624</v>
      </c>
      <c r="C338" s="71" t="s">
        <v>996</v>
      </c>
      <c r="D338" s="71" t="s">
        <v>1004</v>
      </c>
      <c r="E338" s="83">
        <v>18</v>
      </c>
      <c r="F338" s="83">
        <v>6.599662</v>
      </c>
      <c r="G338" s="83">
        <v>-3.302162</v>
      </c>
      <c r="H338" s="83">
        <v>-3.302162</v>
      </c>
      <c r="I338" s="83">
        <f t="shared" si="30"/>
        <v>14.697838</v>
      </c>
      <c r="J338" s="59"/>
    </row>
    <row r="339" s="317" customFormat="1" customHeight="1" spans="1:10">
      <c r="A339" s="128">
        <v>295</v>
      </c>
      <c r="B339" s="152" t="s">
        <v>624</v>
      </c>
      <c r="C339" s="71" t="s">
        <v>996</v>
      </c>
      <c r="D339" s="71" t="s">
        <v>1005</v>
      </c>
      <c r="E339" s="83">
        <v>10</v>
      </c>
      <c r="F339" s="83">
        <v>10</v>
      </c>
      <c r="G339" s="83">
        <v>-10</v>
      </c>
      <c r="H339" s="83">
        <v>-10</v>
      </c>
      <c r="I339" s="83">
        <f t="shared" si="30"/>
        <v>0</v>
      </c>
      <c r="J339" s="59"/>
    </row>
    <row r="340" s="317" customFormat="1" customHeight="1" spans="1:10">
      <c r="A340" s="128">
        <v>296</v>
      </c>
      <c r="B340" s="152" t="s">
        <v>624</v>
      </c>
      <c r="C340" s="71" t="s">
        <v>996</v>
      </c>
      <c r="D340" s="71" t="s">
        <v>1006</v>
      </c>
      <c r="E340" s="83">
        <v>21</v>
      </c>
      <c r="F340" s="83">
        <v>2.7</v>
      </c>
      <c r="G340" s="83">
        <v>-2.7</v>
      </c>
      <c r="H340" s="83">
        <v>-2.7</v>
      </c>
      <c r="I340" s="83">
        <f t="shared" si="30"/>
        <v>18.3</v>
      </c>
      <c r="J340" s="59"/>
    </row>
    <row r="341" s="317" customFormat="1" customHeight="1" spans="1:10">
      <c r="A341" s="128">
        <v>297</v>
      </c>
      <c r="B341" s="152" t="s">
        <v>624</v>
      </c>
      <c r="C341" s="71" t="s">
        <v>996</v>
      </c>
      <c r="D341" s="71" t="s">
        <v>1007</v>
      </c>
      <c r="E341" s="83">
        <v>23</v>
      </c>
      <c r="F341" s="83">
        <v>19.07</v>
      </c>
      <c r="G341" s="83">
        <v>-17.097</v>
      </c>
      <c r="H341" s="83">
        <v>-17.097</v>
      </c>
      <c r="I341" s="83">
        <f t="shared" si="30"/>
        <v>5.903</v>
      </c>
      <c r="J341" s="59"/>
    </row>
    <row r="342" s="317" customFormat="1" customHeight="1" spans="1:10">
      <c r="A342" s="128">
        <v>298</v>
      </c>
      <c r="B342" s="152" t="s">
        <v>624</v>
      </c>
      <c r="C342" s="71" t="s">
        <v>996</v>
      </c>
      <c r="D342" s="71" t="s">
        <v>1008</v>
      </c>
      <c r="E342" s="83">
        <v>15</v>
      </c>
      <c r="F342" s="83">
        <v>15</v>
      </c>
      <c r="G342" s="83">
        <v>-15</v>
      </c>
      <c r="H342" s="83">
        <v>-15</v>
      </c>
      <c r="I342" s="83">
        <f t="shared" si="30"/>
        <v>0</v>
      </c>
      <c r="J342" s="59"/>
    </row>
    <row r="343" s="317" customFormat="1" customHeight="1" spans="1:10">
      <c r="A343" s="337" t="s">
        <v>1009</v>
      </c>
      <c r="B343" s="338"/>
      <c r="C343" s="339"/>
      <c r="D343" s="340"/>
      <c r="E343" s="138">
        <f t="shared" ref="E343:I343" si="31">SUM(E331:E342)</f>
        <v>368.5</v>
      </c>
      <c r="F343" s="138">
        <f t="shared" si="31"/>
        <v>167.291026</v>
      </c>
      <c r="G343" s="138">
        <f t="shared" si="31"/>
        <v>-100.010526</v>
      </c>
      <c r="H343" s="138">
        <f t="shared" si="31"/>
        <v>-100.010526</v>
      </c>
      <c r="I343" s="138">
        <f t="shared" si="31"/>
        <v>268.489474</v>
      </c>
      <c r="J343" s="344"/>
    </row>
    <row r="344" s="317" customFormat="1" customHeight="1" spans="1:10">
      <c r="A344" s="128">
        <v>299</v>
      </c>
      <c r="B344" s="152" t="s">
        <v>606</v>
      </c>
      <c r="C344" s="71" t="s">
        <v>1010</v>
      </c>
      <c r="D344" s="345" t="s">
        <v>1011</v>
      </c>
      <c r="E344" s="83">
        <v>23.2</v>
      </c>
      <c r="F344" s="83">
        <v>10</v>
      </c>
      <c r="G344" s="83">
        <v>-10</v>
      </c>
      <c r="H344" s="83">
        <v>-10</v>
      </c>
      <c r="I344" s="83">
        <f>E344+H344</f>
        <v>13.2</v>
      </c>
      <c r="J344" s="59"/>
    </row>
    <row r="345" s="317" customFormat="1" customHeight="1" spans="1:10">
      <c r="A345" s="128">
        <v>300</v>
      </c>
      <c r="B345" s="152" t="s">
        <v>601</v>
      </c>
      <c r="C345" s="71" t="s">
        <v>1010</v>
      </c>
      <c r="D345" s="71" t="s">
        <v>1012</v>
      </c>
      <c r="E345" s="142">
        <v>146.64</v>
      </c>
      <c r="F345" s="142">
        <v>0</v>
      </c>
      <c r="G345" s="142">
        <v>-0.0012</v>
      </c>
      <c r="H345" s="142">
        <v>-0.0012</v>
      </c>
      <c r="I345" s="83">
        <f t="shared" ref="I345:I364" si="32">E345+H345</f>
        <v>146.6388</v>
      </c>
      <c r="J345" s="71" t="s">
        <v>1013</v>
      </c>
    </row>
    <row r="346" s="317" customFormat="1" customHeight="1" spans="1:10">
      <c r="A346" s="128">
        <v>301</v>
      </c>
      <c r="B346" s="152" t="s">
        <v>601</v>
      </c>
      <c r="C346" s="71" t="s">
        <v>1010</v>
      </c>
      <c r="D346" s="71" t="s">
        <v>1014</v>
      </c>
      <c r="E346" s="142">
        <v>999.02</v>
      </c>
      <c r="F346" s="142">
        <v>672.35</v>
      </c>
      <c r="G346" s="142">
        <v>-672.3464</v>
      </c>
      <c r="H346" s="142">
        <v>-672.3464</v>
      </c>
      <c r="I346" s="83">
        <f t="shared" si="32"/>
        <v>326.6736</v>
      </c>
      <c r="J346" s="71" t="s">
        <v>1015</v>
      </c>
    </row>
    <row r="347" s="317" customFormat="1" customHeight="1" spans="1:10">
      <c r="A347" s="128">
        <v>302</v>
      </c>
      <c r="B347" s="152" t="s">
        <v>601</v>
      </c>
      <c r="C347" s="71" t="s">
        <v>1010</v>
      </c>
      <c r="D347" s="71" t="s">
        <v>1016</v>
      </c>
      <c r="E347" s="142">
        <v>28.38</v>
      </c>
      <c r="F347" s="142">
        <v>0</v>
      </c>
      <c r="G347" s="142"/>
      <c r="H347" s="142"/>
      <c r="I347" s="83">
        <f t="shared" si="32"/>
        <v>28.38</v>
      </c>
      <c r="J347" s="71" t="s">
        <v>1017</v>
      </c>
    </row>
    <row r="348" s="317" customFormat="1" customHeight="1" spans="1:10">
      <c r="A348" s="128">
        <v>303</v>
      </c>
      <c r="B348" s="152" t="s">
        <v>601</v>
      </c>
      <c r="C348" s="71" t="s">
        <v>1010</v>
      </c>
      <c r="D348" s="71" t="s">
        <v>1018</v>
      </c>
      <c r="E348" s="142">
        <v>67</v>
      </c>
      <c r="F348" s="142">
        <v>67</v>
      </c>
      <c r="G348" s="142">
        <v>-67</v>
      </c>
      <c r="H348" s="142">
        <v>-67</v>
      </c>
      <c r="I348" s="83">
        <f t="shared" si="32"/>
        <v>0</v>
      </c>
      <c r="J348" s="71"/>
    </row>
    <row r="349" s="317" customFormat="1" customHeight="1" spans="1:10">
      <c r="A349" s="128">
        <v>304</v>
      </c>
      <c r="B349" s="152" t="s">
        <v>601</v>
      </c>
      <c r="C349" s="71" t="s">
        <v>1010</v>
      </c>
      <c r="D349" s="71" t="s">
        <v>1019</v>
      </c>
      <c r="E349" s="142">
        <v>10</v>
      </c>
      <c r="F349" s="142">
        <v>5</v>
      </c>
      <c r="G349" s="142">
        <v>-5</v>
      </c>
      <c r="H349" s="142">
        <v>-5</v>
      </c>
      <c r="I349" s="83">
        <f t="shared" si="32"/>
        <v>5</v>
      </c>
      <c r="J349" s="71"/>
    </row>
    <row r="350" s="317" customFormat="1" customHeight="1" spans="1:10">
      <c r="A350" s="128">
        <v>305</v>
      </c>
      <c r="B350" s="152" t="s">
        <v>601</v>
      </c>
      <c r="C350" s="71" t="s">
        <v>1010</v>
      </c>
      <c r="D350" s="71" t="s">
        <v>1020</v>
      </c>
      <c r="E350" s="142">
        <v>5</v>
      </c>
      <c r="F350" s="142">
        <v>5</v>
      </c>
      <c r="G350" s="142">
        <v>-5</v>
      </c>
      <c r="H350" s="142">
        <v>-5</v>
      </c>
      <c r="I350" s="83">
        <f t="shared" si="32"/>
        <v>0</v>
      </c>
      <c r="J350" s="71"/>
    </row>
    <row r="351" s="317" customFormat="1" customHeight="1" spans="1:10">
      <c r="A351" s="128">
        <v>306</v>
      </c>
      <c r="B351" s="152" t="s">
        <v>601</v>
      </c>
      <c r="C351" s="71" t="s">
        <v>1010</v>
      </c>
      <c r="D351" s="71" t="s">
        <v>493</v>
      </c>
      <c r="E351" s="142">
        <v>9</v>
      </c>
      <c r="F351" s="142">
        <v>7.91</v>
      </c>
      <c r="G351" s="142">
        <v>-7.905451</v>
      </c>
      <c r="H351" s="142">
        <v>-7.905451</v>
      </c>
      <c r="I351" s="83">
        <f t="shared" si="32"/>
        <v>1.094549</v>
      </c>
      <c r="J351" s="71"/>
    </row>
    <row r="352" s="317" customFormat="1" customHeight="1" spans="1:10">
      <c r="A352" s="128">
        <v>307</v>
      </c>
      <c r="B352" s="152" t="s">
        <v>601</v>
      </c>
      <c r="C352" s="71" t="s">
        <v>1010</v>
      </c>
      <c r="D352" s="71" t="s">
        <v>1021</v>
      </c>
      <c r="E352" s="142">
        <v>0.06</v>
      </c>
      <c r="F352" s="142">
        <v>0.06</v>
      </c>
      <c r="G352" s="142">
        <v>-0.06</v>
      </c>
      <c r="H352" s="142">
        <v>-0.06</v>
      </c>
      <c r="I352" s="83">
        <f t="shared" si="32"/>
        <v>0</v>
      </c>
      <c r="J352" s="71" t="s">
        <v>1022</v>
      </c>
    </row>
    <row r="353" s="317" customFormat="1" customHeight="1" spans="1:10">
      <c r="A353" s="128">
        <v>308</v>
      </c>
      <c r="B353" s="152" t="s">
        <v>601</v>
      </c>
      <c r="C353" s="71" t="s">
        <v>1010</v>
      </c>
      <c r="D353" s="71" t="s">
        <v>1023</v>
      </c>
      <c r="E353" s="142">
        <v>5</v>
      </c>
      <c r="F353" s="142">
        <v>2.6</v>
      </c>
      <c r="G353" s="142">
        <v>-0.515175</v>
      </c>
      <c r="H353" s="142">
        <v>-0.515175</v>
      </c>
      <c r="I353" s="83">
        <f t="shared" si="32"/>
        <v>4.484825</v>
      </c>
      <c r="J353" s="71"/>
    </row>
    <row r="354" s="317" customFormat="1" customHeight="1" spans="1:10">
      <c r="A354" s="128">
        <v>309</v>
      </c>
      <c r="B354" s="152" t="s">
        <v>601</v>
      </c>
      <c r="C354" s="71" t="s">
        <v>1010</v>
      </c>
      <c r="D354" s="71" t="s">
        <v>1024</v>
      </c>
      <c r="E354" s="142">
        <v>2</v>
      </c>
      <c r="F354" s="142">
        <v>2</v>
      </c>
      <c r="G354" s="142">
        <v>-2</v>
      </c>
      <c r="H354" s="142">
        <v>-2</v>
      </c>
      <c r="I354" s="83">
        <f t="shared" si="32"/>
        <v>0</v>
      </c>
      <c r="J354" s="71"/>
    </row>
    <row r="355" s="317" customFormat="1" customHeight="1" spans="1:10">
      <c r="A355" s="128">
        <v>310</v>
      </c>
      <c r="B355" s="152" t="s">
        <v>601</v>
      </c>
      <c r="C355" s="71" t="s">
        <v>1010</v>
      </c>
      <c r="D355" s="71" t="s">
        <v>1025</v>
      </c>
      <c r="E355" s="142">
        <v>5</v>
      </c>
      <c r="F355" s="142">
        <v>5</v>
      </c>
      <c r="G355" s="142">
        <v>-5</v>
      </c>
      <c r="H355" s="142">
        <v>-5</v>
      </c>
      <c r="I355" s="83">
        <f t="shared" si="32"/>
        <v>0</v>
      </c>
      <c r="J355" s="71"/>
    </row>
    <row r="356" s="317" customFormat="1" customHeight="1" spans="1:10">
      <c r="A356" s="128">
        <v>311</v>
      </c>
      <c r="B356" s="152" t="s">
        <v>601</v>
      </c>
      <c r="C356" s="71" t="s">
        <v>1010</v>
      </c>
      <c r="D356" s="71" t="s">
        <v>1026</v>
      </c>
      <c r="E356" s="142">
        <v>10</v>
      </c>
      <c r="F356" s="142">
        <v>0.2</v>
      </c>
      <c r="G356" s="142">
        <v>-0.004</v>
      </c>
      <c r="H356" s="142">
        <v>-0.004</v>
      </c>
      <c r="I356" s="83">
        <f t="shared" si="32"/>
        <v>9.996</v>
      </c>
      <c r="J356" s="71"/>
    </row>
    <row r="357" s="317" customFormat="1" customHeight="1" spans="1:10">
      <c r="A357" s="128">
        <v>312</v>
      </c>
      <c r="B357" s="152" t="s">
        <v>601</v>
      </c>
      <c r="C357" s="71" t="s">
        <v>1010</v>
      </c>
      <c r="D357" s="71" t="s">
        <v>1027</v>
      </c>
      <c r="E357" s="142">
        <v>10</v>
      </c>
      <c r="F357" s="142">
        <v>6.49</v>
      </c>
      <c r="G357" s="142">
        <v>-0.404302</v>
      </c>
      <c r="H357" s="142">
        <v>-0.404302</v>
      </c>
      <c r="I357" s="83">
        <f t="shared" si="32"/>
        <v>9.595698</v>
      </c>
      <c r="J357" s="71"/>
    </row>
    <row r="358" s="317" customFormat="1" customHeight="1" spans="1:10">
      <c r="A358" s="128">
        <v>313</v>
      </c>
      <c r="B358" s="152" t="s">
        <v>601</v>
      </c>
      <c r="C358" s="71" t="s">
        <v>1010</v>
      </c>
      <c r="D358" s="71" t="s">
        <v>1028</v>
      </c>
      <c r="E358" s="142">
        <v>3</v>
      </c>
      <c r="F358" s="142">
        <v>1</v>
      </c>
      <c r="G358" s="142">
        <v>-1</v>
      </c>
      <c r="H358" s="142">
        <v>-1</v>
      </c>
      <c r="I358" s="83">
        <f t="shared" si="32"/>
        <v>2</v>
      </c>
      <c r="J358" s="71"/>
    </row>
    <row r="359" s="317" customFormat="1" customHeight="1" spans="1:10">
      <c r="A359" s="128">
        <v>314</v>
      </c>
      <c r="B359" s="152" t="s">
        <v>601</v>
      </c>
      <c r="C359" s="71" t="s">
        <v>1010</v>
      </c>
      <c r="D359" s="71" t="s">
        <v>1029</v>
      </c>
      <c r="E359" s="142">
        <v>2</v>
      </c>
      <c r="F359" s="142">
        <v>0.4</v>
      </c>
      <c r="G359" s="142">
        <v>-0.4</v>
      </c>
      <c r="H359" s="142">
        <v>-0.4</v>
      </c>
      <c r="I359" s="83">
        <f t="shared" si="32"/>
        <v>1.6</v>
      </c>
      <c r="J359" s="71"/>
    </row>
    <row r="360" s="317" customFormat="1" customHeight="1" spans="1:10">
      <c r="A360" s="128">
        <v>315</v>
      </c>
      <c r="B360" s="152" t="s">
        <v>601</v>
      </c>
      <c r="C360" s="71" t="s">
        <v>1010</v>
      </c>
      <c r="D360" s="71" t="s">
        <v>1030</v>
      </c>
      <c r="E360" s="142">
        <v>3</v>
      </c>
      <c r="F360" s="142">
        <v>0.1</v>
      </c>
      <c r="G360" s="142">
        <v>-0.095963</v>
      </c>
      <c r="H360" s="142">
        <v>-0.095963</v>
      </c>
      <c r="I360" s="83">
        <f t="shared" si="32"/>
        <v>2.904037</v>
      </c>
      <c r="J360" s="71"/>
    </row>
    <row r="361" s="317" customFormat="1" customHeight="1" spans="1:10">
      <c r="A361" s="128">
        <v>316</v>
      </c>
      <c r="B361" s="152" t="s">
        <v>601</v>
      </c>
      <c r="C361" s="71" t="s">
        <v>1010</v>
      </c>
      <c r="D361" s="71" t="s">
        <v>1031</v>
      </c>
      <c r="E361" s="142">
        <v>9</v>
      </c>
      <c r="F361" s="142">
        <v>5.2</v>
      </c>
      <c r="G361" s="142">
        <v>-5.295427</v>
      </c>
      <c r="H361" s="142">
        <v>-5.295427</v>
      </c>
      <c r="I361" s="83">
        <f t="shared" si="32"/>
        <v>3.704573</v>
      </c>
      <c r="J361" s="71"/>
    </row>
    <row r="362" s="317" customFormat="1" customHeight="1" spans="1:10">
      <c r="A362" s="128">
        <v>317</v>
      </c>
      <c r="B362" s="152" t="s">
        <v>601</v>
      </c>
      <c r="C362" s="71" t="s">
        <v>1010</v>
      </c>
      <c r="D362" s="71" t="s">
        <v>1032</v>
      </c>
      <c r="E362" s="142">
        <v>14.85</v>
      </c>
      <c r="F362" s="142">
        <v>8.93</v>
      </c>
      <c r="G362" s="142">
        <v>-8.925</v>
      </c>
      <c r="H362" s="142">
        <v>-8.925</v>
      </c>
      <c r="I362" s="83">
        <f t="shared" si="32"/>
        <v>5.925</v>
      </c>
      <c r="J362" s="71" t="s">
        <v>1033</v>
      </c>
    </row>
    <row r="363" s="317" customFormat="1" customHeight="1" spans="1:10">
      <c r="A363" s="128">
        <v>318</v>
      </c>
      <c r="B363" s="152" t="s">
        <v>601</v>
      </c>
      <c r="C363" s="71" t="s">
        <v>1010</v>
      </c>
      <c r="D363" s="71" t="s">
        <v>1034</v>
      </c>
      <c r="E363" s="142">
        <v>36</v>
      </c>
      <c r="F363" s="142">
        <v>20.05</v>
      </c>
      <c r="G363" s="142">
        <v>-20.047726</v>
      </c>
      <c r="H363" s="142">
        <v>-20.047726</v>
      </c>
      <c r="I363" s="83">
        <f t="shared" si="32"/>
        <v>15.952274</v>
      </c>
      <c r="J363" s="71"/>
    </row>
    <row r="364" s="317" customFormat="1" customHeight="1" spans="1:10">
      <c r="A364" s="337" t="s">
        <v>1035</v>
      </c>
      <c r="B364" s="338"/>
      <c r="C364" s="339"/>
      <c r="D364" s="340"/>
      <c r="E364" s="352">
        <f>SUM(E344:E363)</f>
        <v>1388.15</v>
      </c>
      <c r="F364" s="352">
        <f>SUM(F344:F363)</f>
        <v>819.29</v>
      </c>
      <c r="G364" s="352">
        <f>SUM(G344:G363)</f>
        <v>-811.000644</v>
      </c>
      <c r="H364" s="352">
        <f>SUM(H344:H363)</f>
        <v>-811.000644</v>
      </c>
      <c r="I364" s="352">
        <f>SUM(I344:I363)</f>
        <v>577.149356</v>
      </c>
      <c r="J364" s="165"/>
    </row>
    <row r="365" s="317" customFormat="1" customHeight="1" spans="1:10">
      <c r="A365" s="128">
        <v>319</v>
      </c>
      <c r="B365" s="152" t="s">
        <v>601</v>
      </c>
      <c r="C365" s="71" t="s">
        <v>1036</v>
      </c>
      <c r="D365" s="71" t="s">
        <v>1037</v>
      </c>
      <c r="E365" s="142">
        <v>4</v>
      </c>
      <c r="F365" s="142">
        <v>3.15</v>
      </c>
      <c r="G365" s="142">
        <v>-0.0775</v>
      </c>
      <c r="H365" s="142">
        <v>-0.0775</v>
      </c>
      <c r="I365" s="83">
        <f t="shared" ref="I365:I374" si="33">E365+H365</f>
        <v>3.9225</v>
      </c>
      <c r="J365" s="71"/>
    </row>
    <row r="366" s="317" customFormat="1" customHeight="1" spans="1:10">
      <c r="A366" s="337" t="s">
        <v>1038</v>
      </c>
      <c r="B366" s="338"/>
      <c r="C366" s="339"/>
      <c r="D366" s="340"/>
      <c r="E366" s="352">
        <f t="shared" ref="E366:I366" si="34">SUM(E365)</f>
        <v>4</v>
      </c>
      <c r="F366" s="352">
        <f t="shared" si="34"/>
        <v>3.15</v>
      </c>
      <c r="G366" s="352">
        <f t="shared" si="34"/>
        <v>-0.0775</v>
      </c>
      <c r="H366" s="352">
        <f t="shared" si="34"/>
        <v>-0.0775</v>
      </c>
      <c r="I366" s="352">
        <f t="shared" si="34"/>
        <v>3.9225</v>
      </c>
      <c r="J366" s="165"/>
    </row>
    <row r="367" s="317" customFormat="1" customHeight="1" spans="1:10">
      <c r="A367" s="128">
        <v>320</v>
      </c>
      <c r="B367" s="152" t="s">
        <v>616</v>
      </c>
      <c r="C367" s="333" t="s">
        <v>1039</v>
      </c>
      <c r="D367" s="333" t="s">
        <v>1040</v>
      </c>
      <c r="E367" s="142">
        <v>15</v>
      </c>
      <c r="F367" s="353">
        <v>0</v>
      </c>
      <c r="G367" s="142"/>
      <c r="H367" s="142"/>
      <c r="I367" s="83">
        <f t="shared" si="33"/>
        <v>15</v>
      </c>
      <c r="J367" s="71"/>
    </row>
    <row r="368" s="317" customFormat="1" customHeight="1" spans="1:10">
      <c r="A368" s="128">
        <v>321</v>
      </c>
      <c r="B368" s="152" t="s">
        <v>616</v>
      </c>
      <c r="C368" s="333" t="s">
        <v>1039</v>
      </c>
      <c r="D368" s="333" t="s">
        <v>1041</v>
      </c>
      <c r="E368" s="83">
        <v>5</v>
      </c>
      <c r="F368" s="353">
        <v>5</v>
      </c>
      <c r="G368" s="142">
        <v>-5</v>
      </c>
      <c r="H368" s="142">
        <v>-5</v>
      </c>
      <c r="I368" s="83">
        <f t="shared" si="33"/>
        <v>0</v>
      </c>
      <c r="J368" s="71" t="s">
        <v>1042</v>
      </c>
    </row>
    <row r="369" s="317" customFormat="1" customHeight="1" spans="1:10">
      <c r="A369" s="128">
        <v>322</v>
      </c>
      <c r="B369" s="152" t="s">
        <v>616</v>
      </c>
      <c r="C369" s="333" t="s">
        <v>1039</v>
      </c>
      <c r="D369" s="333" t="s">
        <v>1043</v>
      </c>
      <c r="E369" s="83">
        <v>47.78</v>
      </c>
      <c r="F369" s="332">
        <v>47.78</v>
      </c>
      <c r="G369" s="142">
        <v>-47.78</v>
      </c>
      <c r="H369" s="142">
        <v>-47.78</v>
      </c>
      <c r="I369" s="83">
        <f t="shared" si="33"/>
        <v>0</v>
      </c>
      <c r="J369" s="71"/>
    </row>
    <row r="370" s="317" customFormat="1" customHeight="1" spans="1:10">
      <c r="A370" s="128">
        <v>323</v>
      </c>
      <c r="B370" s="152" t="s">
        <v>616</v>
      </c>
      <c r="C370" s="333" t="s">
        <v>1039</v>
      </c>
      <c r="D370" s="333" t="s">
        <v>1044</v>
      </c>
      <c r="E370" s="142">
        <v>126</v>
      </c>
      <c r="F370" s="353">
        <v>20.4877</v>
      </c>
      <c r="G370" s="142">
        <v>-20.4877</v>
      </c>
      <c r="H370" s="142">
        <f>-F370</f>
        <v>-20.4877</v>
      </c>
      <c r="I370" s="83">
        <f t="shared" si="33"/>
        <v>105.5123</v>
      </c>
      <c r="J370" s="71"/>
    </row>
    <row r="371" s="317" customFormat="1" customHeight="1" spans="1:10">
      <c r="A371" s="128">
        <v>324</v>
      </c>
      <c r="B371" s="152" t="s">
        <v>616</v>
      </c>
      <c r="C371" s="333" t="s">
        <v>1039</v>
      </c>
      <c r="D371" s="333" t="s">
        <v>1045</v>
      </c>
      <c r="E371" s="142">
        <v>9</v>
      </c>
      <c r="F371" s="353">
        <v>7.7559</v>
      </c>
      <c r="G371" s="142">
        <v>-7.76</v>
      </c>
      <c r="H371" s="142">
        <v>-7.76</v>
      </c>
      <c r="I371" s="83">
        <f t="shared" si="33"/>
        <v>1.24</v>
      </c>
      <c r="J371" s="71"/>
    </row>
    <row r="372" s="317" customFormat="1" customHeight="1" spans="1:10">
      <c r="A372" s="128">
        <v>325</v>
      </c>
      <c r="B372" s="152" t="s">
        <v>616</v>
      </c>
      <c r="C372" s="333" t="s">
        <v>1039</v>
      </c>
      <c r="D372" s="333" t="s">
        <v>1046</v>
      </c>
      <c r="E372" s="142">
        <v>13.5</v>
      </c>
      <c r="F372" s="353">
        <v>0</v>
      </c>
      <c r="G372" s="142"/>
      <c r="H372" s="142"/>
      <c r="I372" s="83">
        <f t="shared" si="33"/>
        <v>13.5</v>
      </c>
      <c r="J372" s="71"/>
    </row>
    <row r="373" s="317" customFormat="1" customHeight="1" spans="1:10">
      <c r="A373" s="128">
        <v>326</v>
      </c>
      <c r="B373" s="152" t="s">
        <v>616</v>
      </c>
      <c r="C373" s="345" t="s">
        <v>1039</v>
      </c>
      <c r="D373" s="345" t="s">
        <v>1047</v>
      </c>
      <c r="E373" s="142">
        <v>20.45</v>
      </c>
      <c r="F373" s="353">
        <v>0</v>
      </c>
      <c r="G373" s="142"/>
      <c r="H373" s="142"/>
      <c r="I373" s="83">
        <f t="shared" si="33"/>
        <v>20.45</v>
      </c>
      <c r="J373" s="71"/>
    </row>
    <row r="374" s="317" customFormat="1" customHeight="1" spans="1:10">
      <c r="A374" s="128">
        <v>327</v>
      </c>
      <c r="B374" s="152" t="s">
        <v>613</v>
      </c>
      <c r="C374" s="71" t="s">
        <v>1039</v>
      </c>
      <c r="D374" s="151" t="s">
        <v>1048</v>
      </c>
      <c r="E374" s="83">
        <v>3.51</v>
      </c>
      <c r="F374" s="83">
        <v>0.0107969999999997</v>
      </c>
      <c r="G374" s="83">
        <v>-0.01</v>
      </c>
      <c r="H374" s="83">
        <v>-0.01</v>
      </c>
      <c r="I374" s="83">
        <f t="shared" si="33"/>
        <v>3.5</v>
      </c>
      <c r="J374" s="59" t="s">
        <v>1049</v>
      </c>
    </row>
    <row r="375" s="317" customFormat="1" customHeight="1" spans="1:10">
      <c r="A375" s="337" t="s">
        <v>1050</v>
      </c>
      <c r="B375" s="338"/>
      <c r="C375" s="339"/>
      <c r="D375" s="340"/>
      <c r="E375" s="138">
        <f t="shared" ref="E375:I375" si="35">SUM(E367:E374)</f>
        <v>240.24</v>
      </c>
      <c r="F375" s="138">
        <f t="shared" si="35"/>
        <v>81.034397</v>
      </c>
      <c r="G375" s="138">
        <f t="shared" si="35"/>
        <v>-81.0377</v>
      </c>
      <c r="H375" s="138">
        <f t="shared" si="35"/>
        <v>-81.0377</v>
      </c>
      <c r="I375" s="138">
        <f t="shared" si="35"/>
        <v>159.2023</v>
      </c>
      <c r="J375" s="344"/>
    </row>
    <row r="376" s="317" customFormat="1" customHeight="1" spans="1:10">
      <c r="A376" s="128">
        <v>328</v>
      </c>
      <c r="B376" s="152" t="s">
        <v>616</v>
      </c>
      <c r="C376" s="333" t="s">
        <v>1051</v>
      </c>
      <c r="D376" s="333" t="s">
        <v>1052</v>
      </c>
      <c r="E376" s="142">
        <v>27</v>
      </c>
      <c r="F376" s="142">
        <v>5</v>
      </c>
      <c r="G376" s="142">
        <v>-5</v>
      </c>
      <c r="H376" s="142">
        <v>-5</v>
      </c>
      <c r="I376" s="83">
        <f t="shared" ref="I376:I389" si="36">E376+H376</f>
        <v>22</v>
      </c>
      <c r="J376" s="71"/>
    </row>
    <row r="377" s="317" customFormat="1" customHeight="1" spans="1:10">
      <c r="A377" s="128">
        <v>329</v>
      </c>
      <c r="B377" s="152" t="s">
        <v>616</v>
      </c>
      <c r="C377" s="333" t="s">
        <v>1051</v>
      </c>
      <c r="D377" s="333" t="s">
        <v>1053</v>
      </c>
      <c r="E377" s="142">
        <v>27</v>
      </c>
      <c r="F377" s="142">
        <v>1</v>
      </c>
      <c r="G377" s="142"/>
      <c r="H377" s="142"/>
      <c r="I377" s="83">
        <f t="shared" si="36"/>
        <v>27</v>
      </c>
      <c r="J377" s="71"/>
    </row>
    <row r="378" s="317" customFormat="1" customHeight="1" spans="1:10">
      <c r="A378" s="337" t="s">
        <v>1054</v>
      </c>
      <c r="B378" s="338"/>
      <c r="C378" s="339"/>
      <c r="D378" s="340"/>
      <c r="E378" s="352">
        <f t="shared" ref="E378:I378" si="37">SUM(E376:E377)</f>
        <v>54</v>
      </c>
      <c r="F378" s="352">
        <f t="shared" si="37"/>
        <v>6</v>
      </c>
      <c r="G378" s="352">
        <f t="shared" si="37"/>
        <v>-5</v>
      </c>
      <c r="H378" s="352">
        <f t="shared" si="37"/>
        <v>-5</v>
      </c>
      <c r="I378" s="352">
        <f t="shared" si="37"/>
        <v>49</v>
      </c>
      <c r="J378" s="165"/>
    </row>
    <row r="379" s="317" customFormat="1" customHeight="1" spans="1:10">
      <c r="A379" s="128">
        <v>330</v>
      </c>
      <c r="B379" s="152" t="s">
        <v>648</v>
      </c>
      <c r="C379" s="71" t="s">
        <v>1055</v>
      </c>
      <c r="D379" s="71" t="s">
        <v>1056</v>
      </c>
      <c r="E379" s="83">
        <v>50</v>
      </c>
      <c r="F379" s="332">
        <v>50</v>
      </c>
      <c r="G379" s="83">
        <v>-50</v>
      </c>
      <c r="H379" s="83">
        <v>-50</v>
      </c>
      <c r="I379" s="83">
        <f t="shared" si="36"/>
        <v>0</v>
      </c>
      <c r="J379" s="71" t="s">
        <v>1057</v>
      </c>
    </row>
    <row r="380" s="317" customFormat="1" customHeight="1" spans="1:10">
      <c r="A380" s="128">
        <v>331</v>
      </c>
      <c r="B380" s="152" t="s">
        <v>613</v>
      </c>
      <c r="C380" s="71" t="s">
        <v>1055</v>
      </c>
      <c r="D380" s="151" t="s">
        <v>1058</v>
      </c>
      <c r="E380" s="83">
        <v>25.14</v>
      </c>
      <c r="F380" s="332">
        <v>25.14</v>
      </c>
      <c r="G380" s="83">
        <v>-25.14</v>
      </c>
      <c r="H380" s="83">
        <v>-25.14</v>
      </c>
      <c r="I380" s="83">
        <f t="shared" si="36"/>
        <v>0</v>
      </c>
      <c r="J380" s="59"/>
    </row>
    <row r="381" s="317" customFormat="1" customHeight="1" spans="1:10">
      <c r="A381" s="128">
        <v>332</v>
      </c>
      <c r="B381" s="152" t="s">
        <v>624</v>
      </c>
      <c r="C381" s="71" t="s">
        <v>1055</v>
      </c>
      <c r="D381" s="71" t="s">
        <v>1059</v>
      </c>
      <c r="E381" s="83">
        <v>10</v>
      </c>
      <c r="F381" s="332">
        <v>4</v>
      </c>
      <c r="G381" s="83">
        <v>-4</v>
      </c>
      <c r="H381" s="83">
        <v>-4</v>
      </c>
      <c r="I381" s="83">
        <f t="shared" si="36"/>
        <v>6</v>
      </c>
      <c r="J381" s="59"/>
    </row>
    <row r="382" s="317" customFormat="1" customHeight="1" spans="1:10">
      <c r="A382" s="128">
        <v>333</v>
      </c>
      <c r="B382" s="152" t="s">
        <v>624</v>
      </c>
      <c r="C382" s="71" t="s">
        <v>1055</v>
      </c>
      <c r="D382" s="71" t="s">
        <v>1060</v>
      </c>
      <c r="E382" s="83">
        <v>8.74</v>
      </c>
      <c r="F382" s="332">
        <v>0</v>
      </c>
      <c r="G382" s="83"/>
      <c r="H382" s="83"/>
      <c r="I382" s="83">
        <f t="shared" si="36"/>
        <v>8.74</v>
      </c>
      <c r="J382" s="59"/>
    </row>
    <row r="383" s="317" customFormat="1" customHeight="1" spans="1:10">
      <c r="A383" s="128">
        <v>334</v>
      </c>
      <c r="B383" s="152" t="s">
        <v>624</v>
      </c>
      <c r="C383" s="71" t="s">
        <v>1055</v>
      </c>
      <c r="D383" s="71" t="s">
        <v>1061</v>
      </c>
      <c r="E383" s="83">
        <v>10</v>
      </c>
      <c r="F383" s="332">
        <v>3.850104</v>
      </c>
      <c r="G383" s="83"/>
      <c r="H383" s="83"/>
      <c r="I383" s="83">
        <f t="shared" si="36"/>
        <v>10</v>
      </c>
      <c r="J383" s="59"/>
    </row>
    <row r="384" s="317" customFormat="1" customHeight="1" spans="1:10">
      <c r="A384" s="128">
        <v>335</v>
      </c>
      <c r="B384" s="152" t="s">
        <v>624</v>
      </c>
      <c r="C384" s="71" t="s">
        <v>1055</v>
      </c>
      <c r="D384" s="71" t="s">
        <v>1062</v>
      </c>
      <c r="E384" s="83">
        <v>400</v>
      </c>
      <c r="F384" s="332">
        <v>90</v>
      </c>
      <c r="G384" s="83">
        <v>-90</v>
      </c>
      <c r="H384" s="83">
        <v>-90</v>
      </c>
      <c r="I384" s="83">
        <f t="shared" si="36"/>
        <v>310</v>
      </c>
      <c r="J384" s="59"/>
    </row>
    <row r="385" s="317" customFormat="1" customHeight="1" spans="1:10">
      <c r="A385" s="128">
        <v>336</v>
      </c>
      <c r="B385" s="152" t="s">
        <v>624</v>
      </c>
      <c r="C385" s="71" t="s">
        <v>1055</v>
      </c>
      <c r="D385" s="71" t="s">
        <v>1063</v>
      </c>
      <c r="E385" s="83">
        <v>30</v>
      </c>
      <c r="F385" s="332">
        <v>23</v>
      </c>
      <c r="G385" s="83">
        <v>-23</v>
      </c>
      <c r="H385" s="83">
        <v>-23</v>
      </c>
      <c r="I385" s="83">
        <f t="shared" si="36"/>
        <v>7</v>
      </c>
      <c r="J385" s="59"/>
    </row>
    <row r="386" s="317" customFormat="1" customHeight="1" spans="1:10">
      <c r="A386" s="128">
        <v>337</v>
      </c>
      <c r="B386" s="152" t="s">
        <v>624</v>
      </c>
      <c r="C386" s="71" t="s">
        <v>1055</v>
      </c>
      <c r="D386" s="71" t="s">
        <v>1064</v>
      </c>
      <c r="E386" s="83">
        <v>311.3</v>
      </c>
      <c r="F386" s="332">
        <v>157.65</v>
      </c>
      <c r="G386" s="83">
        <v>-157.65</v>
      </c>
      <c r="H386" s="83">
        <v>-157.65</v>
      </c>
      <c r="I386" s="83">
        <f t="shared" si="36"/>
        <v>153.65</v>
      </c>
      <c r="J386" s="59"/>
    </row>
    <row r="387" s="317" customFormat="1" customHeight="1" spans="1:10">
      <c r="A387" s="337" t="s">
        <v>1065</v>
      </c>
      <c r="B387" s="338"/>
      <c r="C387" s="339"/>
      <c r="D387" s="340"/>
      <c r="E387" s="138">
        <f>SUM(E379:E386)</f>
        <v>845.18</v>
      </c>
      <c r="F387" s="138">
        <f>SUM(F379:F386)</f>
        <v>353.640104</v>
      </c>
      <c r="G387" s="138">
        <f>SUM(G379:G386)</f>
        <v>-349.79</v>
      </c>
      <c r="H387" s="138">
        <f>SUM(H379:H386)</f>
        <v>-349.79</v>
      </c>
      <c r="I387" s="138">
        <f>SUM(I379:I386)</f>
        <v>495.39</v>
      </c>
      <c r="J387" s="165"/>
    </row>
    <row r="388" s="317" customFormat="1" customHeight="1" spans="1:10">
      <c r="A388" s="128">
        <v>338</v>
      </c>
      <c r="B388" s="152" t="s">
        <v>624</v>
      </c>
      <c r="C388" s="71" t="s">
        <v>1066</v>
      </c>
      <c r="D388" s="71" t="s">
        <v>1067</v>
      </c>
      <c r="E388" s="83">
        <v>5</v>
      </c>
      <c r="F388" s="83">
        <v>0.909426</v>
      </c>
      <c r="G388" s="83"/>
      <c r="H388" s="83"/>
      <c r="I388" s="83">
        <f t="shared" ref="I388:I391" si="38">E388+H388</f>
        <v>5</v>
      </c>
      <c r="J388" s="59"/>
    </row>
    <row r="389" s="317" customFormat="1" customHeight="1" spans="1:10">
      <c r="A389" s="128">
        <v>339</v>
      </c>
      <c r="B389" s="152" t="s">
        <v>624</v>
      </c>
      <c r="C389" s="71" t="s">
        <v>1066</v>
      </c>
      <c r="D389" s="71" t="s">
        <v>1068</v>
      </c>
      <c r="E389" s="83">
        <v>2</v>
      </c>
      <c r="F389" s="83">
        <v>0</v>
      </c>
      <c r="G389" s="83"/>
      <c r="H389" s="83"/>
      <c r="I389" s="83">
        <f t="shared" si="38"/>
        <v>2</v>
      </c>
      <c r="J389" s="59"/>
    </row>
    <row r="390" s="317" customFormat="1" customHeight="1" spans="1:10">
      <c r="A390" s="337" t="s">
        <v>1069</v>
      </c>
      <c r="B390" s="338"/>
      <c r="C390" s="339"/>
      <c r="D390" s="340"/>
      <c r="E390" s="138">
        <f t="shared" ref="E390:I390" si="39">SUM(E388:E389)</f>
        <v>7</v>
      </c>
      <c r="F390" s="83">
        <f t="shared" si="39"/>
        <v>0.909426</v>
      </c>
      <c r="G390" s="138">
        <f t="shared" si="39"/>
        <v>0</v>
      </c>
      <c r="H390" s="138">
        <f t="shared" si="39"/>
        <v>0</v>
      </c>
      <c r="I390" s="138">
        <f t="shared" si="39"/>
        <v>7</v>
      </c>
      <c r="J390" s="354"/>
    </row>
    <row r="391" s="317" customFormat="1" customHeight="1" spans="1:10">
      <c r="A391" s="128">
        <v>340</v>
      </c>
      <c r="B391" s="152" t="s">
        <v>624</v>
      </c>
      <c r="C391" s="71" t="s">
        <v>1070</v>
      </c>
      <c r="D391" s="71" t="s">
        <v>1071</v>
      </c>
      <c r="E391" s="83">
        <v>2</v>
      </c>
      <c r="F391" s="83">
        <v>2</v>
      </c>
      <c r="G391" s="83">
        <v>-2</v>
      </c>
      <c r="H391" s="83">
        <v>-2</v>
      </c>
      <c r="I391" s="83">
        <f t="shared" si="38"/>
        <v>0</v>
      </c>
      <c r="J391" s="59"/>
    </row>
    <row r="392" s="317" customFormat="1" customHeight="1" spans="1:10">
      <c r="A392" s="337" t="s">
        <v>1072</v>
      </c>
      <c r="B392" s="338"/>
      <c r="C392" s="339"/>
      <c r="D392" s="340"/>
      <c r="E392" s="138">
        <f t="shared" ref="E392:I392" si="40">E391</f>
        <v>2</v>
      </c>
      <c r="F392" s="83">
        <f t="shared" si="40"/>
        <v>2</v>
      </c>
      <c r="G392" s="138">
        <f t="shared" si="40"/>
        <v>-2</v>
      </c>
      <c r="H392" s="138">
        <f t="shared" si="40"/>
        <v>-2</v>
      </c>
      <c r="I392" s="138">
        <f t="shared" si="40"/>
        <v>0</v>
      </c>
      <c r="J392" s="344"/>
    </row>
    <row r="393" s="317" customFormat="1" customHeight="1" spans="1:10">
      <c r="A393" s="128">
        <v>341</v>
      </c>
      <c r="B393" s="152" t="s">
        <v>624</v>
      </c>
      <c r="C393" s="71" t="s">
        <v>1073</v>
      </c>
      <c r="D393" s="71" t="s">
        <v>1074</v>
      </c>
      <c r="E393" s="83">
        <v>27.39</v>
      </c>
      <c r="F393" s="83">
        <v>0.188046000000002</v>
      </c>
      <c r="G393" s="83">
        <v>-0.188046</v>
      </c>
      <c r="H393" s="83">
        <v>-0.188046</v>
      </c>
      <c r="I393" s="83">
        <f t="shared" ref="I393:I423" si="41">E393+H393</f>
        <v>27.201954</v>
      </c>
      <c r="J393" s="59"/>
    </row>
    <row r="394" s="317" customFormat="1" customHeight="1" spans="1:10">
      <c r="A394" s="337" t="s">
        <v>1075</v>
      </c>
      <c r="B394" s="338"/>
      <c r="C394" s="339"/>
      <c r="D394" s="340"/>
      <c r="E394" s="138">
        <f t="shared" ref="E394:I394" si="42">E393</f>
        <v>27.39</v>
      </c>
      <c r="F394" s="83">
        <f t="shared" si="42"/>
        <v>0.188046000000002</v>
      </c>
      <c r="G394" s="138">
        <f t="shared" si="42"/>
        <v>-0.188046</v>
      </c>
      <c r="H394" s="138">
        <f t="shared" si="42"/>
        <v>-0.188046</v>
      </c>
      <c r="I394" s="138">
        <f t="shared" si="42"/>
        <v>27.201954</v>
      </c>
      <c r="J394" s="344"/>
    </row>
    <row r="395" s="317" customFormat="1" customHeight="1" spans="1:10">
      <c r="A395" s="128">
        <v>342</v>
      </c>
      <c r="B395" s="152" t="s">
        <v>616</v>
      </c>
      <c r="C395" s="333" t="s">
        <v>1076</v>
      </c>
      <c r="D395" s="333" t="s">
        <v>1077</v>
      </c>
      <c r="E395" s="142">
        <v>2.5</v>
      </c>
      <c r="F395" s="142">
        <v>0</v>
      </c>
      <c r="G395" s="142"/>
      <c r="H395" s="142"/>
      <c r="I395" s="83">
        <f t="shared" si="41"/>
        <v>2.5</v>
      </c>
      <c r="J395" s="71"/>
    </row>
    <row r="396" s="317" customFormat="1" customHeight="1" spans="1:10">
      <c r="A396" s="128">
        <v>343</v>
      </c>
      <c r="B396" s="152" t="s">
        <v>613</v>
      </c>
      <c r="C396" s="333" t="s">
        <v>1076</v>
      </c>
      <c r="D396" s="151" t="s">
        <v>1078</v>
      </c>
      <c r="E396" s="83">
        <v>19.92</v>
      </c>
      <c r="F396" s="83">
        <v>1.66</v>
      </c>
      <c r="G396" s="83"/>
      <c r="H396" s="83"/>
      <c r="I396" s="83">
        <f t="shared" si="41"/>
        <v>19.92</v>
      </c>
      <c r="J396" s="59"/>
    </row>
    <row r="397" s="317" customFormat="1" customHeight="1" spans="1:10">
      <c r="A397" s="128">
        <v>344</v>
      </c>
      <c r="B397" s="152" t="s">
        <v>613</v>
      </c>
      <c r="C397" s="333" t="s">
        <v>1076</v>
      </c>
      <c r="D397" s="151" t="s">
        <v>1079</v>
      </c>
      <c r="E397" s="83">
        <v>9.96</v>
      </c>
      <c r="F397" s="83">
        <v>0.83</v>
      </c>
      <c r="G397" s="83"/>
      <c r="H397" s="83"/>
      <c r="I397" s="83">
        <f t="shared" si="41"/>
        <v>9.96</v>
      </c>
      <c r="J397" s="59"/>
    </row>
    <row r="398" s="317" customFormat="1" customHeight="1" spans="1:10">
      <c r="A398" s="128">
        <v>345</v>
      </c>
      <c r="B398" s="152" t="s">
        <v>613</v>
      </c>
      <c r="C398" s="333" t="s">
        <v>1076</v>
      </c>
      <c r="D398" s="151" t="s">
        <v>1080</v>
      </c>
      <c r="E398" s="83">
        <v>9.96</v>
      </c>
      <c r="F398" s="83">
        <v>0.83</v>
      </c>
      <c r="G398" s="83">
        <v>-0.83</v>
      </c>
      <c r="H398" s="83">
        <v>-0.83</v>
      </c>
      <c r="I398" s="83">
        <f t="shared" si="41"/>
        <v>9.13</v>
      </c>
      <c r="J398" s="59"/>
    </row>
    <row r="399" s="317" customFormat="1" customHeight="1" spans="1:10">
      <c r="A399" s="128">
        <v>346</v>
      </c>
      <c r="B399" s="152" t="s">
        <v>613</v>
      </c>
      <c r="C399" s="333" t="s">
        <v>1076</v>
      </c>
      <c r="D399" s="151" t="s">
        <v>1081</v>
      </c>
      <c r="E399" s="83">
        <v>75.863016</v>
      </c>
      <c r="F399" s="83">
        <v>8.93804799999999</v>
      </c>
      <c r="G399" s="83">
        <v>-8.93804799999999</v>
      </c>
      <c r="H399" s="83">
        <v>-8.93804799999999</v>
      </c>
      <c r="I399" s="83">
        <f t="shared" si="41"/>
        <v>66.924968</v>
      </c>
      <c r="J399" s="59"/>
    </row>
    <row r="400" s="317" customFormat="1" customHeight="1" spans="1:10">
      <c r="A400" s="128">
        <v>347</v>
      </c>
      <c r="B400" s="152" t="s">
        <v>613</v>
      </c>
      <c r="C400" s="333" t="s">
        <v>1076</v>
      </c>
      <c r="D400" s="151" t="s">
        <v>1082</v>
      </c>
      <c r="E400" s="83">
        <v>14.94</v>
      </c>
      <c r="F400" s="83">
        <v>1.245</v>
      </c>
      <c r="G400" s="83"/>
      <c r="H400" s="83"/>
      <c r="I400" s="83">
        <f t="shared" si="41"/>
        <v>14.94</v>
      </c>
      <c r="J400" s="59"/>
    </row>
    <row r="401" s="317" customFormat="1" customHeight="1" spans="1:10">
      <c r="A401" s="128">
        <v>348</v>
      </c>
      <c r="B401" s="152" t="s">
        <v>613</v>
      </c>
      <c r="C401" s="333" t="s">
        <v>1076</v>
      </c>
      <c r="D401" s="151" t="s">
        <v>1083</v>
      </c>
      <c r="E401" s="83">
        <v>0.5</v>
      </c>
      <c r="F401" s="83">
        <v>0</v>
      </c>
      <c r="G401" s="83"/>
      <c r="H401" s="83"/>
      <c r="I401" s="83">
        <f t="shared" si="41"/>
        <v>0.5</v>
      </c>
      <c r="J401" s="59"/>
    </row>
    <row r="402" s="317" customFormat="1" customHeight="1" spans="1:10">
      <c r="A402" s="128">
        <v>349</v>
      </c>
      <c r="B402" s="152" t="s">
        <v>613</v>
      </c>
      <c r="C402" s="333" t="s">
        <v>1076</v>
      </c>
      <c r="D402" s="151" t="s">
        <v>1084</v>
      </c>
      <c r="E402" s="83">
        <v>2</v>
      </c>
      <c r="F402" s="83">
        <v>2</v>
      </c>
      <c r="G402" s="83">
        <v>-2</v>
      </c>
      <c r="H402" s="83">
        <v>-2</v>
      </c>
      <c r="I402" s="83">
        <f t="shared" si="41"/>
        <v>0</v>
      </c>
      <c r="J402" s="59"/>
    </row>
    <row r="403" s="317" customFormat="1" customHeight="1" spans="1:10">
      <c r="A403" s="128">
        <v>350</v>
      </c>
      <c r="B403" s="152" t="s">
        <v>613</v>
      </c>
      <c r="C403" s="333" t="s">
        <v>1076</v>
      </c>
      <c r="D403" s="151" t="s">
        <v>1085</v>
      </c>
      <c r="E403" s="83">
        <v>3.6336</v>
      </c>
      <c r="F403" s="83">
        <v>3.6336</v>
      </c>
      <c r="G403" s="83">
        <v>-3.6336</v>
      </c>
      <c r="H403" s="83">
        <v>-3.6336</v>
      </c>
      <c r="I403" s="83">
        <f t="shared" si="41"/>
        <v>0</v>
      </c>
      <c r="J403" s="59"/>
    </row>
    <row r="404" s="317" customFormat="1" customHeight="1" spans="1:10">
      <c r="A404" s="128">
        <v>351</v>
      </c>
      <c r="B404" s="152" t="s">
        <v>613</v>
      </c>
      <c r="C404" s="333" t="s">
        <v>1076</v>
      </c>
      <c r="D404" s="151" t="s">
        <v>1086</v>
      </c>
      <c r="E404" s="83">
        <v>2</v>
      </c>
      <c r="F404" s="83">
        <v>2</v>
      </c>
      <c r="G404" s="83">
        <v>-2</v>
      </c>
      <c r="H404" s="83">
        <v>-2</v>
      </c>
      <c r="I404" s="83">
        <f t="shared" si="41"/>
        <v>0</v>
      </c>
      <c r="J404" s="59"/>
    </row>
    <row r="405" s="317" customFormat="1" customHeight="1" spans="1:10">
      <c r="A405" s="128">
        <v>352</v>
      </c>
      <c r="B405" s="152" t="s">
        <v>613</v>
      </c>
      <c r="C405" s="333" t="s">
        <v>1076</v>
      </c>
      <c r="D405" s="151" t="s">
        <v>1087</v>
      </c>
      <c r="E405" s="83">
        <v>10.8</v>
      </c>
      <c r="F405" s="83">
        <v>8.752394</v>
      </c>
      <c r="G405" s="83">
        <v>-8.752394</v>
      </c>
      <c r="H405" s="83">
        <v>-8.752394</v>
      </c>
      <c r="I405" s="83">
        <f t="shared" si="41"/>
        <v>2.047606</v>
      </c>
      <c r="J405" s="59" t="s">
        <v>1088</v>
      </c>
    </row>
    <row r="406" s="317" customFormat="1" customHeight="1" spans="1:10">
      <c r="A406" s="128">
        <v>353</v>
      </c>
      <c r="B406" s="152" t="s">
        <v>613</v>
      </c>
      <c r="C406" s="333" t="s">
        <v>1076</v>
      </c>
      <c r="D406" s="151" t="s">
        <v>1089</v>
      </c>
      <c r="E406" s="83">
        <v>10</v>
      </c>
      <c r="F406" s="83">
        <v>10</v>
      </c>
      <c r="G406" s="83">
        <v>-10</v>
      </c>
      <c r="H406" s="83">
        <v>-10</v>
      </c>
      <c r="I406" s="83">
        <f t="shared" si="41"/>
        <v>0</v>
      </c>
      <c r="J406" s="59"/>
    </row>
    <row r="407" s="317" customFormat="1" customHeight="1" spans="1:10">
      <c r="A407" s="128">
        <v>354</v>
      </c>
      <c r="B407" s="152" t="s">
        <v>613</v>
      </c>
      <c r="C407" s="333" t="s">
        <v>1076</v>
      </c>
      <c r="D407" s="151" t="s">
        <v>1090</v>
      </c>
      <c r="E407" s="83">
        <v>60</v>
      </c>
      <c r="F407" s="83">
        <v>51.32634</v>
      </c>
      <c r="G407" s="83">
        <v>-51.32634</v>
      </c>
      <c r="H407" s="83">
        <v>-51.32634</v>
      </c>
      <c r="I407" s="83">
        <f t="shared" si="41"/>
        <v>8.67366</v>
      </c>
      <c r="J407" s="59"/>
    </row>
    <row r="408" s="317" customFormat="1" customHeight="1" spans="1:10">
      <c r="A408" s="128">
        <v>355</v>
      </c>
      <c r="B408" s="152" t="s">
        <v>613</v>
      </c>
      <c r="C408" s="333" t="s">
        <v>1076</v>
      </c>
      <c r="D408" s="151" t="s">
        <v>1091</v>
      </c>
      <c r="E408" s="83">
        <v>5.2</v>
      </c>
      <c r="F408" s="83">
        <v>5.2</v>
      </c>
      <c r="G408" s="83">
        <v>-5.2</v>
      </c>
      <c r="H408" s="83">
        <v>-5.2</v>
      </c>
      <c r="I408" s="83">
        <f t="shared" si="41"/>
        <v>0</v>
      </c>
      <c r="J408" s="59"/>
    </row>
    <row r="409" s="317" customFormat="1" customHeight="1" spans="1:10">
      <c r="A409" s="128">
        <v>356</v>
      </c>
      <c r="B409" s="152" t="s">
        <v>613</v>
      </c>
      <c r="C409" s="333" t="s">
        <v>1076</v>
      </c>
      <c r="D409" s="151" t="s">
        <v>1092</v>
      </c>
      <c r="E409" s="83">
        <v>4</v>
      </c>
      <c r="F409" s="83">
        <v>4</v>
      </c>
      <c r="G409" s="83">
        <v>-4</v>
      </c>
      <c r="H409" s="83">
        <v>-4</v>
      </c>
      <c r="I409" s="83">
        <f t="shared" si="41"/>
        <v>0</v>
      </c>
      <c r="J409" s="59" t="s">
        <v>1088</v>
      </c>
    </row>
    <row r="410" s="317" customFormat="1" customHeight="1" spans="1:10">
      <c r="A410" s="128">
        <v>357</v>
      </c>
      <c r="B410" s="152" t="s">
        <v>613</v>
      </c>
      <c r="C410" s="333" t="s">
        <v>1076</v>
      </c>
      <c r="D410" s="151" t="s">
        <v>1093</v>
      </c>
      <c r="E410" s="83">
        <v>2</v>
      </c>
      <c r="F410" s="83">
        <v>1.791635</v>
      </c>
      <c r="G410" s="83">
        <v>-1.254118</v>
      </c>
      <c r="H410" s="83">
        <v>-1.254118</v>
      </c>
      <c r="I410" s="83">
        <f t="shared" si="41"/>
        <v>0.745882</v>
      </c>
      <c r="J410" s="59" t="s">
        <v>1094</v>
      </c>
    </row>
    <row r="411" s="317" customFormat="1" customHeight="1" spans="1:10">
      <c r="A411" s="128">
        <v>358</v>
      </c>
      <c r="B411" s="152" t="s">
        <v>613</v>
      </c>
      <c r="C411" s="333" t="s">
        <v>1076</v>
      </c>
      <c r="D411" s="151" t="s">
        <v>1095</v>
      </c>
      <c r="E411" s="83">
        <v>7</v>
      </c>
      <c r="F411" s="83">
        <v>0</v>
      </c>
      <c r="G411" s="83"/>
      <c r="H411" s="83"/>
      <c r="I411" s="83">
        <f t="shared" si="41"/>
        <v>7</v>
      </c>
      <c r="J411" s="59"/>
    </row>
    <row r="412" s="317" customFormat="1" customHeight="1" spans="1:10">
      <c r="A412" s="128">
        <v>359</v>
      </c>
      <c r="B412" s="152" t="s">
        <v>613</v>
      </c>
      <c r="C412" s="333" t="s">
        <v>1076</v>
      </c>
      <c r="D412" s="151" t="s">
        <v>1096</v>
      </c>
      <c r="E412" s="83">
        <v>2</v>
      </c>
      <c r="F412" s="83">
        <v>0</v>
      </c>
      <c r="G412" s="83"/>
      <c r="H412" s="83"/>
      <c r="I412" s="83">
        <f t="shared" si="41"/>
        <v>2</v>
      </c>
      <c r="J412" s="59"/>
    </row>
    <row r="413" s="317" customFormat="1" customHeight="1" spans="1:10">
      <c r="A413" s="128">
        <v>360</v>
      </c>
      <c r="B413" s="152" t="s">
        <v>613</v>
      </c>
      <c r="C413" s="333" t="s">
        <v>1076</v>
      </c>
      <c r="D413" s="151" t="s">
        <v>1097</v>
      </c>
      <c r="E413" s="83">
        <v>51.75</v>
      </c>
      <c r="F413" s="83">
        <v>34.5935</v>
      </c>
      <c r="G413" s="83">
        <v>-23.4856</v>
      </c>
      <c r="H413" s="83">
        <v>-23.4856</v>
      </c>
      <c r="I413" s="83">
        <f t="shared" si="41"/>
        <v>28.2644</v>
      </c>
      <c r="J413" s="59"/>
    </row>
    <row r="414" s="317" customFormat="1" customHeight="1" spans="1:10">
      <c r="A414" s="128">
        <v>361</v>
      </c>
      <c r="B414" s="152" t="s">
        <v>613</v>
      </c>
      <c r="C414" s="333" t="s">
        <v>1076</v>
      </c>
      <c r="D414" s="151" t="s">
        <v>1098</v>
      </c>
      <c r="E414" s="83">
        <v>0.5</v>
      </c>
      <c r="F414" s="83">
        <v>0</v>
      </c>
      <c r="G414" s="83"/>
      <c r="H414" s="83"/>
      <c r="I414" s="83">
        <f t="shared" si="41"/>
        <v>0.5</v>
      </c>
      <c r="J414" s="59"/>
    </row>
    <row r="415" s="317" customFormat="1" customHeight="1" spans="1:10">
      <c r="A415" s="128">
        <v>362</v>
      </c>
      <c r="B415" s="152" t="s">
        <v>613</v>
      </c>
      <c r="C415" s="333" t="s">
        <v>1076</v>
      </c>
      <c r="D415" s="151" t="s">
        <v>1099</v>
      </c>
      <c r="E415" s="83">
        <v>1</v>
      </c>
      <c r="F415" s="83">
        <v>0</v>
      </c>
      <c r="G415" s="83"/>
      <c r="H415" s="83"/>
      <c r="I415" s="83">
        <f t="shared" si="41"/>
        <v>1</v>
      </c>
      <c r="J415" s="59"/>
    </row>
    <row r="416" s="317" customFormat="1" customHeight="1" spans="1:10">
      <c r="A416" s="128">
        <v>363</v>
      </c>
      <c r="B416" s="152" t="s">
        <v>613</v>
      </c>
      <c r="C416" s="333" t="s">
        <v>1076</v>
      </c>
      <c r="D416" s="151" t="s">
        <v>1100</v>
      </c>
      <c r="E416" s="83">
        <v>4.724678</v>
      </c>
      <c r="F416" s="83">
        <v>3.210742</v>
      </c>
      <c r="G416" s="83">
        <v>-1.75425</v>
      </c>
      <c r="H416" s="83">
        <v>-1.75425</v>
      </c>
      <c r="I416" s="83">
        <f t="shared" si="41"/>
        <v>2.970428</v>
      </c>
      <c r="J416" s="59"/>
    </row>
    <row r="417" s="317" customFormat="1" customHeight="1" spans="1:10">
      <c r="A417" s="128">
        <v>364</v>
      </c>
      <c r="B417" s="152" t="s">
        <v>613</v>
      </c>
      <c r="C417" s="333" t="s">
        <v>1076</v>
      </c>
      <c r="D417" s="151" t="s">
        <v>1101</v>
      </c>
      <c r="E417" s="83">
        <v>41.5154</v>
      </c>
      <c r="F417" s="83">
        <v>0</v>
      </c>
      <c r="G417" s="83"/>
      <c r="H417" s="83"/>
      <c r="I417" s="83">
        <f t="shared" si="41"/>
        <v>41.5154</v>
      </c>
      <c r="J417" s="59"/>
    </row>
    <row r="418" s="317" customFormat="1" customHeight="1" spans="1:10">
      <c r="A418" s="128">
        <v>365</v>
      </c>
      <c r="B418" s="152" t="s">
        <v>613</v>
      </c>
      <c r="C418" s="333" t="s">
        <v>1076</v>
      </c>
      <c r="D418" s="151" t="s">
        <v>1102</v>
      </c>
      <c r="E418" s="83">
        <v>153</v>
      </c>
      <c r="F418" s="83">
        <v>153</v>
      </c>
      <c r="G418" s="83">
        <v>-153</v>
      </c>
      <c r="H418" s="83">
        <v>-153</v>
      </c>
      <c r="I418" s="83">
        <f t="shared" si="41"/>
        <v>0</v>
      </c>
      <c r="J418" s="59"/>
    </row>
    <row r="419" s="317" customFormat="1" customHeight="1" spans="1:10">
      <c r="A419" s="128">
        <v>366</v>
      </c>
      <c r="B419" s="152" t="s">
        <v>613</v>
      </c>
      <c r="C419" s="333" t="s">
        <v>1076</v>
      </c>
      <c r="D419" s="151" t="s">
        <v>1103</v>
      </c>
      <c r="E419" s="83">
        <v>0.5</v>
      </c>
      <c r="F419" s="83">
        <v>0</v>
      </c>
      <c r="G419" s="83"/>
      <c r="H419" s="83"/>
      <c r="I419" s="83">
        <f t="shared" si="41"/>
        <v>0.5</v>
      </c>
      <c r="J419" s="59"/>
    </row>
    <row r="420" s="317" customFormat="1" customHeight="1" spans="1:10">
      <c r="A420" s="128">
        <v>367</v>
      </c>
      <c r="B420" s="152" t="s">
        <v>613</v>
      </c>
      <c r="C420" s="333" t="s">
        <v>1076</v>
      </c>
      <c r="D420" s="151" t="s">
        <v>1104</v>
      </c>
      <c r="E420" s="83">
        <v>2</v>
      </c>
      <c r="F420" s="83">
        <v>0</v>
      </c>
      <c r="G420" s="83"/>
      <c r="H420" s="83"/>
      <c r="I420" s="83">
        <f t="shared" si="41"/>
        <v>2</v>
      </c>
      <c r="J420" s="59"/>
    </row>
    <row r="421" s="317" customFormat="1" customHeight="1" spans="1:10">
      <c r="A421" s="128">
        <v>368</v>
      </c>
      <c r="B421" s="152" t="s">
        <v>613</v>
      </c>
      <c r="C421" s="333" t="s">
        <v>1076</v>
      </c>
      <c r="D421" s="151" t="s">
        <v>1105</v>
      </c>
      <c r="E421" s="83">
        <v>10</v>
      </c>
      <c r="F421" s="83">
        <v>10</v>
      </c>
      <c r="G421" s="83">
        <v>-10</v>
      </c>
      <c r="H421" s="83">
        <v>-10</v>
      </c>
      <c r="I421" s="83">
        <f t="shared" si="41"/>
        <v>0</v>
      </c>
      <c r="J421" s="59"/>
    </row>
    <row r="422" s="317" customFormat="1" customHeight="1" spans="1:10">
      <c r="A422" s="128">
        <v>369</v>
      </c>
      <c r="B422" s="152" t="s">
        <v>613</v>
      </c>
      <c r="C422" s="333" t="s">
        <v>1076</v>
      </c>
      <c r="D422" s="151" t="s">
        <v>1106</v>
      </c>
      <c r="E422" s="83">
        <v>155.151</v>
      </c>
      <c r="F422" s="83">
        <v>155.151</v>
      </c>
      <c r="G422" s="83">
        <v>-155.151</v>
      </c>
      <c r="H422" s="83">
        <v>-155.151</v>
      </c>
      <c r="I422" s="83">
        <f t="shared" si="41"/>
        <v>0</v>
      </c>
      <c r="J422" s="59" t="s">
        <v>1107</v>
      </c>
    </row>
    <row r="423" s="317" customFormat="1" customHeight="1" spans="1:10">
      <c r="A423" s="337" t="s">
        <v>1108</v>
      </c>
      <c r="B423" s="338"/>
      <c r="C423" s="339"/>
      <c r="D423" s="340"/>
      <c r="E423" s="138">
        <f>SUM(E395:E422)</f>
        <v>662.417694</v>
      </c>
      <c r="F423" s="138">
        <f>SUM(F395:F422)</f>
        <v>458.162259</v>
      </c>
      <c r="G423" s="138">
        <f>SUM(G395:G422)</f>
        <v>-441.32535</v>
      </c>
      <c r="H423" s="138">
        <f>SUM(H395:H422)</f>
        <v>-441.32535</v>
      </c>
      <c r="I423" s="138">
        <f>SUM(I395:I422)</f>
        <v>221.092344</v>
      </c>
      <c r="J423" s="344"/>
    </row>
    <row r="424" s="317" customFormat="1" customHeight="1" spans="1:10">
      <c r="A424" s="128">
        <v>370</v>
      </c>
      <c r="B424" s="152" t="s">
        <v>613</v>
      </c>
      <c r="C424" s="71" t="s">
        <v>1109</v>
      </c>
      <c r="D424" s="151" t="s">
        <v>1110</v>
      </c>
      <c r="E424" s="83">
        <v>1</v>
      </c>
      <c r="F424" s="83">
        <v>1</v>
      </c>
      <c r="G424" s="83"/>
      <c r="H424" s="83"/>
      <c r="I424" s="83">
        <f t="shared" ref="I424:I427" si="43">E424+H424</f>
        <v>1</v>
      </c>
      <c r="J424" s="59"/>
    </row>
    <row r="425" s="317" customFormat="1" customHeight="1" spans="1:10">
      <c r="A425" s="128">
        <v>371</v>
      </c>
      <c r="B425" s="152" t="s">
        <v>613</v>
      </c>
      <c r="C425" s="71" t="s">
        <v>1109</v>
      </c>
      <c r="D425" s="151" t="s">
        <v>1111</v>
      </c>
      <c r="E425" s="83">
        <v>2</v>
      </c>
      <c r="F425" s="83">
        <v>2</v>
      </c>
      <c r="G425" s="83">
        <v>-2</v>
      </c>
      <c r="H425" s="83">
        <v>-2</v>
      </c>
      <c r="I425" s="83">
        <f t="shared" si="43"/>
        <v>0</v>
      </c>
      <c r="J425" s="59"/>
    </row>
    <row r="426" s="317" customFormat="1" customHeight="1" spans="1:10">
      <c r="A426" s="128">
        <v>372</v>
      </c>
      <c r="B426" s="152" t="s">
        <v>613</v>
      </c>
      <c r="C426" s="71" t="s">
        <v>1109</v>
      </c>
      <c r="D426" s="151" t="s">
        <v>1112</v>
      </c>
      <c r="E426" s="83">
        <v>7.2</v>
      </c>
      <c r="F426" s="83">
        <v>7.2</v>
      </c>
      <c r="G426" s="83">
        <v>-7.2</v>
      </c>
      <c r="H426" s="83">
        <v>-7.2</v>
      </c>
      <c r="I426" s="83">
        <f t="shared" si="43"/>
        <v>0</v>
      </c>
      <c r="J426" s="59"/>
    </row>
    <row r="427" s="317" customFormat="1" customHeight="1" spans="1:10">
      <c r="A427" s="128">
        <v>373</v>
      </c>
      <c r="B427" s="152" t="s">
        <v>613</v>
      </c>
      <c r="C427" s="71" t="s">
        <v>1109</v>
      </c>
      <c r="D427" s="151" t="s">
        <v>1113</v>
      </c>
      <c r="E427" s="83">
        <v>14.636779</v>
      </c>
      <c r="F427" s="83">
        <v>0</v>
      </c>
      <c r="G427" s="83"/>
      <c r="H427" s="83"/>
      <c r="I427" s="83">
        <f t="shared" si="43"/>
        <v>14.636779</v>
      </c>
      <c r="J427" s="59"/>
    </row>
    <row r="428" s="317" customFormat="1" customHeight="1" spans="1:10">
      <c r="A428" s="337" t="s">
        <v>1114</v>
      </c>
      <c r="B428" s="338"/>
      <c r="C428" s="339"/>
      <c r="D428" s="340"/>
      <c r="E428" s="138">
        <f t="shared" ref="E428:I428" si="44">SUM(E424:E427)</f>
        <v>24.836779</v>
      </c>
      <c r="F428" s="83">
        <f t="shared" si="44"/>
        <v>10.2</v>
      </c>
      <c r="G428" s="138">
        <f t="shared" si="44"/>
        <v>-9.2</v>
      </c>
      <c r="H428" s="138">
        <f t="shared" si="44"/>
        <v>-9.2</v>
      </c>
      <c r="I428" s="138">
        <f t="shared" si="44"/>
        <v>15.636779</v>
      </c>
      <c r="J428" s="344"/>
    </row>
    <row r="429" s="317" customFormat="1" customHeight="1" spans="1:10">
      <c r="A429" s="128">
        <v>374</v>
      </c>
      <c r="B429" s="152" t="s">
        <v>613</v>
      </c>
      <c r="C429" s="333" t="s">
        <v>1115</v>
      </c>
      <c r="D429" s="151" t="s">
        <v>1116</v>
      </c>
      <c r="E429" s="83">
        <v>6</v>
      </c>
      <c r="F429" s="83">
        <v>2</v>
      </c>
      <c r="G429" s="83">
        <v>-1</v>
      </c>
      <c r="H429" s="83">
        <v>-1</v>
      </c>
      <c r="I429" s="83">
        <f t="shared" ref="I429:I435" si="45">E429+H429</f>
        <v>5</v>
      </c>
      <c r="J429" s="59"/>
    </row>
    <row r="430" s="317" customFormat="1" customHeight="1" spans="1:10">
      <c r="A430" s="337" t="s">
        <v>1117</v>
      </c>
      <c r="B430" s="338"/>
      <c r="C430" s="339"/>
      <c r="D430" s="340"/>
      <c r="E430" s="138">
        <f t="shared" ref="E430:I430" si="46">E429</f>
        <v>6</v>
      </c>
      <c r="F430" s="83">
        <f t="shared" si="46"/>
        <v>2</v>
      </c>
      <c r="G430" s="138">
        <f t="shared" si="46"/>
        <v>-1</v>
      </c>
      <c r="H430" s="138">
        <f t="shared" si="46"/>
        <v>-1</v>
      </c>
      <c r="I430" s="138">
        <f t="shared" si="46"/>
        <v>5</v>
      </c>
      <c r="J430" s="344"/>
    </row>
    <row r="431" s="317" customFormat="1" customHeight="1" spans="1:10">
      <c r="A431" s="128">
        <v>375</v>
      </c>
      <c r="B431" s="152" t="s">
        <v>613</v>
      </c>
      <c r="C431" s="71" t="s">
        <v>1118</v>
      </c>
      <c r="D431" s="151" t="s">
        <v>1119</v>
      </c>
      <c r="E431" s="83">
        <v>4</v>
      </c>
      <c r="F431" s="332">
        <v>3.85</v>
      </c>
      <c r="G431" s="83"/>
      <c r="H431" s="83"/>
      <c r="I431" s="83">
        <f t="shared" si="45"/>
        <v>4</v>
      </c>
      <c r="J431" s="59"/>
    </row>
    <row r="432" s="317" customFormat="1" customHeight="1" spans="1:10">
      <c r="A432" s="337" t="s">
        <v>1120</v>
      </c>
      <c r="B432" s="338"/>
      <c r="C432" s="339"/>
      <c r="D432" s="340"/>
      <c r="E432" s="138">
        <f t="shared" ref="E432:I432" si="47">E431</f>
        <v>4</v>
      </c>
      <c r="F432" s="83">
        <f t="shared" si="47"/>
        <v>3.85</v>
      </c>
      <c r="G432" s="138">
        <f t="shared" si="47"/>
        <v>0</v>
      </c>
      <c r="H432" s="138">
        <f t="shared" si="47"/>
        <v>0</v>
      </c>
      <c r="I432" s="138">
        <f t="shared" si="47"/>
        <v>4</v>
      </c>
      <c r="J432" s="344"/>
    </row>
    <row r="433" s="317" customFormat="1" customHeight="1" spans="1:10">
      <c r="A433" s="128">
        <v>376</v>
      </c>
      <c r="B433" s="152" t="s">
        <v>613</v>
      </c>
      <c r="C433" s="333" t="s">
        <v>610</v>
      </c>
      <c r="D433" s="151" t="s">
        <v>450</v>
      </c>
      <c r="E433" s="83">
        <v>5</v>
      </c>
      <c r="F433" s="83">
        <v>4</v>
      </c>
      <c r="G433" s="83">
        <v>-4</v>
      </c>
      <c r="H433" s="83">
        <v>-4</v>
      </c>
      <c r="I433" s="83">
        <f t="shared" si="45"/>
        <v>1</v>
      </c>
      <c r="J433" s="59"/>
    </row>
    <row r="434" s="317" customFormat="1" customHeight="1" spans="1:10">
      <c r="A434" s="128">
        <v>377</v>
      </c>
      <c r="B434" s="152" t="s">
        <v>613</v>
      </c>
      <c r="C434" s="333" t="s">
        <v>610</v>
      </c>
      <c r="D434" s="151" t="s">
        <v>446</v>
      </c>
      <c r="E434" s="83">
        <v>2</v>
      </c>
      <c r="F434" s="83">
        <v>1</v>
      </c>
      <c r="G434" s="83"/>
      <c r="H434" s="83"/>
      <c r="I434" s="83">
        <f t="shared" si="45"/>
        <v>2</v>
      </c>
      <c r="J434" s="59"/>
    </row>
    <row r="435" s="317" customFormat="1" customHeight="1" spans="1:10">
      <c r="A435" s="128">
        <v>378</v>
      </c>
      <c r="B435" s="152" t="s">
        <v>613</v>
      </c>
      <c r="C435" s="333" t="s">
        <v>610</v>
      </c>
      <c r="D435" s="151" t="s">
        <v>448</v>
      </c>
      <c r="E435" s="83">
        <v>1</v>
      </c>
      <c r="F435" s="83">
        <v>1</v>
      </c>
      <c r="G435" s="83">
        <v>-1</v>
      </c>
      <c r="H435" s="83">
        <v>-1</v>
      </c>
      <c r="I435" s="83">
        <f t="shared" si="45"/>
        <v>0</v>
      </c>
      <c r="J435" s="59"/>
    </row>
    <row r="436" s="317" customFormat="1" customHeight="1" spans="1:10">
      <c r="A436" s="337" t="s">
        <v>1121</v>
      </c>
      <c r="B436" s="338"/>
      <c r="C436" s="339"/>
      <c r="D436" s="340"/>
      <c r="E436" s="138">
        <f t="shared" ref="E436:I436" si="48">SUM(E433:E435)</f>
        <v>8</v>
      </c>
      <c r="F436" s="83">
        <f t="shared" si="48"/>
        <v>6</v>
      </c>
      <c r="G436" s="138">
        <f t="shared" si="48"/>
        <v>-5</v>
      </c>
      <c r="H436" s="138">
        <f t="shared" si="48"/>
        <v>-5</v>
      </c>
      <c r="I436" s="138">
        <f t="shared" si="48"/>
        <v>3</v>
      </c>
      <c r="J436" s="344"/>
    </row>
    <row r="437" s="317" customFormat="1" customHeight="1" spans="1:10">
      <c r="A437" s="128">
        <v>379</v>
      </c>
      <c r="B437" s="152" t="s">
        <v>624</v>
      </c>
      <c r="C437" s="71" t="s">
        <v>1122</v>
      </c>
      <c r="D437" s="71" t="s">
        <v>1123</v>
      </c>
      <c r="E437" s="83">
        <v>40</v>
      </c>
      <c r="F437" s="332">
        <v>37.636652</v>
      </c>
      <c r="G437" s="83">
        <v>-25</v>
      </c>
      <c r="H437" s="83">
        <v>-25</v>
      </c>
      <c r="I437" s="83">
        <f t="shared" ref="I437:I446" si="49">E437+H437</f>
        <v>15</v>
      </c>
      <c r="J437" s="59"/>
    </row>
    <row r="438" s="317" customFormat="1" customHeight="1" spans="1:10">
      <c r="A438" s="128">
        <v>380</v>
      </c>
      <c r="B438" s="152" t="s">
        <v>624</v>
      </c>
      <c r="C438" s="71" t="s">
        <v>1122</v>
      </c>
      <c r="D438" s="71" t="s">
        <v>1124</v>
      </c>
      <c r="E438" s="83">
        <v>80</v>
      </c>
      <c r="F438" s="332">
        <v>80</v>
      </c>
      <c r="G438" s="83">
        <v>-80</v>
      </c>
      <c r="H438" s="83">
        <v>-80</v>
      </c>
      <c r="I438" s="83">
        <f t="shared" si="49"/>
        <v>0</v>
      </c>
      <c r="J438" s="59"/>
    </row>
    <row r="439" s="317" customFormat="1" customHeight="1" spans="1:10">
      <c r="A439" s="128">
        <v>381</v>
      </c>
      <c r="B439" s="152" t="s">
        <v>624</v>
      </c>
      <c r="C439" s="71" t="s">
        <v>1122</v>
      </c>
      <c r="D439" s="71" t="s">
        <v>1125</v>
      </c>
      <c r="E439" s="83">
        <v>2</v>
      </c>
      <c r="F439" s="332">
        <v>2</v>
      </c>
      <c r="G439" s="83">
        <v>-2</v>
      </c>
      <c r="H439" s="83">
        <v>-2</v>
      </c>
      <c r="I439" s="83">
        <f t="shared" si="49"/>
        <v>0</v>
      </c>
      <c r="J439" s="59"/>
    </row>
    <row r="440" s="317" customFormat="1" customHeight="1" spans="1:10">
      <c r="A440" s="128">
        <v>382</v>
      </c>
      <c r="B440" s="152" t="s">
        <v>624</v>
      </c>
      <c r="C440" s="71" t="s">
        <v>1122</v>
      </c>
      <c r="D440" s="71" t="s">
        <v>1126</v>
      </c>
      <c r="E440" s="83">
        <v>4</v>
      </c>
      <c r="F440" s="332">
        <v>3.52</v>
      </c>
      <c r="G440" s="83">
        <v>-0.5</v>
      </c>
      <c r="H440" s="83">
        <v>-0.5</v>
      </c>
      <c r="I440" s="83">
        <f t="shared" si="49"/>
        <v>3.5</v>
      </c>
      <c r="J440" s="59"/>
    </row>
    <row r="441" s="317" customFormat="1" customHeight="1" spans="1:10">
      <c r="A441" s="128">
        <v>383</v>
      </c>
      <c r="B441" s="152" t="s">
        <v>624</v>
      </c>
      <c r="C441" s="71" t="s">
        <v>1122</v>
      </c>
      <c r="D441" s="71" t="s">
        <v>1127</v>
      </c>
      <c r="E441" s="83">
        <v>6</v>
      </c>
      <c r="F441" s="332">
        <v>0</v>
      </c>
      <c r="G441" s="83"/>
      <c r="H441" s="83"/>
      <c r="I441" s="83">
        <f t="shared" si="49"/>
        <v>6</v>
      </c>
      <c r="J441" s="59"/>
    </row>
    <row r="442" s="317" customFormat="1" customHeight="1" spans="1:10">
      <c r="A442" s="128">
        <v>384</v>
      </c>
      <c r="B442" s="152" t="s">
        <v>624</v>
      </c>
      <c r="C442" s="71" t="s">
        <v>1122</v>
      </c>
      <c r="D442" s="71" t="s">
        <v>1128</v>
      </c>
      <c r="E442" s="83">
        <v>20</v>
      </c>
      <c r="F442" s="332">
        <v>20</v>
      </c>
      <c r="G442" s="83">
        <v>-20</v>
      </c>
      <c r="H442" s="83">
        <v>-20</v>
      </c>
      <c r="I442" s="83">
        <f t="shared" si="49"/>
        <v>0</v>
      </c>
      <c r="J442" s="59"/>
    </row>
    <row r="443" s="317" customFormat="1" customHeight="1" spans="1:10">
      <c r="A443" s="128">
        <v>385</v>
      </c>
      <c r="B443" s="152" t="s">
        <v>624</v>
      </c>
      <c r="C443" s="71" t="s">
        <v>1122</v>
      </c>
      <c r="D443" s="71" t="s">
        <v>1129</v>
      </c>
      <c r="E443" s="83">
        <v>5</v>
      </c>
      <c r="F443" s="332">
        <v>0</v>
      </c>
      <c r="G443" s="83"/>
      <c r="H443" s="83"/>
      <c r="I443" s="83">
        <f t="shared" si="49"/>
        <v>5</v>
      </c>
      <c r="J443" s="59"/>
    </row>
    <row r="444" s="317" customFormat="1" customHeight="1" spans="1:10">
      <c r="A444" s="128">
        <v>386</v>
      </c>
      <c r="B444" s="152" t="s">
        <v>624</v>
      </c>
      <c r="C444" s="71" t="s">
        <v>1122</v>
      </c>
      <c r="D444" s="71" t="s">
        <v>1130</v>
      </c>
      <c r="E444" s="83">
        <v>2</v>
      </c>
      <c r="F444" s="332">
        <v>1.7</v>
      </c>
      <c r="G444" s="83"/>
      <c r="H444" s="83"/>
      <c r="I444" s="83">
        <f t="shared" si="49"/>
        <v>2</v>
      </c>
      <c r="J444" s="59"/>
    </row>
    <row r="445" s="317" customFormat="1" customHeight="1" spans="1:10">
      <c r="A445" s="128">
        <v>387</v>
      </c>
      <c r="B445" s="152" t="s">
        <v>624</v>
      </c>
      <c r="C445" s="71" t="s">
        <v>1122</v>
      </c>
      <c r="D445" s="71" t="s">
        <v>1131</v>
      </c>
      <c r="E445" s="83">
        <v>289</v>
      </c>
      <c r="F445" s="332">
        <v>49.8343</v>
      </c>
      <c r="G445" s="83">
        <v>-49.8343</v>
      </c>
      <c r="H445" s="83">
        <v>-49.8343</v>
      </c>
      <c r="I445" s="83">
        <f t="shared" si="49"/>
        <v>239.1657</v>
      </c>
      <c r="J445" s="59"/>
    </row>
    <row r="446" s="317" customFormat="1" customHeight="1" spans="1:10">
      <c r="A446" s="128">
        <v>388</v>
      </c>
      <c r="B446" s="152" t="s">
        <v>624</v>
      </c>
      <c r="C446" s="71" t="s">
        <v>1122</v>
      </c>
      <c r="D446" s="71" t="s">
        <v>1132</v>
      </c>
      <c r="E446" s="83">
        <v>500</v>
      </c>
      <c r="F446" s="332">
        <v>500</v>
      </c>
      <c r="G446" s="83">
        <v>-500</v>
      </c>
      <c r="H446" s="83">
        <v>-500</v>
      </c>
      <c r="I446" s="83">
        <f t="shared" si="49"/>
        <v>0</v>
      </c>
      <c r="J446" s="59"/>
    </row>
    <row r="447" s="317" customFormat="1" customHeight="1" spans="1:10">
      <c r="A447" s="337" t="s">
        <v>1133</v>
      </c>
      <c r="B447" s="338"/>
      <c r="C447" s="339"/>
      <c r="D447" s="340"/>
      <c r="E447" s="138">
        <f t="shared" ref="E447:I447" si="50">SUM(E437:E446)</f>
        <v>948</v>
      </c>
      <c r="F447" s="83">
        <f t="shared" si="50"/>
        <v>694.690952</v>
      </c>
      <c r="G447" s="138">
        <f t="shared" si="50"/>
        <v>-677.3343</v>
      </c>
      <c r="H447" s="138">
        <f t="shared" si="50"/>
        <v>-677.3343</v>
      </c>
      <c r="I447" s="138">
        <f t="shared" si="50"/>
        <v>270.6657</v>
      </c>
      <c r="J447" s="344"/>
    </row>
    <row r="448" s="317" customFormat="1" customHeight="1" spans="1:10">
      <c r="A448" s="128">
        <v>389</v>
      </c>
      <c r="B448" s="152" t="s">
        <v>624</v>
      </c>
      <c r="C448" s="71" t="s">
        <v>1134</v>
      </c>
      <c r="D448" s="71" t="s">
        <v>1135</v>
      </c>
      <c r="E448" s="83">
        <v>2</v>
      </c>
      <c r="F448" s="332">
        <v>0</v>
      </c>
      <c r="G448" s="83"/>
      <c r="H448" s="83"/>
      <c r="I448" s="83">
        <f>E448+H448</f>
        <v>2</v>
      </c>
      <c r="J448" s="59"/>
    </row>
    <row r="449" s="317" customFormat="1" customHeight="1" spans="1:10">
      <c r="A449" s="128">
        <v>390</v>
      </c>
      <c r="B449" s="152" t="s">
        <v>624</v>
      </c>
      <c r="C449" s="71" t="s">
        <v>1134</v>
      </c>
      <c r="D449" s="71" t="s">
        <v>1136</v>
      </c>
      <c r="E449" s="83">
        <v>2.5</v>
      </c>
      <c r="F449" s="332">
        <v>2.5</v>
      </c>
      <c r="G449" s="83">
        <v>-1</v>
      </c>
      <c r="H449" s="83">
        <v>-1</v>
      </c>
      <c r="I449" s="83">
        <f>E449+H449</f>
        <v>1.5</v>
      </c>
      <c r="J449" s="59"/>
    </row>
    <row r="450" s="317" customFormat="1" customHeight="1" spans="1:10">
      <c r="A450" s="337" t="s">
        <v>1137</v>
      </c>
      <c r="B450" s="338"/>
      <c r="C450" s="339"/>
      <c r="D450" s="340"/>
      <c r="E450" s="138">
        <f>SUM(E448:E449)</f>
        <v>4.5</v>
      </c>
      <c r="F450" s="138">
        <f>SUM(F448:F449)</f>
        <v>2.5</v>
      </c>
      <c r="G450" s="138">
        <f>SUM(G448:G449)</f>
        <v>-1</v>
      </c>
      <c r="H450" s="138">
        <f>SUM(H448:H449)</f>
        <v>-1</v>
      </c>
      <c r="I450" s="138">
        <f>SUM(I448:I449)</f>
        <v>3.5</v>
      </c>
      <c r="J450" s="165"/>
    </row>
    <row r="451" s="317" customFormat="1" customHeight="1" spans="1:10">
      <c r="A451" s="128">
        <v>391</v>
      </c>
      <c r="B451" s="152" t="s">
        <v>624</v>
      </c>
      <c r="C451" s="71" t="s">
        <v>1138</v>
      </c>
      <c r="D451" s="71" t="s">
        <v>1139</v>
      </c>
      <c r="E451" s="83">
        <v>2</v>
      </c>
      <c r="F451" s="332">
        <v>2</v>
      </c>
      <c r="G451" s="83">
        <v>-2</v>
      </c>
      <c r="H451" s="83">
        <v>-2</v>
      </c>
      <c r="I451" s="83">
        <f t="shared" ref="I451:I454" si="51">E451+H451</f>
        <v>0</v>
      </c>
      <c r="J451" s="59"/>
    </row>
    <row r="452" s="317" customFormat="1" customHeight="1" spans="1:10">
      <c r="A452" s="128">
        <v>392</v>
      </c>
      <c r="B452" s="152" t="s">
        <v>624</v>
      </c>
      <c r="C452" s="71" t="s">
        <v>1138</v>
      </c>
      <c r="D452" s="71" t="s">
        <v>1140</v>
      </c>
      <c r="E452" s="83">
        <v>1.5</v>
      </c>
      <c r="F452" s="332">
        <v>1.5</v>
      </c>
      <c r="G452" s="83"/>
      <c r="H452" s="83"/>
      <c r="I452" s="83">
        <f t="shared" si="51"/>
        <v>1.5</v>
      </c>
      <c r="J452" s="59"/>
    </row>
    <row r="453" s="317" customFormat="1" customHeight="1" spans="1:10">
      <c r="A453" s="337" t="s">
        <v>1141</v>
      </c>
      <c r="B453" s="338"/>
      <c r="C453" s="339"/>
      <c r="D453" s="340"/>
      <c r="E453" s="138">
        <f t="shared" ref="E453:I453" si="52">SUM(E451:E452)</f>
        <v>3.5</v>
      </c>
      <c r="F453" s="83">
        <f t="shared" si="52"/>
        <v>3.5</v>
      </c>
      <c r="G453" s="138">
        <f t="shared" si="52"/>
        <v>-2</v>
      </c>
      <c r="H453" s="138">
        <f t="shared" si="52"/>
        <v>-2</v>
      </c>
      <c r="I453" s="138">
        <f t="shared" si="52"/>
        <v>1.5</v>
      </c>
      <c r="J453" s="344"/>
    </row>
    <row r="454" s="317" customFormat="1" customHeight="1" spans="1:10">
      <c r="A454" s="128">
        <v>393</v>
      </c>
      <c r="B454" s="152" t="s">
        <v>624</v>
      </c>
      <c r="C454" s="71" t="s">
        <v>1142</v>
      </c>
      <c r="D454" s="71" t="s">
        <v>1143</v>
      </c>
      <c r="E454" s="83">
        <v>2</v>
      </c>
      <c r="F454" s="83">
        <v>0.418691</v>
      </c>
      <c r="G454" s="83"/>
      <c r="H454" s="83"/>
      <c r="I454" s="83">
        <f t="shared" si="51"/>
        <v>2</v>
      </c>
      <c r="J454" s="59"/>
    </row>
    <row r="455" s="317" customFormat="1" customHeight="1" spans="1:10">
      <c r="A455" s="337" t="s">
        <v>1144</v>
      </c>
      <c r="B455" s="338"/>
      <c r="C455" s="339"/>
      <c r="D455" s="340"/>
      <c r="E455" s="138">
        <f t="shared" ref="E455:I455" si="53">SUM(E454)</f>
        <v>2</v>
      </c>
      <c r="F455" s="83">
        <f t="shared" si="53"/>
        <v>0.418691</v>
      </c>
      <c r="G455" s="138">
        <f t="shared" si="53"/>
        <v>0</v>
      </c>
      <c r="H455" s="138">
        <f t="shared" si="53"/>
        <v>0</v>
      </c>
      <c r="I455" s="138">
        <f t="shared" si="53"/>
        <v>2</v>
      </c>
      <c r="J455" s="344"/>
    </row>
    <row r="456" s="317" customFormat="1" customHeight="1" spans="1:10">
      <c r="A456" s="128">
        <v>394</v>
      </c>
      <c r="B456" s="152" t="s">
        <v>601</v>
      </c>
      <c r="C456" s="71" t="s">
        <v>1145</v>
      </c>
      <c r="D456" s="71" t="s">
        <v>1146</v>
      </c>
      <c r="E456" s="142">
        <v>3.9</v>
      </c>
      <c r="F456" s="353">
        <v>3.9</v>
      </c>
      <c r="G456" s="142">
        <v>-3.9</v>
      </c>
      <c r="H456" s="142">
        <v>-3.9</v>
      </c>
      <c r="I456" s="83">
        <f t="shared" ref="I456:I490" si="54">E456+H456</f>
        <v>0</v>
      </c>
      <c r="J456" s="356"/>
    </row>
    <row r="457" s="317" customFormat="1" customHeight="1" spans="1:10">
      <c r="A457" s="128">
        <v>395</v>
      </c>
      <c r="B457" s="152" t="s">
        <v>601</v>
      </c>
      <c r="C457" s="71" t="s">
        <v>1145</v>
      </c>
      <c r="D457" s="71" t="s">
        <v>1147</v>
      </c>
      <c r="E457" s="142">
        <v>10.02</v>
      </c>
      <c r="F457" s="353">
        <v>0</v>
      </c>
      <c r="G457" s="142"/>
      <c r="H457" s="142"/>
      <c r="I457" s="83">
        <f t="shared" si="54"/>
        <v>10.02</v>
      </c>
      <c r="J457" s="71"/>
    </row>
    <row r="458" s="317" customFormat="1" customHeight="1" spans="1:10">
      <c r="A458" s="128">
        <v>396</v>
      </c>
      <c r="B458" s="152" t="s">
        <v>601</v>
      </c>
      <c r="C458" s="71" t="s">
        <v>1145</v>
      </c>
      <c r="D458" s="71" t="s">
        <v>1148</v>
      </c>
      <c r="E458" s="142">
        <v>1900</v>
      </c>
      <c r="F458" s="353">
        <v>941.52</v>
      </c>
      <c r="G458" s="142">
        <v>-502.897171</v>
      </c>
      <c r="H458" s="142">
        <v>-502.897171</v>
      </c>
      <c r="I458" s="83">
        <f t="shared" si="54"/>
        <v>1397.102829</v>
      </c>
      <c r="J458" s="356" t="s">
        <v>1149</v>
      </c>
    </row>
    <row r="459" s="317" customFormat="1" customHeight="1" spans="1:10">
      <c r="A459" s="128">
        <v>397</v>
      </c>
      <c r="B459" s="152" t="s">
        <v>601</v>
      </c>
      <c r="C459" s="71" t="s">
        <v>1145</v>
      </c>
      <c r="D459" s="71" t="s">
        <v>1150</v>
      </c>
      <c r="E459" s="83">
        <v>150</v>
      </c>
      <c r="F459" s="332">
        <v>80.12</v>
      </c>
      <c r="G459" s="83">
        <v>-76.119</v>
      </c>
      <c r="H459" s="83">
        <v>-76.119</v>
      </c>
      <c r="I459" s="83">
        <f t="shared" si="54"/>
        <v>73.881</v>
      </c>
      <c r="J459" s="71"/>
    </row>
    <row r="460" s="317" customFormat="1" customHeight="1" spans="1:10">
      <c r="A460" s="128">
        <v>398</v>
      </c>
      <c r="B460" s="152" t="s">
        <v>601</v>
      </c>
      <c r="C460" s="71" t="s">
        <v>1145</v>
      </c>
      <c r="D460" s="71" t="s">
        <v>1151</v>
      </c>
      <c r="E460" s="83">
        <v>6</v>
      </c>
      <c r="F460" s="332">
        <v>2.09</v>
      </c>
      <c r="G460" s="83"/>
      <c r="H460" s="83"/>
      <c r="I460" s="83">
        <f t="shared" si="54"/>
        <v>6</v>
      </c>
      <c r="J460" s="71"/>
    </row>
    <row r="461" s="317" customFormat="1" customHeight="1" spans="1:10">
      <c r="A461" s="128">
        <v>399</v>
      </c>
      <c r="B461" s="152" t="s">
        <v>601</v>
      </c>
      <c r="C461" s="71" t="s">
        <v>1145</v>
      </c>
      <c r="D461" s="71" t="s">
        <v>1152</v>
      </c>
      <c r="E461" s="83">
        <v>170</v>
      </c>
      <c r="F461" s="332">
        <v>170</v>
      </c>
      <c r="G461" s="83">
        <v>-158.23345</v>
      </c>
      <c r="H461" s="83">
        <v>-158.23345</v>
      </c>
      <c r="I461" s="83">
        <f t="shared" si="54"/>
        <v>11.76655</v>
      </c>
      <c r="J461" s="71" t="s">
        <v>1153</v>
      </c>
    </row>
    <row r="462" s="317" customFormat="1" customHeight="1" spans="1:10">
      <c r="A462" s="128">
        <v>400</v>
      </c>
      <c r="B462" s="152" t="s">
        <v>601</v>
      </c>
      <c r="C462" s="71" t="s">
        <v>1145</v>
      </c>
      <c r="D462" s="71" t="s">
        <v>1154</v>
      </c>
      <c r="E462" s="83">
        <v>2</v>
      </c>
      <c r="F462" s="332">
        <v>0</v>
      </c>
      <c r="G462" s="83"/>
      <c r="H462" s="83"/>
      <c r="I462" s="83">
        <f t="shared" si="54"/>
        <v>2</v>
      </c>
      <c r="J462" s="71"/>
    </row>
    <row r="463" s="317" customFormat="1" customHeight="1" spans="1:10">
      <c r="A463" s="128">
        <v>401</v>
      </c>
      <c r="B463" s="152" t="s">
        <v>601</v>
      </c>
      <c r="C463" s="71" t="s">
        <v>1145</v>
      </c>
      <c r="D463" s="71" t="s">
        <v>1155</v>
      </c>
      <c r="E463" s="83">
        <v>1</v>
      </c>
      <c r="F463" s="332">
        <v>0</v>
      </c>
      <c r="G463" s="83"/>
      <c r="H463" s="83"/>
      <c r="I463" s="83">
        <f t="shared" si="54"/>
        <v>1</v>
      </c>
      <c r="J463" s="71"/>
    </row>
    <row r="464" s="317" customFormat="1" customHeight="1" spans="1:10">
      <c r="A464" s="128">
        <v>402</v>
      </c>
      <c r="B464" s="152" t="s">
        <v>601</v>
      </c>
      <c r="C464" s="71" t="s">
        <v>1145</v>
      </c>
      <c r="D464" s="71" t="s">
        <v>1156</v>
      </c>
      <c r="E464" s="83">
        <v>1.5</v>
      </c>
      <c r="F464" s="332">
        <v>0</v>
      </c>
      <c r="G464" s="83"/>
      <c r="H464" s="83"/>
      <c r="I464" s="83">
        <f t="shared" si="54"/>
        <v>1.5</v>
      </c>
      <c r="J464" s="71"/>
    </row>
    <row r="465" s="317" customFormat="1" customHeight="1" spans="1:10">
      <c r="A465" s="128">
        <v>403</v>
      </c>
      <c r="B465" s="152" t="s">
        <v>601</v>
      </c>
      <c r="C465" s="71" t="s">
        <v>1145</v>
      </c>
      <c r="D465" s="71" t="s">
        <v>1157</v>
      </c>
      <c r="E465" s="83">
        <v>2</v>
      </c>
      <c r="F465" s="332">
        <v>0</v>
      </c>
      <c r="G465" s="83"/>
      <c r="H465" s="83"/>
      <c r="I465" s="83">
        <f t="shared" si="54"/>
        <v>2</v>
      </c>
      <c r="J465" s="71"/>
    </row>
    <row r="466" s="317" customFormat="1" customHeight="1" spans="1:10">
      <c r="A466" s="128">
        <v>404</v>
      </c>
      <c r="B466" s="152" t="s">
        <v>601</v>
      </c>
      <c r="C466" s="71" t="s">
        <v>1145</v>
      </c>
      <c r="D466" s="71" t="s">
        <v>1158</v>
      </c>
      <c r="E466" s="83">
        <v>4.5</v>
      </c>
      <c r="F466" s="332">
        <v>0</v>
      </c>
      <c r="G466" s="83"/>
      <c r="H466" s="83"/>
      <c r="I466" s="83">
        <f t="shared" si="54"/>
        <v>4.5</v>
      </c>
      <c r="J466" s="71"/>
    </row>
    <row r="467" s="317" customFormat="1" customHeight="1" spans="1:10">
      <c r="A467" s="128">
        <v>405</v>
      </c>
      <c r="B467" s="152" t="s">
        <v>601</v>
      </c>
      <c r="C467" s="71" t="s">
        <v>1145</v>
      </c>
      <c r="D467" s="71" t="s">
        <v>1159</v>
      </c>
      <c r="E467" s="83">
        <v>2</v>
      </c>
      <c r="F467" s="332">
        <v>0</v>
      </c>
      <c r="G467" s="83"/>
      <c r="H467" s="83"/>
      <c r="I467" s="83">
        <f t="shared" si="54"/>
        <v>2</v>
      </c>
      <c r="J467" s="71"/>
    </row>
    <row r="468" s="317" customFormat="1" customHeight="1" spans="1:10">
      <c r="A468" s="128">
        <v>406</v>
      </c>
      <c r="B468" s="152" t="s">
        <v>601</v>
      </c>
      <c r="C468" s="71" t="s">
        <v>1145</v>
      </c>
      <c r="D468" s="71" t="s">
        <v>1160</v>
      </c>
      <c r="E468" s="83">
        <v>2</v>
      </c>
      <c r="F468" s="332">
        <v>0</v>
      </c>
      <c r="G468" s="83"/>
      <c r="H468" s="83"/>
      <c r="I468" s="83">
        <f t="shared" si="54"/>
        <v>2</v>
      </c>
      <c r="J468" s="71"/>
    </row>
    <row r="469" s="317" customFormat="1" customHeight="1" spans="1:10">
      <c r="A469" s="128">
        <v>407</v>
      </c>
      <c r="B469" s="152" t="s">
        <v>601</v>
      </c>
      <c r="C469" s="71" t="s">
        <v>1145</v>
      </c>
      <c r="D469" s="71" t="s">
        <v>1161</v>
      </c>
      <c r="E469" s="83">
        <v>2</v>
      </c>
      <c r="F469" s="332">
        <v>0</v>
      </c>
      <c r="G469" s="83"/>
      <c r="H469" s="83"/>
      <c r="I469" s="83">
        <f t="shared" si="54"/>
        <v>2</v>
      </c>
      <c r="J469" s="71"/>
    </row>
    <row r="470" s="317" customFormat="1" customHeight="1" spans="1:10">
      <c r="A470" s="128">
        <v>408</v>
      </c>
      <c r="B470" s="152" t="s">
        <v>601</v>
      </c>
      <c r="C470" s="71" t="s">
        <v>1145</v>
      </c>
      <c r="D470" s="71" t="s">
        <v>1162</v>
      </c>
      <c r="E470" s="83">
        <v>69</v>
      </c>
      <c r="F470" s="332">
        <v>7.47</v>
      </c>
      <c r="G470" s="83">
        <v>-7.466</v>
      </c>
      <c r="H470" s="83">
        <v>-7.466</v>
      </c>
      <c r="I470" s="83">
        <f t="shared" si="54"/>
        <v>61.534</v>
      </c>
      <c r="J470" s="71" t="s">
        <v>1163</v>
      </c>
    </row>
    <row r="471" s="317" customFormat="1" customHeight="1" spans="1:10">
      <c r="A471" s="128">
        <v>409</v>
      </c>
      <c r="B471" s="152" t="s">
        <v>601</v>
      </c>
      <c r="C471" s="71" t="s">
        <v>1145</v>
      </c>
      <c r="D471" s="71" t="s">
        <v>1164</v>
      </c>
      <c r="E471" s="83">
        <v>5</v>
      </c>
      <c r="F471" s="332">
        <v>5</v>
      </c>
      <c r="G471" s="83">
        <v>-5</v>
      </c>
      <c r="H471" s="83">
        <v>-5</v>
      </c>
      <c r="I471" s="83">
        <f t="shared" si="54"/>
        <v>0</v>
      </c>
      <c r="J471" s="71" t="s">
        <v>1165</v>
      </c>
    </row>
    <row r="472" s="317" customFormat="1" customHeight="1" spans="1:10">
      <c r="A472" s="128">
        <v>410</v>
      </c>
      <c r="B472" s="152" t="s">
        <v>601</v>
      </c>
      <c r="C472" s="71" t="s">
        <v>1145</v>
      </c>
      <c r="D472" s="71" t="s">
        <v>1166</v>
      </c>
      <c r="E472" s="83">
        <v>15</v>
      </c>
      <c r="F472" s="332">
        <v>5.14</v>
      </c>
      <c r="G472" s="83">
        <v>-5.1385</v>
      </c>
      <c r="H472" s="83">
        <v>-5.1385</v>
      </c>
      <c r="I472" s="83">
        <f t="shared" si="54"/>
        <v>9.8615</v>
      </c>
      <c r="J472" s="356"/>
    </row>
    <row r="473" s="317" customFormat="1" customHeight="1" spans="1:10">
      <c r="A473" s="128">
        <v>411</v>
      </c>
      <c r="B473" s="152" t="s">
        <v>601</v>
      </c>
      <c r="C473" s="71" t="s">
        <v>1145</v>
      </c>
      <c r="D473" s="71" t="s">
        <v>1167</v>
      </c>
      <c r="E473" s="83">
        <v>3</v>
      </c>
      <c r="F473" s="332">
        <v>0</v>
      </c>
      <c r="G473" s="83"/>
      <c r="H473" s="83"/>
      <c r="I473" s="83">
        <f t="shared" si="54"/>
        <v>3</v>
      </c>
      <c r="J473" s="71"/>
    </row>
    <row r="474" s="317" customFormat="1" customHeight="1" spans="1:10">
      <c r="A474" s="128">
        <v>412</v>
      </c>
      <c r="B474" s="152" t="s">
        <v>601</v>
      </c>
      <c r="C474" s="71" t="s">
        <v>1145</v>
      </c>
      <c r="D474" s="71" t="s">
        <v>1168</v>
      </c>
      <c r="E474" s="83">
        <v>5</v>
      </c>
      <c r="F474" s="332">
        <v>5</v>
      </c>
      <c r="G474" s="83">
        <v>-5</v>
      </c>
      <c r="H474" s="83">
        <v>-5</v>
      </c>
      <c r="I474" s="83">
        <f t="shared" si="54"/>
        <v>0</v>
      </c>
      <c r="J474" s="356"/>
    </row>
    <row r="475" s="317" customFormat="1" customHeight="1" spans="1:10">
      <c r="A475" s="128">
        <v>413</v>
      </c>
      <c r="B475" s="152" t="s">
        <v>601</v>
      </c>
      <c r="C475" s="71" t="s">
        <v>1145</v>
      </c>
      <c r="D475" s="71" t="s">
        <v>1169</v>
      </c>
      <c r="E475" s="83">
        <v>1</v>
      </c>
      <c r="F475" s="332">
        <v>0.33</v>
      </c>
      <c r="G475" s="83">
        <v>-0.33</v>
      </c>
      <c r="H475" s="83">
        <v>-0.33</v>
      </c>
      <c r="I475" s="83">
        <f t="shared" si="54"/>
        <v>0.67</v>
      </c>
      <c r="J475" s="71" t="s">
        <v>1170</v>
      </c>
    </row>
    <row r="476" s="317" customFormat="1" customHeight="1" spans="1:10">
      <c r="A476" s="128">
        <v>414</v>
      </c>
      <c r="B476" s="152" t="s">
        <v>601</v>
      </c>
      <c r="C476" s="71" t="s">
        <v>1145</v>
      </c>
      <c r="D476" s="71" t="s">
        <v>1171</v>
      </c>
      <c r="E476" s="83">
        <v>5</v>
      </c>
      <c r="F476" s="332">
        <v>0</v>
      </c>
      <c r="G476" s="83"/>
      <c r="H476" s="83"/>
      <c r="I476" s="83">
        <f t="shared" si="54"/>
        <v>5</v>
      </c>
      <c r="J476" s="71"/>
    </row>
    <row r="477" s="317" customFormat="1" customHeight="1" spans="1:10">
      <c r="A477" s="128">
        <v>415</v>
      </c>
      <c r="B477" s="152" t="s">
        <v>601</v>
      </c>
      <c r="C477" s="71" t="s">
        <v>1145</v>
      </c>
      <c r="D477" s="71" t="s">
        <v>1172</v>
      </c>
      <c r="E477" s="83">
        <v>11.23</v>
      </c>
      <c r="F477" s="332">
        <v>0</v>
      </c>
      <c r="G477" s="83"/>
      <c r="H477" s="83"/>
      <c r="I477" s="83">
        <f t="shared" si="54"/>
        <v>11.23</v>
      </c>
      <c r="J477" s="71" t="s">
        <v>1173</v>
      </c>
    </row>
    <row r="478" s="317" customFormat="1" customHeight="1" spans="1:10">
      <c r="A478" s="128">
        <v>416</v>
      </c>
      <c r="B478" s="152" t="s">
        <v>601</v>
      </c>
      <c r="C478" s="71" t="s">
        <v>1145</v>
      </c>
      <c r="D478" s="71" t="s">
        <v>1174</v>
      </c>
      <c r="E478" s="83">
        <v>3</v>
      </c>
      <c r="F478" s="332">
        <v>2.23</v>
      </c>
      <c r="G478" s="83">
        <v>-2.232</v>
      </c>
      <c r="H478" s="83">
        <v>-2.232</v>
      </c>
      <c r="I478" s="83">
        <f t="shared" si="54"/>
        <v>0.768</v>
      </c>
      <c r="J478" s="71" t="s">
        <v>1175</v>
      </c>
    </row>
    <row r="479" s="317" customFormat="1" customHeight="1" spans="1:10">
      <c r="A479" s="128">
        <v>417</v>
      </c>
      <c r="B479" s="152" t="s">
        <v>601</v>
      </c>
      <c r="C479" s="71" t="s">
        <v>1145</v>
      </c>
      <c r="D479" s="71" t="s">
        <v>1176</v>
      </c>
      <c r="E479" s="83">
        <v>6.65</v>
      </c>
      <c r="F479" s="332">
        <v>4.3</v>
      </c>
      <c r="G479" s="83">
        <v>-4.3</v>
      </c>
      <c r="H479" s="83">
        <v>-4.3</v>
      </c>
      <c r="I479" s="83">
        <f t="shared" si="54"/>
        <v>2.35</v>
      </c>
      <c r="J479" s="71"/>
    </row>
    <row r="480" s="317" customFormat="1" customHeight="1" spans="1:10">
      <c r="A480" s="128">
        <v>418</v>
      </c>
      <c r="B480" s="152" t="s">
        <v>601</v>
      </c>
      <c r="C480" s="71" t="s">
        <v>1145</v>
      </c>
      <c r="D480" s="71" t="s">
        <v>1177</v>
      </c>
      <c r="E480" s="83">
        <v>15</v>
      </c>
      <c r="F480" s="332">
        <v>12.66</v>
      </c>
      <c r="G480" s="83">
        <v>-12.659952</v>
      </c>
      <c r="H480" s="83">
        <v>-12.659952</v>
      </c>
      <c r="I480" s="83">
        <f t="shared" si="54"/>
        <v>2.340048</v>
      </c>
      <c r="J480" s="71"/>
    </row>
    <row r="481" s="317" customFormat="1" customHeight="1" spans="1:10">
      <c r="A481" s="128">
        <v>419</v>
      </c>
      <c r="B481" s="152" t="s">
        <v>601</v>
      </c>
      <c r="C481" s="71" t="s">
        <v>1145</v>
      </c>
      <c r="D481" s="71" t="s">
        <v>1178</v>
      </c>
      <c r="E481" s="83">
        <v>33</v>
      </c>
      <c r="F481" s="332">
        <v>1.09</v>
      </c>
      <c r="G481" s="83">
        <v>-1.0892</v>
      </c>
      <c r="H481" s="83">
        <v>-1.0892</v>
      </c>
      <c r="I481" s="83">
        <f t="shared" si="54"/>
        <v>31.9108</v>
      </c>
      <c r="J481" s="71" t="s">
        <v>1179</v>
      </c>
    </row>
    <row r="482" s="317" customFormat="1" customHeight="1" spans="1:10">
      <c r="A482" s="128">
        <v>420</v>
      </c>
      <c r="B482" s="152" t="s">
        <v>601</v>
      </c>
      <c r="C482" s="71" t="s">
        <v>1145</v>
      </c>
      <c r="D482" s="71" t="s">
        <v>1180</v>
      </c>
      <c r="E482" s="83">
        <v>84</v>
      </c>
      <c r="F482" s="332">
        <v>0</v>
      </c>
      <c r="G482" s="83"/>
      <c r="H482" s="83"/>
      <c r="I482" s="83">
        <f t="shared" si="54"/>
        <v>84</v>
      </c>
      <c r="J482" s="71"/>
    </row>
    <row r="483" s="317" customFormat="1" customHeight="1" spans="1:10">
      <c r="A483" s="128">
        <v>421</v>
      </c>
      <c r="B483" s="152" t="s">
        <v>601</v>
      </c>
      <c r="C483" s="71" t="s">
        <v>1145</v>
      </c>
      <c r="D483" s="71" t="s">
        <v>1181</v>
      </c>
      <c r="E483" s="83">
        <v>32.49</v>
      </c>
      <c r="F483" s="332">
        <v>5.77</v>
      </c>
      <c r="G483" s="83">
        <v>-0.67</v>
      </c>
      <c r="H483" s="83">
        <v>-0.67</v>
      </c>
      <c r="I483" s="83">
        <f t="shared" si="54"/>
        <v>31.82</v>
      </c>
      <c r="J483" s="71" t="s">
        <v>1182</v>
      </c>
    </row>
    <row r="484" s="317" customFormat="1" customHeight="1" spans="1:10">
      <c r="A484" s="128">
        <v>422</v>
      </c>
      <c r="B484" s="152" t="s">
        <v>601</v>
      </c>
      <c r="C484" s="71" t="s">
        <v>1145</v>
      </c>
      <c r="D484" s="71" t="s">
        <v>1183</v>
      </c>
      <c r="E484" s="83">
        <v>3</v>
      </c>
      <c r="F484" s="332">
        <v>1.7</v>
      </c>
      <c r="G484" s="83">
        <v>-1.698</v>
      </c>
      <c r="H484" s="83">
        <v>-1.698</v>
      </c>
      <c r="I484" s="83">
        <f t="shared" si="54"/>
        <v>1.302</v>
      </c>
      <c r="J484" s="71" t="s">
        <v>1184</v>
      </c>
    </row>
    <row r="485" s="317" customFormat="1" customHeight="1" spans="1:10">
      <c r="A485" s="128">
        <v>423</v>
      </c>
      <c r="B485" s="152" t="s">
        <v>601</v>
      </c>
      <c r="C485" s="71" t="s">
        <v>1145</v>
      </c>
      <c r="D485" s="71" t="s">
        <v>1185</v>
      </c>
      <c r="E485" s="83">
        <v>6.5</v>
      </c>
      <c r="F485" s="332">
        <v>2.03</v>
      </c>
      <c r="G485" s="83">
        <v>-2.034</v>
      </c>
      <c r="H485" s="83">
        <v>-2.034</v>
      </c>
      <c r="I485" s="83">
        <f t="shared" si="54"/>
        <v>4.466</v>
      </c>
      <c r="J485" s="71" t="s">
        <v>1186</v>
      </c>
    </row>
    <row r="486" s="317" customFormat="1" customHeight="1" spans="1:10">
      <c r="A486" s="128">
        <v>424</v>
      </c>
      <c r="B486" s="152" t="s">
        <v>601</v>
      </c>
      <c r="C486" s="71" t="s">
        <v>1145</v>
      </c>
      <c r="D486" s="71" t="s">
        <v>1187</v>
      </c>
      <c r="E486" s="83">
        <v>147</v>
      </c>
      <c r="F486" s="332">
        <v>132.66</v>
      </c>
      <c r="G486" s="83">
        <v>-66.43563</v>
      </c>
      <c r="H486" s="83">
        <v>-66.43563</v>
      </c>
      <c r="I486" s="83">
        <f t="shared" si="54"/>
        <v>80.56437</v>
      </c>
      <c r="J486" s="356" t="s">
        <v>1188</v>
      </c>
    </row>
    <row r="487" s="317" customFormat="1" customHeight="1" spans="1:10">
      <c r="A487" s="128">
        <v>425</v>
      </c>
      <c r="B487" s="152" t="s">
        <v>601</v>
      </c>
      <c r="C487" s="71" t="s">
        <v>1145</v>
      </c>
      <c r="D487" s="71" t="s">
        <v>1189</v>
      </c>
      <c r="E487" s="83">
        <v>18</v>
      </c>
      <c r="F487" s="332">
        <v>18</v>
      </c>
      <c r="G487" s="83">
        <v>-15.5515</v>
      </c>
      <c r="H487" s="83">
        <v>-15.5515</v>
      </c>
      <c r="I487" s="83">
        <f t="shared" si="54"/>
        <v>2.4485</v>
      </c>
      <c r="J487" s="71"/>
    </row>
    <row r="488" s="317" customFormat="1" ht="50" customHeight="1" spans="1:10">
      <c r="A488" s="128">
        <v>426</v>
      </c>
      <c r="B488" s="152" t="s">
        <v>601</v>
      </c>
      <c r="C488" s="71" t="s">
        <v>1145</v>
      </c>
      <c r="D488" s="71" t="s">
        <v>1190</v>
      </c>
      <c r="E488" s="83">
        <v>24</v>
      </c>
      <c r="F488" s="332">
        <v>24</v>
      </c>
      <c r="G488" s="83">
        <v>-24</v>
      </c>
      <c r="H488" s="83">
        <v>-24</v>
      </c>
      <c r="I488" s="83">
        <f t="shared" si="54"/>
        <v>0</v>
      </c>
      <c r="J488" s="356" t="s">
        <v>1191</v>
      </c>
    </row>
    <row r="489" s="317" customFormat="1" customHeight="1" spans="1:10">
      <c r="A489" s="337" t="s">
        <v>1192</v>
      </c>
      <c r="B489" s="338"/>
      <c r="C489" s="339"/>
      <c r="D489" s="340"/>
      <c r="E489" s="138">
        <f>SUM(E456:E488)</f>
        <v>2743.79</v>
      </c>
      <c r="F489" s="138">
        <f>SUM(F456:F488)</f>
        <v>1425.01</v>
      </c>
      <c r="G489" s="138">
        <f>SUM(G456:G488)</f>
        <v>-894.754403</v>
      </c>
      <c r="H489" s="138">
        <f>SUM(H456:H488)</f>
        <v>-894.754403</v>
      </c>
      <c r="I489" s="138">
        <f>SUM(I456:I488)</f>
        <v>1849.035597</v>
      </c>
      <c r="J489" s="165"/>
    </row>
    <row r="490" s="317" customFormat="1" customHeight="1" spans="1:10">
      <c r="A490" s="128">
        <v>427</v>
      </c>
      <c r="B490" s="152" t="s">
        <v>601</v>
      </c>
      <c r="C490" s="71" t="s">
        <v>1193</v>
      </c>
      <c r="D490" s="71" t="s">
        <v>1194</v>
      </c>
      <c r="E490" s="142">
        <v>27</v>
      </c>
      <c r="F490" s="142">
        <v>27</v>
      </c>
      <c r="G490" s="142">
        <v>-27</v>
      </c>
      <c r="H490" s="142">
        <v>-27</v>
      </c>
      <c r="I490" s="83">
        <f t="shared" ref="I490:I492" si="55">E490+H490</f>
        <v>0</v>
      </c>
      <c r="J490" s="71" t="s">
        <v>1195</v>
      </c>
    </row>
    <row r="491" s="317" customFormat="1" customHeight="1" spans="1:10">
      <c r="A491" s="128">
        <v>428</v>
      </c>
      <c r="B491" s="152" t="s">
        <v>601</v>
      </c>
      <c r="C491" s="71" t="s">
        <v>1193</v>
      </c>
      <c r="D491" s="71" t="s">
        <v>1196</v>
      </c>
      <c r="E491" s="142">
        <v>4</v>
      </c>
      <c r="F491" s="142">
        <v>2.86</v>
      </c>
      <c r="G491" s="142">
        <v>-2.0552</v>
      </c>
      <c r="H491" s="142">
        <v>-2.0552</v>
      </c>
      <c r="I491" s="83">
        <f t="shared" si="55"/>
        <v>1.9448</v>
      </c>
      <c r="J491" s="71"/>
    </row>
    <row r="492" s="317" customFormat="1" customHeight="1" spans="1:10">
      <c r="A492" s="128">
        <v>429</v>
      </c>
      <c r="B492" s="152" t="s">
        <v>601</v>
      </c>
      <c r="C492" s="71" t="s">
        <v>1193</v>
      </c>
      <c r="D492" s="71" t="s">
        <v>1197</v>
      </c>
      <c r="E492" s="142">
        <v>40</v>
      </c>
      <c r="F492" s="142">
        <v>30</v>
      </c>
      <c r="G492" s="142">
        <v>-30</v>
      </c>
      <c r="H492" s="142">
        <v>-30</v>
      </c>
      <c r="I492" s="83">
        <f t="shared" si="55"/>
        <v>10</v>
      </c>
      <c r="J492" s="71"/>
    </row>
    <row r="493" s="317" customFormat="1" customHeight="1" spans="1:10">
      <c r="A493" s="337" t="s">
        <v>1198</v>
      </c>
      <c r="B493" s="338"/>
      <c r="C493" s="339"/>
      <c r="D493" s="340"/>
      <c r="E493" s="352">
        <f t="shared" ref="E493:I493" si="56">SUM(E490:E492)</f>
        <v>71</v>
      </c>
      <c r="F493" s="142">
        <f t="shared" si="56"/>
        <v>59.86</v>
      </c>
      <c r="G493" s="352">
        <f t="shared" si="56"/>
        <v>-59.0552</v>
      </c>
      <c r="H493" s="352">
        <f t="shared" si="56"/>
        <v>-59.0552</v>
      </c>
      <c r="I493" s="352">
        <f t="shared" si="56"/>
        <v>11.9448</v>
      </c>
      <c r="J493" s="165"/>
    </row>
    <row r="494" s="317" customFormat="1" customHeight="1" spans="1:10">
      <c r="A494" s="128">
        <v>430</v>
      </c>
      <c r="B494" s="152" t="s">
        <v>616</v>
      </c>
      <c r="C494" s="333" t="s">
        <v>1199</v>
      </c>
      <c r="D494" s="333" t="s">
        <v>1200</v>
      </c>
      <c r="E494" s="142">
        <v>960</v>
      </c>
      <c r="F494" s="142">
        <v>152.99</v>
      </c>
      <c r="G494" s="142">
        <v>-152.99</v>
      </c>
      <c r="H494" s="142">
        <v>-152.99</v>
      </c>
      <c r="I494" s="83">
        <f>E494+H494</f>
        <v>807.01</v>
      </c>
      <c r="J494" s="71"/>
    </row>
    <row r="495" s="317" customFormat="1" customHeight="1" spans="1:10">
      <c r="A495" s="128">
        <v>431</v>
      </c>
      <c r="B495" s="152" t="s">
        <v>616</v>
      </c>
      <c r="C495" s="333" t="s">
        <v>1199</v>
      </c>
      <c r="D495" s="333" t="s">
        <v>1201</v>
      </c>
      <c r="E495" s="142">
        <v>22.5</v>
      </c>
      <c r="F495" s="142">
        <v>0</v>
      </c>
      <c r="G495" s="142"/>
      <c r="H495" s="142"/>
      <c r="I495" s="83">
        <f>E495+H495</f>
        <v>22.5</v>
      </c>
      <c r="J495" s="71"/>
    </row>
    <row r="496" s="317" customFormat="1" customHeight="1" spans="1:10">
      <c r="A496" s="128">
        <v>432</v>
      </c>
      <c r="B496" s="152" t="s">
        <v>601</v>
      </c>
      <c r="C496" s="345" t="s">
        <v>1199</v>
      </c>
      <c r="D496" s="71" t="s">
        <v>1202</v>
      </c>
      <c r="E496" s="142">
        <v>1</v>
      </c>
      <c r="F496" s="142">
        <v>0.94</v>
      </c>
      <c r="G496" s="142">
        <v>-0.94</v>
      </c>
      <c r="H496" s="142">
        <v>-0.94</v>
      </c>
      <c r="I496" s="83">
        <f>E496+H496</f>
        <v>0.0600000000000001</v>
      </c>
      <c r="J496" s="71"/>
    </row>
    <row r="497" s="317" customFormat="1" customHeight="1" spans="1:10">
      <c r="A497" s="128">
        <v>433</v>
      </c>
      <c r="B497" s="152" t="s">
        <v>601</v>
      </c>
      <c r="C497" s="355" t="s">
        <v>1199</v>
      </c>
      <c r="D497" s="71" t="s">
        <v>1203</v>
      </c>
      <c r="E497" s="142">
        <v>12.4</v>
      </c>
      <c r="F497" s="142">
        <v>12.4</v>
      </c>
      <c r="G497" s="142">
        <v>-10</v>
      </c>
      <c r="H497" s="142">
        <v>-10</v>
      </c>
      <c r="I497" s="83">
        <f>E497+H497</f>
        <v>2.4</v>
      </c>
      <c r="J497" s="71"/>
    </row>
    <row r="498" s="317" customFormat="1" customHeight="1" spans="1:10">
      <c r="A498" s="128">
        <v>434</v>
      </c>
      <c r="B498" s="152" t="s">
        <v>601</v>
      </c>
      <c r="C498" s="345" t="s">
        <v>1199</v>
      </c>
      <c r="D498" s="71" t="s">
        <v>1204</v>
      </c>
      <c r="E498" s="142">
        <v>2</v>
      </c>
      <c r="F498" s="142">
        <v>1.75</v>
      </c>
      <c r="G498" s="142">
        <v>-1.7457</v>
      </c>
      <c r="H498" s="142">
        <v>-1.7457</v>
      </c>
      <c r="I498" s="83">
        <f>E498+H498</f>
        <v>0.2543</v>
      </c>
      <c r="J498" s="71"/>
    </row>
    <row r="499" s="317" customFormat="1" customHeight="1" spans="1:10">
      <c r="A499" s="337" t="s">
        <v>1205</v>
      </c>
      <c r="B499" s="338"/>
      <c r="C499" s="339"/>
      <c r="D499" s="340"/>
      <c r="E499" s="138">
        <f>SUM(E494:E498)</f>
        <v>997.9</v>
      </c>
      <c r="F499" s="138">
        <f>SUM(F494:F498)</f>
        <v>168.08</v>
      </c>
      <c r="G499" s="138">
        <f>SUM(G494:G498)</f>
        <v>-165.6757</v>
      </c>
      <c r="H499" s="138">
        <f>SUM(H494:H498)</f>
        <v>-165.6757</v>
      </c>
      <c r="I499" s="138">
        <f>SUM(I494:I498)</f>
        <v>832.2243</v>
      </c>
      <c r="J499" s="165"/>
    </row>
    <row r="500" s="317" customFormat="1" customHeight="1" spans="1:10">
      <c r="A500" s="128">
        <v>435</v>
      </c>
      <c r="B500" s="152" t="s">
        <v>601</v>
      </c>
      <c r="C500" s="71" t="s">
        <v>1206</v>
      </c>
      <c r="D500" s="71" t="s">
        <v>1207</v>
      </c>
      <c r="E500" s="142">
        <v>36.36</v>
      </c>
      <c r="F500" s="353">
        <v>0</v>
      </c>
      <c r="G500" s="142"/>
      <c r="H500" s="142"/>
      <c r="I500" s="83">
        <f t="shared" ref="I500:I521" si="57">E500+H500</f>
        <v>36.36</v>
      </c>
      <c r="J500" s="71"/>
    </row>
    <row r="501" s="317" customFormat="1" customHeight="1" spans="1:10">
      <c r="A501" s="128">
        <v>436</v>
      </c>
      <c r="B501" s="152" t="s">
        <v>601</v>
      </c>
      <c r="C501" s="71" t="s">
        <v>1206</v>
      </c>
      <c r="D501" s="71" t="s">
        <v>1208</v>
      </c>
      <c r="E501" s="142">
        <v>48</v>
      </c>
      <c r="F501" s="353">
        <v>0</v>
      </c>
      <c r="G501" s="142">
        <v>-0.46</v>
      </c>
      <c r="H501" s="142">
        <v>-0.46</v>
      </c>
      <c r="I501" s="83">
        <f t="shared" si="57"/>
        <v>47.54</v>
      </c>
      <c r="J501" s="71"/>
    </row>
    <row r="502" s="317" customFormat="1" customHeight="1" spans="1:10">
      <c r="A502" s="128">
        <v>437</v>
      </c>
      <c r="B502" s="152" t="s">
        <v>601</v>
      </c>
      <c r="C502" s="71" t="s">
        <v>1206</v>
      </c>
      <c r="D502" s="71" t="s">
        <v>1209</v>
      </c>
      <c r="E502" s="142">
        <v>100</v>
      </c>
      <c r="F502" s="353">
        <v>10.51</v>
      </c>
      <c r="G502" s="142">
        <v>-10.506662</v>
      </c>
      <c r="H502" s="142">
        <v>-10.506662</v>
      </c>
      <c r="I502" s="83">
        <f t="shared" si="57"/>
        <v>89.493338</v>
      </c>
      <c r="J502" s="71" t="s">
        <v>1210</v>
      </c>
    </row>
    <row r="503" s="317" customFormat="1" customHeight="1" spans="1:10">
      <c r="A503" s="128">
        <v>438</v>
      </c>
      <c r="B503" s="152" t="s">
        <v>601</v>
      </c>
      <c r="C503" s="71" t="s">
        <v>1206</v>
      </c>
      <c r="D503" s="71" t="s">
        <v>1211</v>
      </c>
      <c r="E503" s="142">
        <v>123.2</v>
      </c>
      <c r="F503" s="353">
        <v>18.48</v>
      </c>
      <c r="G503" s="142">
        <v>-3.5856</v>
      </c>
      <c r="H503" s="142">
        <v>-3.5856</v>
      </c>
      <c r="I503" s="83">
        <f t="shared" si="57"/>
        <v>119.6144</v>
      </c>
      <c r="J503" s="71" t="s">
        <v>1212</v>
      </c>
    </row>
    <row r="504" s="317" customFormat="1" customHeight="1" spans="1:10">
      <c r="A504" s="128">
        <v>439</v>
      </c>
      <c r="B504" s="152" t="s">
        <v>601</v>
      </c>
      <c r="C504" s="71" t="s">
        <v>1206</v>
      </c>
      <c r="D504" s="71" t="s">
        <v>1213</v>
      </c>
      <c r="E504" s="142">
        <v>180</v>
      </c>
      <c r="F504" s="353">
        <v>180</v>
      </c>
      <c r="G504" s="142">
        <v>-180</v>
      </c>
      <c r="H504" s="142">
        <v>-180</v>
      </c>
      <c r="I504" s="83">
        <f t="shared" si="57"/>
        <v>0</v>
      </c>
      <c r="J504" s="71" t="s">
        <v>1214</v>
      </c>
    </row>
    <row r="505" s="317" customFormat="1" customHeight="1" spans="1:10">
      <c r="A505" s="128">
        <v>440</v>
      </c>
      <c r="B505" s="152" t="s">
        <v>601</v>
      </c>
      <c r="C505" s="71" t="s">
        <v>1206</v>
      </c>
      <c r="D505" s="71" t="s">
        <v>1215</v>
      </c>
      <c r="E505" s="142">
        <v>9</v>
      </c>
      <c r="F505" s="353">
        <v>4.49</v>
      </c>
      <c r="G505" s="142">
        <v>-4.493847</v>
      </c>
      <c r="H505" s="142">
        <v>-4.493847</v>
      </c>
      <c r="I505" s="83">
        <f t="shared" si="57"/>
        <v>4.506153</v>
      </c>
      <c r="J505" s="71" t="s">
        <v>1216</v>
      </c>
    </row>
    <row r="506" s="317" customFormat="1" customHeight="1" spans="1:10">
      <c r="A506" s="128">
        <v>441</v>
      </c>
      <c r="B506" s="152" t="s">
        <v>601</v>
      </c>
      <c r="C506" s="71" t="s">
        <v>1206</v>
      </c>
      <c r="D506" s="71" t="s">
        <v>1217</v>
      </c>
      <c r="E506" s="142">
        <v>7.23</v>
      </c>
      <c r="F506" s="353">
        <v>3.62</v>
      </c>
      <c r="G506" s="142">
        <v>-3.618</v>
      </c>
      <c r="H506" s="142">
        <v>-3.618</v>
      </c>
      <c r="I506" s="83">
        <f t="shared" si="57"/>
        <v>3.612</v>
      </c>
      <c r="J506" s="71" t="s">
        <v>1218</v>
      </c>
    </row>
    <row r="507" s="317" customFormat="1" customHeight="1" spans="1:10">
      <c r="A507" s="128">
        <v>442</v>
      </c>
      <c r="B507" s="152" t="s">
        <v>601</v>
      </c>
      <c r="C507" s="71" t="s">
        <v>1206</v>
      </c>
      <c r="D507" s="71" t="s">
        <v>1219</v>
      </c>
      <c r="E507" s="142">
        <v>1</v>
      </c>
      <c r="F507" s="353">
        <v>1</v>
      </c>
      <c r="G507" s="142">
        <v>-1</v>
      </c>
      <c r="H507" s="142">
        <v>-1</v>
      </c>
      <c r="I507" s="83">
        <f t="shared" si="57"/>
        <v>0</v>
      </c>
      <c r="J507" s="71"/>
    </row>
    <row r="508" s="317" customFormat="1" customHeight="1" spans="1:10">
      <c r="A508" s="128">
        <v>443</v>
      </c>
      <c r="B508" s="152" t="s">
        <v>601</v>
      </c>
      <c r="C508" s="71" t="s">
        <v>1206</v>
      </c>
      <c r="D508" s="71" t="s">
        <v>1220</v>
      </c>
      <c r="E508" s="142">
        <v>29</v>
      </c>
      <c r="F508" s="353">
        <v>29</v>
      </c>
      <c r="G508" s="142">
        <v>-29</v>
      </c>
      <c r="H508" s="142">
        <v>-29</v>
      </c>
      <c r="I508" s="83">
        <f t="shared" si="57"/>
        <v>0</v>
      </c>
      <c r="J508" s="71"/>
    </row>
    <row r="509" s="317" customFormat="1" customHeight="1" spans="1:10">
      <c r="A509" s="128">
        <v>444</v>
      </c>
      <c r="B509" s="152" t="s">
        <v>601</v>
      </c>
      <c r="C509" s="71" t="s">
        <v>1206</v>
      </c>
      <c r="D509" s="71" t="s">
        <v>1221</v>
      </c>
      <c r="E509" s="142">
        <v>4.89</v>
      </c>
      <c r="F509" s="353">
        <v>2.47</v>
      </c>
      <c r="G509" s="142">
        <v>-2.46582</v>
      </c>
      <c r="H509" s="142">
        <v>-2.46582</v>
      </c>
      <c r="I509" s="83">
        <f t="shared" si="57"/>
        <v>2.42418</v>
      </c>
      <c r="J509" s="356" t="s">
        <v>1222</v>
      </c>
    </row>
    <row r="510" s="317" customFormat="1" customHeight="1" spans="1:10">
      <c r="A510" s="128">
        <v>445</v>
      </c>
      <c r="B510" s="152" t="s">
        <v>601</v>
      </c>
      <c r="C510" s="71" t="s">
        <v>1206</v>
      </c>
      <c r="D510" s="71" t="s">
        <v>1223</v>
      </c>
      <c r="E510" s="142">
        <v>4.37</v>
      </c>
      <c r="F510" s="353">
        <v>4.37</v>
      </c>
      <c r="G510" s="142"/>
      <c r="H510" s="142"/>
      <c r="I510" s="83">
        <f t="shared" si="57"/>
        <v>4.37</v>
      </c>
      <c r="J510" s="71" t="s">
        <v>1224</v>
      </c>
    </row>
    <row r="511" s="317" customFormat="1" customHeight="1" spans="1:10">
      <c r="A511" s="128">
        <v>446</v>
      </c>
      <c r="B511" s="152" t="s">
        <v>601</v>
      </c>
      <c r="C511" s="71" t="s">
        <v>1206</v>
      </c>
      <c r="D511" s="71" t="s">
        <v>1225</v>
      </c>
      <c r="E511" s="142">
        <v>3.36</v>
      </c>
      <c r="F511" s="353">
        <v>0</v>
      </c>
      <c r="G511" s="142"/>
      <c r="H511" s="142"/>
      <c r="I511" s="83">
        <f t="shared" si="57"/>
        <v>3.36</v>
      </c>
      <c r="J511" s="71" t="s">
        <v>1226</v>
      </c>
    </row>
    <row r="512" s="317" customFormat="1" customHeight="1" spans="1:10">
      <c r="A512" s="128">
        <v>447</v>
      </c>
      <c r="B512" s="152" t="s">
        <v>601</v>
      </c>
      <c r="C512" s="71" t="s">
        <v>1206</v>
      </c>
      <c r="D512" s="71" t="s">
        <v>1227</v>
      </c>
      <c r="E512" s="142">
        <v>56</v>
      </c>
      <c r="F512" s="353">
        <v>4.56</v>
      </c>
      <c r="G512" s="142">
        <v>-5.3076</v>
      </c>
      <c r="H512" s="142">
        <v>-5.3076</v>
      </c>
      <c r="I512" s="83">
        <f t="shared" si="57"/>
        <v>50.6924</v>
      </c>
      <c r="J512" s="71" t="s">
        <v>1228</v>
      </c>
    </row>
    <row r="513" s="317" customFormat="1" customHeight="1" spans="1:10">
      <c r="A513" s="128">
        <v>448</v>
      </c>
      <c r="B513" s="152" t="s">
        <v>601</v>
      </c>
      <c r="C513" s="71" t="s">
        <v>1206</v>
      </c>
      <c r="D513" s="71" t="s">
        <v>1229</v>
      </c>
      <c r="E513" s="142">
        <v>0.23</v>
      </c>
      <c r="F513" s="353">
        <v>0.23</v>
      </c>
      <c r="G513" s="142">
        <v>-0.155</v>
      </c>
      <c r="H513" s="142">
        <v>-0.155</v>
      </c>
      <c r="I513" s="83">
        <f t="shared" si="57"/>
        <v>0.075</v>
      </c>
      <c r="J513" s="71"/>
    </row>
    <row r="514" s="317" customFormat="1" customHeight="1" spans="1:10">
      <c r="A514" s="128">
        <v>449</v>
      </c>
      <c r="B514" s="152" t="s">
        <v>601</v>
      </c>
      <c r="C514" s="71" t="s">
        <v>1206</v>
      </c>
      <c r="D514" s="71" t="s">
        <v>1230</v>
      </c>
      <c r="E514" s="142">
        <v>15</v>
      </c>
      <c r="F514" s="353">
        <v>15</v>
      </c>
      <c r="G514" s="142">
        <v>-15</v>
      </c>
      <c r="H514" s="142">
        <v>-15</v>
      </c>
      <c r="I514" s="83">
        <f t="shared" si="57"/>
        <v>0</v>
      </c>
      <c r="J514" s="71"/>
    </row>
    <row r="515" s="317" customFormat="1" customHeight="1" spans="1:10">
      <c r="A515" s="128">
        <v>450</v>
      </c>
      <c r="B515" s="152" t="s">
        <v>601</v>
      </c>
      <c r="C515" s="71" t="s">
        <v>1206</v>
      </c>
      <c r="D515" s="71" t="s">
        <v>1231</v>
      </c>
      <c r="E515" s="142">
        <v>2</v>
      </c>
      <c r="F515" s="353">
        <v>2</v>
      </c>
      <c r="G515" s="142">
        <v>-2</v>
      </c>
      <c r="H515" s="142">
        <v>-2</v>
      </c>
      <c r="I515" s="83">
        <f t="shared" si="57"/>
        <v>0</v>
      </c>
      <c r="J515" s="71"/>
    </row>
    <row r="516" s="317" customFormat="1" customHeight="1" spans="1:10">
      <c r="A516" s="128">
        <v>451</v>
      </c>
      <c r="B516" s="152" t="s">
        <v>601</v>
      </c>
      <c r="C516" s="71" t="s">
        <v>1206</v>
      </c>
      <c r="D516" s="71" t="s">
        <v>1232</v>
      </c>
      <c r="E516" s="142">
        <v>19</v>
      </c>
      <c r="F516" s="353">
        <v>19</v>
      </c>
      <c r="G516" s="142">
        <v>-19</v>
      </c>
      <c r="H516" s="142">
        <v>-19</v>
      </c>
      <c r="I516" s="83">
        <f t="shared" si="57"/>
        <v>0</v>
      </c>
      <c r="J516" s="71"/>
    </row>
    <row r="517" s="317" customFormat="1" customHeight="1" spans="1:10">
      <c r="A517" s="128">
        <v>452</v>
      </c>
      <c r="B517" s="152" t="s">
        <v>601</v>
      </c>
      <c r="C517" s="71" t="s">
        <v>1206</v>
      </c>
      <c r="D517" s="71" t="s">
        <v>1233</v>
      </c>
      <c r="E517" s="142">
        <v>46.77</v>
      </c>
      <c r="F517" s="353">
        <v>46.77</v>
      </c>
      <c r="G517" s="142">
        <v>-46.77</v>
      </c>
      <c r="H517" s="142">
        <v>-46.77</v>
      </c>
      <c r="I517" s="83">
        <f t="shared" si="57"/>
        <v>0</v>
      </c>
      <c r="J517" s="71" t="s">
        <v>1234</v>
      </c>
    </row>
    <row r="518" s="317" customFormat="1" customHeight="1" spans="1:10">
      <c r="A518" s="128">
        <v>453</v>
      </c>
      <c r="B518" s="152" t="s">
        <v>601</v>
      </c>
      <c r="C518" s="71" t="s">
        <v>1206</v>
      </c>
      <c r="D518" s="71" t="s">
        <v>1235</v>
      </c>
      <c r="E518" s="142">
        <v>1</v>
      </c>
      <c r="F518" s="353">
        <v>0.5</v>
      </c>
      <c r="G518" s="142">
        <v>-0.5</v>
      </c>
      <c r="H518" s="142">
        <v>-0.5</v>
      </c>
      <c r="I518" s="83">
        <f t="shared" si="57"/>
        <v>0.5</v>
      </c>
      <c r="J518" s="71" t="s">
        <v>1236</v>
      </c>
    </row>
    <row r="519" s="317" customFormat="1" customHeight="1" spans="1:10">
      <c r="A519" s="128">
        <v>454</v>
      </c>
      <c r="B519" s="152" t="s">
        <v>601</v>
      </c>
      <c r="C519" s="71" t="s">
        <v>1206</v>
      </c>
      <c r="D519" s="71" t="s">
        <v>1237</v>
      </c>
      <c r="E519" s="142">
        <v>65</v>
      </c>
      <c r="F519" s="353">
        <v>40</v>
      </c>
      <c r="G519" s="142">
        <v>-40</v>
      </c>
      <c r="H519" s="142">
        <v>-40</v>
      </c>
      <c r="I519" s="83">
        <f t="shared" si="57"/>
        <v>25</v>
      </c>
      <c r="J519" s="71"/>
    </row>
    <row r="520" s="317" customFormat="1" customHeight="1" spans="1:10">
      <c r="A520" s="128">
        <v>455</v>
      </c>
      <c r="B520" s="152" t="s">
        <v>601</v>
      </c>
      <c r="C520" s="71" t="s">
        <v>1206</v>
      </c>
      <c r="D520" s="71" t="s">
        <v>1238</v>
      </c>
      <c r="E520" s="142">
        <v>35.69</v>
      </c>
      <c r="F520" s="353">
        <v>0.83</v>
      </c>
      <c r="G520" s="142">
        <v>-0.83</v>
      </c>
      <c r="H520" s="142">
        <v>-0.83</v>
      </c>
      <c r="I520" s="83">
        <f t="shared" si="57"/>
        <v>34.86</v>
      </c>
      <c r="J520" s="71" t="s">
        <v>1239</v>
      </c>
    </row>
    <row r="521" s="317" customFormat="1" customHeight="1" spans="1:10">
      <c r="A521" s="128">
        <v>456</v>
      </c>
      <c r="B521" s="152" t="s">
        <v>601</v>
      </c>
      <c r="C521" s="71" t="s">
        <v>1206</v>
      </c>
      <c r="D521" s="71" t="s">
        <v>1240</v>
      </c>
      <c r="E521" s="142">
        <v>2</v>
      </c>
      <c r="F521" s="353">
        <v>0</v>
      </c>
      <c r="G521" s="142"/>
      <c r="H521" s="142"/>
      <c r="I521" s="83">
        <f t="shared" si="57"/>
        <v>2</v>
      </c>
      <c r="J521" s="356"/>
    </row>
    <row r="522" s="317" customFormat="1" customHeight="1" spans="1:10">
      <c r="A522" s="337" t="s">
        <v>1241</v>
      </c>
      <c r="B522" s="338"/>
      <c r="C522" s="339"/>
      <c r="D522" s="340"/>
      <c r="E522" s="352">
        <f t="shared" ref="E522:I522" si="58">SUM(E500:E521)</f>
        <v>789.1</v>
      </c>
      <c r="F522" s="142">
        <f t="shared" si="58"/>
        <v>382.83</v>
      </c>
      <c r="G522" s="352">
        <f t="shared" si="58"/>
        <v>-364.692529</v>
      </c>
      <c r="H522" s="352">
        <f t="shared" si="58"/>
        <v>-364.692529</v>
      </c>
      <c r="I522" s="352">
        <f t="shared" si="58"/>
        <v>424.407471</v>
      </c>
      <c r="J522" s="360"/>
    </row>
    <row r="523" s="317" customFormat="1" customHeight="1" spans="1:10">
      <c r="A523" s="128">
        <v>457</v>
      </c>
      <c r="B523" s="152" t="s">
        <v>598</v>
      </c>
      <c r="C523" s="333" t="s">
        <v>1242</v>
      </c>
      <c r="D523" s="333" t="s">
        <v>1243</v>
      </c>
      <c r="E523" s="83">
        <v>160</v>
      </c>
      <c r="F523" s="332">
        <v>19.0174</v>
      </c>
      <c r="G523" s="83">
        <v>-6.350724</v>
      </c>
      <c r="H523" s="83">
        <v>-6.350724</v>
      </c>
      <c r="I523" s="83">
        <f t="shared" ref="I523:I541" si="59">E523+H523</f>
        <v>153.649276</v>
      </c>
      <c r="J523" s="348" t="s">
        <v>1244</v>
      </c>
    </row>
    <row r="524" s="317" customFormat="1" customHeight="1" spans="1:10">
      <c r="A524" s="128">
        <v>458</v>
      </c>
      <c r="B524" s="152" t="s">
        <v>598</v>
      </c>
      <c r="C524" s="333" t="s">
        <v>1242</v>
      </c>
      <c r="D524" s="333" t="s">
        <v>1245</v>
      </c>
      <c r="E524" s="83">
        <v>8</v>
      </c>
      <c r="F524" s="332">
        <v>8</v>
      </c>
      <c r="G524" s="83">
        <v>-8</v>
      </c>
      <c r="H524" s="83">
        <v>-8</v>
      </c>
      <c r="I524" s="83">
        <f t="shared" si="59"/>
        <v>0</v>
      </c>
      <c r="J524" s="348" t="s">
        <v>1246</v>
      </c>
    </row>
    <row r="525" s="317" customFormat="1" customHeight="1" spans="1:10">
      <c r="A525" s="128">
        <v>459</v>
      </c>
      <c r="B525" s="152" t="s">
        <v>598</v>
      </c>
      <c r="C525" s="333" t="s">
        <v>1242</v>
      </c>
      <c r="D525" s="333" t="s">
        <v>1247</v>
      </c>
      <c r="E525" s="83">
        <v>75</v>
      </c>
      <c r="F525" s="332">
        <v>19.0491</v>
      </c>
      <c r="G525" s="83">
        <v>-1.135934</v>
      </c>
      <c r="H525" s="83">
        <v>-1.135934</v>
      </c>
      <c r="I525" s="83">
        <f t="shared" si="59"/>
        <v>73.864066</v>
      </c>
      <c r="J525" s="348" t="s">
        <v>1248</v>
      </c>
    </row>
    <row r="526" s="317" customFormat="1" customHeight="1" spans="1:10">
      <c r="A526" s="128">
        <v>460</v>
      </c>
      <c r="B526" s="152" t="s">
        <v>598</v>
      </c>
      <c r="C526" s="333" t="s">
        <v>1242</v>
      </c>
      <c r="D526" s="333" t="s">
        <v>1249</v>
      </c>
      <c r="E526" s="83">
        <v>30</v>
      </c>
      <c r="F526" s="332">
        <v>0.2091</v>
      </c>
      <c r="G526" s="83"/>
      <c r="H526" s="83"/>
      <c r="I526" s="83">
        <f t="shared" si="59"/>
        <v>30</v>
      </c>
      <c r="J526" s="348" t="s">
        <v>1250</v>
      </c>
    </row>
    <row r="527" s="317" customFormat="1" customHeight="1" spans="1:10">
      <c r="A527" s="128">
        <v>461</v>
      </c>
      <c r="B527" s="152" t="s">
        <v>598</v>
      </c>
      <c r="C527" s="333" t="s">
        <v>1242</v>
      </c>
      <c r="D527" s="333" t="s">
        <v>1251</v>
      </c>
      <c r="E527" s="83">
        <v>29.88</v>
      </c>
      <c r="F527" s="332">
        <v>6.6619</v>
      </c>
      <c r="G527" s="83">
        <v>-4.586943</v>
      </c>
      <c r="H527" s="83">
        <v>-4.586943</v>
      </c>
      <c r="I527" s="83">
        <f t="shared" si="59"/>
        <v>25.293057</v>
      </c>
      <c r="J527" s="348" t="s">
        <v>1252</v>
      </c>
    </row>
    <row r="528" s="317" customFormat="1" customHeight="1" spans="1:10">
      <c r="A528" s="128">
        <v>462</v>
      </c>
      <c r="B528" s="152" t="s">
        <v>598</v>
      </c>
      <c r="C528" s="333" t="s">
        <v>1242</v>
      </c>
      <c r="D528" s="333" t="s">
        <v>1253</v>
      </c>
      <c r="E528" s="83">
        <v>126</v>
      </c>
      <c r="F528" s="332">
        <v>22.086207</v>
      </c>
      <c r="G528" s="83">
        <v>-22.086207</v>
      </c>
      <c r="H528" s="83">
        <v>-22.086207</v>
      </c>
      <c r="I528" s="83">
        <f t="shared" si="59"/>
        <v>103.913793</v>
      </c>
      <c r="J528" s="348" t="s">
        <v>1254</v>
      </c>
    </row>
    <row r="529" s="317" customFormat="1" customHeight="1" spans="1:10">
      <c r="A529" s="128">
        <v>463</v>
      </c>
      <c r="B529" s="152" t="s">
        <v>598</v>
      </c>
      <c r="C529" s="333" t="s">
        <v>1242</v>
      </c>
      <c r="D529" s="333" t="s">
        <v>1255</v>
      </c>
      <c r="E529" s="83">
        <v>100</v>
      </c>
      <c r="F529" s="332">
        <v>37.8754</v>
      </c>
      <c r="G529" s="83">
        <v>-17.52</v>
      </c>
      <c r="H529" s="83">
        <v>-17.52</v>
      </c>
      <c r="I529" s="83">
        <f t="shared" si="59"/>
        <v>82.48</v>
      </c>
      <c r="J529" s="348" t="s">
        <v>1256</v>
      </c>
    </row>
    <row r="530" s="317" customFormat="1" customHeight="1" spans="1:10">
      <c r="A530" s="128">
        <v>464</v>
      </c>
      <c r="B530" s="152" t="s">
        <v>598</v>
      </c>
      <c r="C530" s="333" t="s">
        <v>1242</v>
      </c>
      <c r="D530" s="333" t="s">
        <v>1257</v>
      </c>
      <c r="E530" s="83">
        <v>25</v>
      </c>
      <c r="F530" s="332">
        <v>15</v>
      </c>
      <c r="G530" s="83">
        <v>-15</v>
      </c>
      <c r="H530" s="83">
        <v>-15</v>
      </c>
      <c r="I530" s="83">
        <f t="shared" si="59"/>
        <v>10</v>
      </c>
      <c r="J530" s="348"/>
    </row>
    <row r="531" s="317" customFormat="1" customHeight="1" spans="1:10">
      <c r="A531" s="128">
        <v>465</v>
      </c>
      <c r="B531" s="152" t="s">
        <v>598</v>
      </c>
      <c r="C531" s="333" t="s">
        <v>1242</v>
      </c>
      <c r="D531" s="333" t="s">
        <v>1258</v>
      </c>
      <c r="E531" s="83">
        <v>20</v>
      </c>
      <c r="F531" s="332">
        <v>12.9872</v>
      </c>
      <c r="G531" s="83">
        <v>-10.00142</v>
      </c>
      <c r="H531" s="83">
        <v>-10.00142</v>
      </c>
      <c r="I531" s="83">
        <f t="shared" si="59"/>
        <v>9.99858</v>
      </c>
      <c r="J531" s="348"/>
    </row>
    <row r="532" s="317" customFormat="1" customHeight="1" spans="1:10">
      <c r="A532" s="128">
        <v>466</v>
      </c>
      <c r="B532" s="152" t="s">
        <v>598</v>
      </c>
      <c r="C532" s="333" t="s">
        <v>1242</v>
      </c>
      <c r="D532" s="333" t="s">
        <v>1259</v>
      </c>
      <c r="E532" s="83">
        <v>10</v>
      </c>
      <c r="F532" s="332">
        <v>9.4844</v>
      </c>
      <c r="G532" s="83">
        <v>-3.6794</v>
      </c>
      <c r="H532" s="83">
        <v>-3.6794</v>
      </c>
      <c r="I532" s="83">
        <f t="shared" si="59"/>
        <v>6.3206</v>
      </c>
      <c r="J532" s="348"/>
    </row>
    <row r="533" s="317" customFormat="1" customHeight="1" spans="1:10">
      <c r="A533" s="128">
        <v>467</v>
      </c>
      <c r="B533" s="152" t="s">
        <v>598</v>
      </c>
      <c r="C533" s="333" t="s">
        <v>1242</v>
      </c>
      <c r="D533" s="333" t="s">
        <v>1260</v>
      </c>
      <c r="E533" s="83">
        <v>40</v>
      </c>
      <c r="F533" s="332">
        <v>20</v>
      </c>
      <c r="G533" s="83">
        <v>-20</v>
      </c>
      <c r="H533" s="83">
        <v>-20</v>
      </c>
      <c r="I533" s="83">
        <f t="shared" si="59"/>
        <v>20</v>
      </c>
      <c r="J533" s="348"/>
    </row>
    <row r="534" s="317" customFormat="1" customHeight="1" spans="1:10">
      <c r="A534" s="128">
        <v>468</v>
      </c>
      <c r="B534" s="152" t="s">
        <v>598</v>
      </c>
      <c r="C534" s="333" t="s">
        <v>1242</v>
      </c>
      <c r="D534" s="333" t="s">
        <v>1261</v>
      </c>
      <c r="E534" s="83">
        <v>10</v>
      </c>
      <c r="F534" s="332">
        <v>7</v>
      </c>
      <c r="G534" s="83">
        <v>-7</v>
      </c>
      <c r="H534" s="83">
        <v>-7</v>
      </c>
      <c r="I534" s="83">
        <f t="shared" si="59"/>
        <v>3</v>
      </c>
      <c r="J534" s="348"/>
    </row>
    <row r="535" s="317" customFormat="1" customHeight="1" spans="1:10">
      <c r="A535" s="128">
        <v>469</v>
      </c>
      <c r="B535" s="152" t="s">
        <v>598</v>
      </c>
      <c r="C535" s="333" t="s">
        <v>1242</v>
      </c>
      <c r="D535" s="333" t="s">
        <v>1262</v>
      </c>
      <c r="E535" s="83">
        <v>30</v>
      </c>
      <c r="F535" s="332">
        <v>5.0823</v>
      </c>
      <c r="G535" s="83">
        <v>-5.08225</v>
      </c>
      <c r="H535" s="83">
        <v>-5.08225</v>
      </c>
      <c r="I535" s="83">
        <f t="shared" si="59"/>
        <v>24.91775</v>
      </c>
      <c r="J535" s="348"/>
    </row>
    <row r="536" s="317" customFormat="1" customHeight="1" spans="1:10">
      <c r="A536" s="128">
        <v>470</v>
      </c>
      <c r="B536" s="152" t="s">
        <v>598</v>
      </c>
      <c r="C536" s="333" t="s">
        <v>1242</v>
      </c>
      <c r="D536" s="333" t="s">
        <v>1263</v>
      </c>
      <c r="E536" s="83">
        <v>40</v>
      </c>
      <c r="F536" s="332">
        <v>0.0024</v>
      </c>
      <c r="G536" s="83"/>
      <c r="H536" s="83"/>
      <c r="I536" s="83">
        <f t="shared" si="59"/>
        <v>40</v>
      </c>
      <c r="J536" s="348"/>
    </row>
    <row r="537" s="317" customFormat="1" customHeight="1" spans="1:10">
      <c r="A537" s="128">
        <v>471</v>
      </c>
      <c r="B537" s="152" t="s">
        <v>598</v>
      </c>
      <c r="C537" s="333" t="s">
        <v>1242</v>
      </c>
      <c r="D537" s="333" t="s">
        <v>1264</v>
      </c>
      <c r="E537" s="83">
        <v>10</v>
      </c>
      <c r="F537" s="332">
        <v>5</v>
      </c>
      <c r="G537" s="83">
        <v>-5</v>
      </c>
      <c r="H537" s="83">
        <v>-5</v>
      </c>
      <c r="I537" s="83">
        <f t="shared" si="59"/>
        <v>5</v>
      </c>
      <c r="J537" s="348"/>
    </row>
    <row r="538" s="317" customFormat="1" customHeight="1" spans="1:10">
      <c r="A538" s="128">
        <v>472</v>
      </c>
      <c r="B538" s="152" t="s">
        <v>598</v>
      </c>
      <c r="C538" s="333" t="s">
        <v>1242</v>
      </c>
      <c r="D538" s="333" t="s">
        <v>1265</v>
      </c>
      <c r="E538" s="83">
        <v>40</v>
      </c>
      <c r="F538" s="332">
        <v>-0.0024</v>
      </c>
      <c r="G538" s="83">
        <v>-0.0024</v>
      </c>
      <c r="H538" s="83">
        <v>-0.0024</v>
      </c>
      <c r="I538" s="83">
        <f t="shared" si="59"/>
        <v>39.9976</v>
      </c>
      <c r="J538" s="348"/>
    </row>
    <row r="539" s="317" customFormat="1" customHeight="1" spans="1:10">
      <c r="A539" s="128">
        <v>473</v>
      </c>
      <c r="B539" s="152" t="s">
        <v>598</v>
      </c>
      <c r="C539" s="333" t="s">
        <v>1242</v>
      </c>
      <c r="D539" s="333" t="s">
        <v>1266</v>
      </c>
      <c r="E539" s="83">
        <v>20</v>
      </c>
      <c r="F539" s="332">
        <v>2.645</v>
      </c>
      <c r="G539" s="83"/>
      <c r="H539" s="83"/>
      <c r="I539" s="83">
        <f t="shared" si="59"/>
        <v>20</v>
      </c>
      <c r="J539" s="348"/>
    </row>
    <row r="540" s="317" customFormat="1" customHeight="1" spans="1:10">
      <c r="A540" s="128">
        <v>474</v>
      </c>
      <c r="B540" s="152" t="s">
        <v>598</v>
      </c>
      <c r="C540" s="333" t="s">
        <v>1242</v>
      </c>
      <c r="D540" s="333" t="s">
        <v>1267</v>
      </c>
      <c r="E540" s="83">
        <v>20</v>
      </c>
      <c r="F540" s="332">
        <v>10</v>
      </c>
      <c r="G540" s="83">
        <v>-10</v>
      </c>
      <c r="H540" s="83">
        <v>-10</v>
      </c>
      <c r="I540" s="83">
        <f t="shared" si="59"/>
        <v>10</v>
      </c>
      <c r="J540" s="348"/>
    </row>
    <row r="541" s="317" customFormat="1" customHeight="1" spans="1:10">
      <c r="A541" s="128">
        <v>475</v>
      </c>
      <c r="B541" s="152" t="s">
        <v>598</v>
      </c>
      <c r="C541" s="333" t="s">
        <v>1242</v>
      </c>
      <c r="D541" s="333" t="s">
        <v>1268</v>
      </c>
      <c r="E541" s="83">
        <v>10</v>
      </c>
      <c r="F541" s="332">
        <v>10</v>
      </c>
      <c r="G541" s="83">
        <v>-10</v>
      </c>
      <c r="H541" s="83">
        <v>-10</v>
      </c>
      <c r="I541" s="83">
        <f t="shared" si="59"/>
        <v>0</v>
      </c>
      <c r="J541" s="348" t="s">
        <v>1269</v>
      </c>
    </row>
    <row r="542" s="317" customFormat="1" customHeight="1" spans="1:10">
      <c r="A542" s="337" t="s">
        <v>1270</v>
      </c>
      <c r="B542" s="338"/>
      <c r="C542" s="339"/>
      <c r="D542" s="340"/>
      <c r="E542" s="138">
        <f t="shared" ref="E542:I542" si="60">SUM(E523:E541)</f>
        <v>803.88</v>
      </c>
      <c r="F542" s="83">
        <f t="shared" si="60"/>
        <v>210.098007</v>
      </c>
      <c r="G542" s="138">
        <f t="shared" si="60"/>
        <v>-145.445278</v>
      </c>
      <c r="H542" s="138">
        <f t="shared" si="60"/>
        <v>-145.445278</v>
      </c>
      <c r="I542" s="138">
        <f t="shared" si="60"/>
        <v>658.434722</v>
      </c>
      <c r="J542" s="349"/>
    </row>
    <row r="543" s="317" customFormat="1" customHeight="1" spans="1:10">
      <c r="A543" s="128">
        <v>476</v>
      </c>
      <c r="B543" s="152" t="s">
        <v>616</v>
      </c>
      <c r="C543" s="333" t="s">
        <v>1271</v>
      </c>
      <c r="D543" s="333" t="s">
        <v>1272</v>
      </c>
      <c r="E543" s="142">
        <v>7.2</v>
      </c>
      <c r="F543" s="142">
        <v>0</v>
      </c>
      <c r="G543" s="142"/>
      <c r="H543" s="142"/>
      <c r="I543" s="83">
        <f t="shared" ref="I543:I548" si="61">E543+H543</f>
        <v>7.2</v>
      </c>
      <c r="J543" s="71"/>
    </row>
    <row r="544" s="317" customFormat="1" customHeight="1" spans="1:10">
      <c r="A544" s="128">
        <v>477</v>
      </c>
      <c r="B544" s="152" t="s">
        <v>606</v>
      </c>
      <c r="C544" s="333" t="s">
        <v>1271</v>
      </c>
      <c r="D544" s="151" t="s">
        <v>1273</v>
      </c>
      <c r="E544" s="83">
        <v>18</v>
      </c>
      <c r="F544" s="83">
        <v>18</v>
      </c>
      <c r="G544" s="83">
        <v>-18</v>
      </c>
      <c r="H544" s="83">
        <v>-18</v>
      </c>
      <c r="I544" s="83">
        <f t="shared" si="61"/>
        <v>0</v>
      </c>
      <c r="J544" s="59"/>
    </row>
    <row r="545" s="317" customFormat="1" customHeight="1" spans="1:10">
      <c r="A545" s="128">
        <v>478</v>
      </c>
      <c r="B545" s="152" t="s">
        <v>624</v>
      </c>
      <c r="C545" s="71" t="s">
        <v>1271</v>
      </c>
      <c r="D545" s="71" t="s">
        <v>1274</v>
      </c>
      <c r="E545" s="83">
        <v>20</v>
      </c>
      <c r="F545" s="83">
        <v>2.649597</v>
      </c>
      <c r="G545" s="83">
        <v>-0.583978999999999</v>
      </c>
      <c r="H545" s="83">
        <v>-0.583978999999999</v>
      </c>
      <c r="I545" s="83">
        <f t="shared" si="61"/>
        <v>19.416021</v>
      </c>
      <c r="J545" s="59"/>
    </row>
    <row r="546" s="317" customFormat="1" customHeight="1" spans="1:10">
      <c r="A546" s="128">
        <v>479</v>
      </c>
      <c r="B546" s="152" t="s">
        <v>624</v>
      </c>
      <c r="C546" s="71" t="s">
        <v>1271</v>
      </c>
      <c r="D546" s="71" t="s">
        <v>1275</v>
      </c>
      <c r="E546" s="83">
        <v>2</v>
      </c>
      <c r="F546" s="83">
        <v>2</v>
      </c>
      <c r="G546" s="83">
        <v>-0.28</v>
      </c>
      <c r="H546" s="83">
        <v>-0.28</v>
      </c>
      <c r="I546" s="83">
        <f t="shared" si="61"/>
        <v>1.72</v>
      </c>
      <c r="J546" s="59"/>
    </row>
    <row r="547" s="317" customFormat="1" customHeight="1" spans="1:10">
      <c r="A547" s="128">
        <v>480</v>
      </c>
      <c r="B547" s="152" t="s">
        <v>624</v>
      </c>
      <c r="C547" s="71" t="s">
        <v>1271</v>
      </c>
      <c r="D547" s="71" t="s">
        <v>1276</v>
      </c>
      <c r="E547" s="83">
        <v>22.386</v>
      </c>
      <c r="F547" s="83">
        <v>2.613333</v>
      </c>
      <c r="G547" s="83">
        <v>-0.897332999999996</v>
      </c>
      <c r="H547" s="83">
        <v>-0.897332999999996</v>
      </c>
      <c r="I547" s="83">
        <f t="shared" si="61"/>
        <v>21.488667</v>
      </c>
      <c r="J547" s="59"/>
    </row>
    <row r="548" s="317" customFormat="1" customHeight="1" spans="1:10">
      <c r="A548" s="128">
        <v>481</v>
      </c>
      <c r="B548" s="152" t="s">
        <v>624</v>
      </c>
      <c r="C548" s="71" t="s">
        <v>1271</v>
      </c>
      <c r="D548" s="71" t="s">
        <v>1277</v>
      </c>
      <c r="E548" s="83">
        <v>15</v>
      </c>
      <c r="F548" s="83">
        <v>15</v>
      </c>
      <c r="G548" s="83">
        <v>-15</v>
      </c>
      <c r="H548" s="83">
        <v>-15</v>
      </c>
      <c r="I548" s="83">
        <f t="shared" si="61"/>
        <v>0</v>
      </c>
      <c r="J548" s="59"/>
    </row>
    <row r="549" s="317" customFormat="1" customHeight="1" spans="1:10">
      <c r="A549" s="337" t="s">
        <v>1278</v>
      </c>
      <c r="B549" s="338"/>
      <c r="C549" s="339"/>
      <c r="D549" s="340"/>
      <c r="E549" s="138">
        <f t="shared" ref="E549:I549" si="62">SUM(E543:E548)</f>
        <v>84.586</v>
      </c>
      <c r="F549" s="83">
        <f t="shared" si="62"/>
        <v>40.26293</v>
      </c>
      <c r="G549" s="138">
        <f t="shared" si="62"/>
        <v>-34.761312</v>
      </c>
      <c r="H549" s="138">
        <f t="shared" si="62"/>
        <v>-34.761312</v>
      </c>
      <c r="I549" s="138">
        <f t="shared" si="62"/>
        <v>49.824688</v>
      </c>
      <c r="J549" s="344"/>
    </row>
    <row r="550" s="317" customFormat="1" customHeight="1" spans="1:10">
      <c r="A550" s="128">
        <v>482</v>
      </c>
      <c r="B550" s="152" t="s">
        <v>598</v>
      </c>
      <c r="C550" s="333" t="s">
        <v>1279</v>
      </c>
      <c r="D550" s="333" t="s">
        <v>1280</v>
      </c>
      <c r="E550" s="83">
        <v>124.4</v>
      </c>
      <c r="F550" s="83">
        <v>41.6339</v>
      </c>
      <c r="G550" s="83">
        <v>-4.946018</v>
      </c>
      <c r="H550" s="83">
        <v>-4.946018</v>
      </c>
      <c r="I550" s="83">
        <f t="shared" ref="I550:I553" si="63">E550+H550</f>
        <v>119.453982</v>
      </c>
      <c r="J550" s="348" t="s">
        <v>1281</v>
      </c>
    </row>
    <row r="551" s="317" customFormat="1" customHeight="1" spans="1:10">
      <c r="A551" s="128">
        <v>483</v>
      </c>
      <c r="B551" s="152" t="s">
        <v>598</v>
      </c>
      <c r="C551" s="333" t="s">
        <v>1279</v>
      </c>
      <c r="D551" s="333" t="s">
        <v>1282</v>
      </c>
      <c r="E551" s="83">
        <v>11</v>
      </c>
      <c r="F551" s="83">
        <v>0</v>
      </c>
      <c r="G551" s="83"/>
      <c r="H551" s="83"/>
      <c r="I551" s="83">
        <f t="shared" si="63"/>
        <v>11</v>
      </c>
      <c r="J551" s="348" t="s">
        <v>1283</v>
      </c>
    </row>
    <row r="552" s="317" customFormat="1" customHeight="1" spans="1:10">
      <c r="A552" s="128">
        <v>484</v>
      </c>
      <c r="B552" s="152" t="s">
        <v>598</v>
      </c>
      <c r="C552" s="333" t="s">
        <v>1279</v>
      </c>
      <c r="D552" s="333" t="s">
        <v>1284</v>
      </c>
      <c r="E552" s="83">
        <v>80</v>
      </c>
      <c r="F552" s="83">
        <v>80</v>
      </c>
      <c r="G552" s="83"/>
      <c r="H552" s="83"/>
      <c r="I552" s="83">
        <f t="shared" si="63"/>
        <v>80</v>
      </c>
      <c r="J552" s="348"/>
    </row>
    <row r="553" s="317" customFormat="1" customHeight="1" spans="1:10">
      <c r="A553" s="128">
        <v>485</v>
      </c>
      <c r="B553" s="152" t="s">
        <v>598</v>
      </c>
      <c r="C553" s="333" t="s">
        <v>1279</v>
      </c>
      <c r="D553" s="333" t="s">
        <v>1285</v>
      </c>
      <c r="E553" s="83">
        <v>35</v>
      </c>
      <c r="F553" s="83">
        <v>17.768</v>
      </c>
      <c r="G553" s="83"/>
      <c r="H553" s="83"/>
      <c r="I553" s="83">
        <f t="shared" si="63"/>
        <v>35</v>
      </c>
      <c r="J553" s="348"/>
    </row>
    <row r="554" s="317" customFormat="1" customHeight="1" spans="1:10">
      <c r="A554" s="337" t="s">
        <v>1286</v>
      </c>
      <c r="B554" s="338"/>
      <c r="C554" s="339"/>
      <c r="D554" s="340"/>
      <c r="E554" s="138">
        <f t="shared" ref="E554:I554" si="64">SUM(E550:E553)</f>
        <v>250.4</v>
      </c>
      <c r="F554" s="83">
        <f t="shared" si="64"/>
        <v>139.4019</v>
      </c>
      <c r="G554" s="138">
        <f t="shared" si="64"/>
        <v>-4.946018</v>
      </c>
      <c r="H554" s="138">
        <f t="shared" si="64"/>
        <v>-4.946018</v>
      </c>
      <c r="I554" s="138">
        <f t="shared" si="64"/>
        <v>245.453982</v>
      </c>
      <c r="J554" s="349"/>
    </row>
    <row r="555" s="317" customFormat="1" customHeight="1" spans="1:10">
      <c r="A555" s="128">
        <v>486</v>
      </c>
      <c r="B555" s="152" t="s">
        <v>616</v>
      </c>
      <c r="C555" s="333" t="s">
        <v>1287</v>
      </c>
      <c r="D555" s="333" t="s">
        <v>859</v>
      </c>
      <c r="E555" s="142">
        <v>10</v>
      </c>
      <c r="F555" s="353">
        <v>0</v>
      </c>
      <c r="G555" s="142"/>
      <c r="H555" s="142"/>
      <c r="I555" s="83">
        <f t="shared" ref="I555:I559" si="65">E555+H555</f>
        <v>10</v>
      </c>
      <c r="J555" s="71"/>
    </row>
    <row r="556" s="317" customFormat="1" customHeight="1" spans="1:10">
      <c r="A556" s="128">
        <v>487</v>
      </c>
      <c r="B556" s="152" t="s">
        <v>616</v>
      </c>
      <c r="C556" s="333" t="s">
        <v>1287</v>
      </c>
      <c r="D556" s="333" t="s">
        <v>1288</v>
      </c>
      <c r="E556" s="142">
        <v>10</v>
      </c>
      <c r="F556" s="353">
        <v>10</v>
      </c>
      <c r="G556" s="142">
        <v>-10</v>
      </c>
      <c r="H556" s="142">
        <v>-10</v>
      </c>
      <c r="I556" s="83">
        <f t="shared" si="65"/>
        <v>0</v>
      </c>
      <c r="J556" s="71"/>
    </row>
    <row r="557" s="317" customFormat="1" customHeight="1" spans="1:10">
      <c r="A557" s="128">
        <v>488</v>
      </c>
      <c r="B557" s="152" t="s">
        <v>616</v>
      </c>
      <c r="C557" s="345" t="s">
        <v>1287</v>
      </c>
      <c r="D557" s="345" t="s">
        <v>1289</v>
      </c>
      <c r="E557" s="142">
        <v>20</v>
      </c>
      <c r="F557" s="353">
        <v>0</v>
      </c>
      <c r="G557" s="142"/>
      <c r="H557" s="142"/>
      <c r="I557" s="83">
        <f t="shared" si="65"/>
        <v>20</v>
      </c>
      <c r="J557" s="361" t="s">
        <v>1290</v>
      </c>
    </row>
    <row r="558" s="317" customFormat="1" customHeight="1" spans="1:10">
      <c r="A558" s="128">
        <v>489</v>
      </c>
      <c r="B558" s="152" t="s">
        <v>616</v>
      </c>
      <c r="C558" s="333" t="s">
        <v>1287</v>
      </c>
      <c r="D558" s="333" t="s">
        <v>1291</v>
      </c>
      <c r="E558" s="142">
        <v>1.92</v>
      </c>
      <c r="F558" s="353">
        <v>0</v>
      </c>
      <c r="G558" s="142"/>
      <c r="H558" s="142"/>
      <c r="I558" s="83">
        <f t="shared" si="65"/>
        <v>1.92</v>
      </c>
      <c r="J558" s="71"/>
    </row>
    <row r="559" s="317" customFormat="1" customHeight="1" spans="1:10">
      <c r="A559" s="128">
        <v>490</v>
      </c>
      <c r="B559" s="152" t="s">
        <v>616</v>
      </c>
      <c r="C559" s="333" t="s">
        <v>1287</v>
      </c>
      <c r="D559" s="333" t="s">
        <v>1292</v>
      </c>
      <c r="E559" s="142">
        <v>2</v>
      </c>
      <c r="F559" s="353">
        <v>0</v>
      </c>
      <c r="G559" s="142"/>
      <c r="H559" s="142"/>
      <c r="I559" s="83">
        <f t="shared" si="65"/>
        <v>2</v>
      </c>
      <c r="J559" s="71"/>
    </row>
    <row r="560" s="317" customFormat="1" customHeight="1" spans="1:10">
      <c r="A560" s="337" t="s">
        <v>1293</v>
      </c>
      <c r="B560" s="338"/>
      <c r="C560" s="339"/>
      <c r="D560" s="340"/>
      <c r="E560" s="352">
        <f t="shared" ref="E560:I560" si="66">SUM(E555:E559)</f>
        <v>43.92</v>
      </c>
      <c r="F560" s="142">
        <f t="shared" si="66"/>
        <v>10</v>
      </c>
      <c r="G560" s="352">
        <f t="shared" si="66"/>
        <v>-10</v>
      </c>
      <c r="H560" s="352">
        <f t="shared" si="66"/>
        <v>-10</v>
      </c>
      <c r="I560" s="352">
        <f t="shared" si="66"/>
        <v>33.92</v>
      </c>
      <c r="J560" s="165"/>
    </row>
    <row r="561" s="317" customFormat="1" customHeight="1" spans="1:10">
      <c r="A561" s="128">
        <v>491</v>
      </c>
      <c r="B561" s="152" t="s">
        <v>598</v>
      </c>
      <c r="C561" s="333" t="s">
        <v>1294</v>
      </c>
      <c r="D561" s="333" t="s">
        <v>1295</v>
      </c>
      <c r="E561" s="83">
        <v>40</v>
      </c>
      <c r="F561" s="83">
        <v>40</v>
      </c>
      <c r="G561" s="83">
        <v>-40</v>
      </c>
      <c r="H561" s="83">
        <v>-40</v>
      </c>
      <c r="I561" s="83">
        <f t="shared" ref="I561:I574" si="67">E561+H561</f>
        <v>0</v>
      </c>
      <c r="J561" s="348" t="s">
        <v>1296</v>
      </c>
    </row>
    <row r="562" s="317" customFormat="1" customHeight="1" spans="1:10">
      <c r="A562" s="128">
        <v>492</v>
      </c>
      <c r="B562" s="152" t="s">
        <v>598</v>
      </c>
      <c r="C562" s="333" t="s">
        <v>1294</v>
      </c>
      <c r="D562" s="333" t="s">
        <v>1297</v>
      </c>
      <c r="E562" s="83">
        <v>8</v>
      </c>
      <c r="F562" s="83">
        <v>8</v>
      </c>
      <c r="G562" s="83">
        <v>-8</v>
      </c>
      <c r="H562" s="83">
        <v>-8</v>
      </c>
      <c r="I562" s="83">
        <f t="shared" si="67"/>
        <v>0</v>
      </c>
      <c r="J562" s="348" t="s">
        <v>1298</v>
      </c>
    </row>
    <row r="563" s="317" customFormat="1" customHeight="1" spans="1:10">
      <c r="A563" s="128">
        <v>493</v>
      </c>
      <c r="B563" s="152" t="s">
        <v>598</v>
      </c>
      <c r="C563" s="333" t="s">
        <v>1294</v>
      </c>
      <c r="D563" s="333" t="s">
        <v>1299</v>
      </c>
      <c r="E563" s="83">
        <v>31.27</v>
      </c>
      <c r="F563" s="83">
        <v>26.27</v>
      </c>
      <c r="G563" s="83">
        <v>-26.27</v>
      </c>
      <c r="H563" s="83">
        <v>-26.27</v>
      </c>
      <c r="I563" s="83">
        <f t="shared" si="67"/>
        <v>5</v>
      </c>
      <c r="J563" s="348"/>
    </row>
    <row r="564" s="317" customFormat="1" customHeight="1" spans="1:10">
      <c r="A564" s="128">
        <v>494</v>
      </c>
      <c r="B564" s="152" t="s">
        <v>598</v>
      </c>
      <c r="C564" s="333" t="s">
        <v>1294</v>
      </c>
      <c r="D564" s="333" t="s">
        <v>1300</v>
      </c>
      <c r="E564" s="83">
        <v>24</v>
      </c>
      <c r="F564" s="83">
        <v>8.63138</v>
      </c>
      <c r="G564" s="83">
        <v>-0.65642</v>
      </c>
      <c r="H564" s="83">
        <v>-0.65642</v>
      </c>
      <c r="I564" s="83">
        <f t="shared" si="67"/>
        <v>23.34358</v>
      </c>
      <c r="J564" s="348"/>
    </row>
    <row r="565" s="317" customFormat="1" customHeight="1" spans="1:10">
      <c r="A565" s="128">
        <v>495</v>
      </c>
      <c r="B565" s="152" t="s">
        <v>598</v>
      </c>
      <c r="C565" s="333" t="s">
        <v>1294</v>
      </c>
      <c r="D565" s="333" t="s">
        <v>1301</v>
      </c>
      <c r="E565" s="83">
        <v>3</v>
      </c>
      <c r="F565" s="83">
        <v>3</v>
      </c>
      <c r="G565" s="83">
        <v>-3</v>
      </c>
      <c r="H565" s="83">
        <v>-3</v>
      </c>
      <c r="I565" s="83">
        <f t="shared" si="67"/>
        <v>0</v>
      </c>
      <c r="J565" s="348"/>
    </row>
    <row r="566" s="317" customFormat="1" customHeight="1" spans="1:10">
      <c r="A566" s="128">
        <v>496</v>
      </c>
      <c r="B566" s="152" t="s">
        <v>598</v>
      </c>
      <c r="C566" s="333" t="s">
        <v>1294</v>
      </c>
      <c r="D566" s="333" t="s">
        <v>1302</v>
      </c>
      <c r="E566" s="83">
        <v>2</v>
      </c>
      <c r="F566" s="83">
        <v>0</v>
      </c>
      <c r="G566" s="83"/>
      <c r="H566" s="83"/>
      <c r="I566" s="83">
        <f t="shared" si="67"/>
        <v>2</v>
      </c>
      <c r="J566" s="348"/>
    </row>
    <row r="567" s="317" customFormat="1" customHeight="1" spans="1:10">
      <c r="A567" s="128">
        <v>497</v>
      </c>
      <c r="B567" s="152" t="s">
        <v>598</v>
      </c>
      <c r="C567" s="333" t="s">
        <v>1294</v>
      </c>
      <c r="D567" s="333" t="s">
        <v>1303</v>
      </c>
      <c r="E567" s="83">
        <v>24</v>
      </c>
      <c r="F567" s="83">
        <v>24</v>
      </c>
      <c r="G567" s="83">
        <v>-24</v>
      </c>
      <c r="H567" s="83">
        <v>-24</v>
      </c>
      <c r="I567" s="83">
        <f t="shared" si="67"/>
        <v>0</v>
      </c>
      <c r="J567" s="348"/>
    </row>
    <row r="568" s="317" customFormat="1" customHeight="1" spans="1:10">
      <c r="A568" s="128">
        <v>498</v>
      </c>
      <c r="B568" s="152" t="s">
        <v>598</v>
      </c>
      <c r="C568" s="333" t="s">
        <v>1294</v>
      </c>
      <c r="D568" s="333" t="s">
        <v>1304</v>
      </c>
      <c r="E568" s="83">
        <v>2</v>
      </c>
      <c r="F568" s="83">
        <v>1.038</v>
      </c>
      <c r="G568" s="83">
        <v>-1.038</v>
      </c>
      <c r="H568" s="83">
        <v>-1.038</v>
      </c>
      <c r="I568" s="83">
        <f t="shared" si="67"/>
        <v>0.962</v>
      </c>
      <c r="J568" s="348"/>
    </row>
    <row r="569" s="317" customFormat="1" customHeight="1" spans="1:10">
      <c r="A569" s="128">
        <v>499</v>
      </c>
      <c r="B569" s="152" t="s">
        <v>598</v>
      </c>
      <c r="C569" s="333" t="s">
        <v>1294</v>
      </c>
      <c r="D569" s="333" t="s">
        <v>1305</v>
      </c>
      <c r="E569" s="83">
        <v>40</v>
      </c>
      <c r="F569" s="83">
        <v>20.4785</v>
      </c>
      <c r="G569" s="83">
        <v>-11.1951</v>
      </c>
      <c r="H569" s="83">
        <v>-11.1951</v>
      </c>
      <c r="I569" s="83">
        <f t="shared" si="67"/>
        <v>28.8049</v>
      </c>
      <c r="J569" s="348"/>
    </row>
    <row r="570" s="317" customFormat="1" customHeight="1" spans="1:10">
      <c r="A570" s="128">
        <v>500</v>
      </c>
      <c r="B570" s="152" t="s">
        <v>598</v>
      </c>
      <c r="C570" s="333" t="s">
        <v>1294</v>
      </c>
      <c r="D570" s="333" t="s">
        <v>1306</v>
      </c>
      <c r="E570" s="83">
        <v>31.32</v>
      </c>
      <c r="F570" s="83">
        <v>31.32</v>
      </c>
      <c r="G570" s="83">
        <v>-31.32</v>
      </c>
      <c r="H570" s="83">
        <v>-31.32</v>
      </c>
      <c r="I570" s="83">
        <f t="shared" si="67"/>
        <v>0</v>
      </c>
      <c r="J570" s="348"/>
    </row>
    <row r="571" s="317" customFormat="1" customHeight="1" spans="1:10">
      <c r="A571" s="128">
        <v>501</v>
      </c>
      <c r="B571" s="152" t="s">
        <v>598</v>
      </c>
      <c r="C571" s="333" t="s">
        <v>1294</v>
      </c>
      <c r="D571" s="333" t="s">
        <v>1307</v>
      </c>
      <c r="E571" s="83">
        <v>3</v>
      </c>
      <c r="F571" s="83">
        <v>1.94</v>
      </c>
      <c r="G571" s="83">
        <v>-1.94</v>
      </c>
      <c r="H571" s="83">
        <v>-1.94</v>
      </c>
      <c r="I571" s="83">
        <f t="shared" si="67"/>
        <v>1.06</v>
      </c>
      <c r="J571" s="348"/>
    </row>
    <row r="572" s="317" customFormat="1" customHeight="1" spans="1:10">
      <c r="A572" s="128">
        <v>502</v>
      </c>
      <c r="B572" s="152" t="s">
        <v>598</v>
      </c>
      <c r="C572" s="333" t="s">
        <v>1294</v>
      </c>
      <c r="D572" s="333" t="s">
        <v>1308</v>
      </c>
      <c r="E572" s="83">
        <v>15</v>
      </c>
      <c r="F572" s="83">
        <v>0.5</v>
      </c>
      <c r="G572" s="83">
        <v>-0.5</v>
      </c>
      <c r="H572" s="83">
        <v>-0.5</v>
      </c>
      <c r="I572" s="83">
        <f t="shared" si="67"/>
        <v>14.5</v>
      </c>
      <c r="J572" s="348"/>
    </row>
    <row r="573" s="317" customFormat="1" customHeight="1" spans="1:10">
      <c r="A573" s="128">
        <v>503</v>
      </c>
      <c r="B573" s="152" t="s">
        <v>606</v>
      </c>
      <c r="C573" s="333" t="s">
        <v>1294</v>
      </c>
      <c r="D573" s="71" t="s">
        <v>1295</v>
      </c>
      <c r="E573" s="83">
        <v>40</v>
      </c>
      <c r="F573" s="83">
        <v>40</v>
      </c>
      <c r="G573" s="83">
        <v>-40</v>
      </c>
      <c r="H573" s="83">
        <v>-40</v>
      </c>
      <c r="I573" s="83">
        <f t="shared" si="67"/>
        <v>0</v>
      </c>
      <c r="J573" s="59" t="s">
        <v>1309</v>
      </c>
    </row>
    <row r="574" s="317" customFormat="1" customHeight="1" spans="1:10">
      <c r="A574" s="19" t="s">
        <v>1310</v>
      </c>
      <c r="B574" s="357"/>
      <c r="C574" s="358"/>
      <c r="D574" s="359"/>
      <c r="E574" s="138">
        <f>SUM(E561:E573)</f>
        <v>263.59</v>
      </c>
      <c r="F574" s="138">
        <f>SUM(F561:F573)</f>
        <v>205.17788</v>
      </c>
      <c r="G574" s="138">
        <f>SUM(G561:G573)</f>
        <v>-187.91952</v>
      </c>
      <c r="H574" s="138">
        <f>SUM(H561:H573)</f>
        <v>-187.91952</v>
      </c>
      <c r="I574" s="138">
        <f>SUM(I561:I573)</f>
        <v>75.67048</v>
      </c>
      <c r="J574" s="165"/>
    </row>
    <row r="575" s="317" customFormat="1" customHeight="1" spans="1:10">
      <c r="A575" s="128">
        <v>504</v>
      </c>
      <c r="B575" s="152" t="s">
        <v>598</v>
      </c>
      <c r="C575" s="333" t="s">
        <v>1311</v>
      </c>
      <c r="D575" s="333" t="s">
        <v>1312</v>
      </c>
      <c r="E575" s="83">
        <v>50</v>
      </c>
      <c r="F575" s="83">
        <v>50</v>
      </c>
      <c r="G575" s="83">
        <v>-50</v>
      </c>
      <c r="H575" s="83">
        <v>-50</v>
      </c>
      <c r="I575" s="83">
        <f t="shared" ref="I575:I577" si="68">E575+H575</f>
        <v>0</v>
      </c>
      <c r="J575" s="348"/>
    </row>
    <row r="576" s="317" customFormat="1" customHeight="1" spans="1:10">
      <c r="A576" s="128">
        <v>505</v>
      </c>
      <c r="B576" s="152" t="s">
        <v>598</v>
      </c>
      <c r="C576" s="333" t="s">
        <v>1311</v>
      </c>
      <c r="D576" s="333" t="s">
        <v>1313</v>
      </c>
      <c r="E576" s="83">
        <v>12</v>
      </c>
      <c r="F576" s="83">
        <v>0</v>
      </c>
      <c r="G576" s="83"/>
      <c r="H576" s="83"/>
      <c r="I576" s="83">
        <f t="shared" si="68"/>
        <v>12</v>
      </c>
      <c r="J576" s="348" t="s">
        <v>1314</v>
      </c>
    </row>
    <row r="577" s="317" customFormat="1" customHeight="1" spans="1:10">
      <c r="A577" s="128">
        <v>506</v>
      </c>
      <c r="B577" s="152" t="s">
        <v>598</v>
      </c>
      <c r="C577" s="333" t="s">
        <v>1311</v>
      </c>
      <c r="D577" s="333" t="s">
        <v>1315</v>
      </c>
      <c r="E577" s="83">
        <v>5</v>
      </c>
      <c r="F577" s="83">
        <v>3.555</v>
      </c>
      <c r="G577" s="83">
        <v>-3.349929</v>
      </c>
      <c r="H577" s="83">
        <v>-3.349929</v>
      </c>
      <c r="I577" s="83">
        <f t="shared" si="68"/>
        <v>1.650071</v>
      </c>
      <c r="J577" s="348"/>
    </row>
    <row r="578" s="317" customFormat="1" customHeight="1" spans="1:10">
      <c r="A578" s="337" t="s">
        <v>1316</v>
      </c>
      <c r="B578" s="338"/>
      <c r="C578" s="339"/>
      <c r="D578" s="340"/>
      <c r="E578" s="138">
        <f t="shared" ref="E578:I578" si="69">SUM(E575:E577)</f>
        <v>67</v>
      </c>
      <c r="F578" s="83">
        <f t="shared" si="69"/>
        <v>53.555</v>
      </c>
      <c r="G578" s="138">
        <f t="shared" si="69"/>
        <v>-53.349929</v>
      </c>
      <c r="H578" s="138">
        <f t="shared" si="69"/>
        <v>-53.349929</v>
      </c>
      <c r="I578" s="138">
        <f t="shared" si="69"/>
        <v>13.650071</v>
      </c>
      <c r="J578" s="349"/>
    </row>
    <row r="579" s="317" customFormat="1" customHeight="1" spans="1:10">
      <c r="A579" s="128">
        <v>507</v>
      </c>
      <c r="B579" s="152" t="s">
        <v>598</v>
      </c>
      <c r="C579" s="333" t="s">
        <v>1317</v>
      </c>
      <c r="D579" s="333" t="s">
        <v>1318</v>
      </c>
      <c r="E579" s="83">
        <v>3</v>
      </c>
      <c r="F579" s="83">
        <v>0</v>
      </c>
      <c r="G579" s="83"/>
      <c r="H579" s="83"/>
      <c r="I579" s="83">
        <f t="shared" ref="I579:I583" si="70">E579+H579</f>
        <v>3</v>
      </c>
      <c r="J579" s="348" t="s">
        <v>1319</v>
      </c>
    </row>
    <row r="580" s="317" customFormat="1" customHeight="1" spans="1:10">
      <c r="A580" s="128">
        <v>508</v>
      </c>
      <c r="B580" s="152" t="s">
        <v>598</v>
      </c>
      <c r="C580" s="333" t="s">
        <v>1317</v>
      </c>
      <c r="D580" s="333" t="s">
        <v>1320</v>
      </c>
      <c r="E580" s="83">
        <v>8</v>
      </c>
      <c r="F580" s="83">
        <v>0</v>
      </c>
      <c r="G580" s="83"/>
      <c r="H580" s="83"/>
      <c r="I580" s="83">
        <f t="shared" si="70"/>
        <v>8</v>
      </c>
      <c r="J580" s="348" t="s">
        <v>1321</v>
      </c>
    </row>
    <row r="581" s="317" customFormat="1" customHeight="1" spans="1:10">
      <c r="A581" s="128">
        <v>509</v>
      </c>
      <c r="B581" s="152" t="s">
        <v>598</v>
      </c>
      <c r="C581" s="333" t="s">
        <v>1317</v>
      </c>
      <c r="D581" s="333" t="s">
        <v>1322</v>
      </c>
      <c r="E581" s="83">
        <v>1</v>
      </c>
      <c r="F581" s="83">
        <v>1</v>
      </c>
      <c r="G581" s="83">
        <v>-1</v>
      </c>
      <c r="H581" s="83">
        <v>-1</v>
      </c>
      <c r="I581" s="83">
        <f t="shared" si="70"/>
        <v>0</v>
      </c>
      <c r="J581" s="348" t="s">
        <v>1323</v>
      </c>
    </row>
    <row r="582" s="317" customFormat="1" customHeight="1" spans="1:10">
      <c r="A582" s="128">
        <v>510</v>
      </c>
      <c r="B582" s="152" t="s">
        <v>598</v>
      </c>
      <c r="C582" s="333" t="s">
        <v>1317</v>
      </c>
      <c r="D582" s="333" t="s">
        <v>1324</v>
      </c>
      <c r="E582" s="83">
        <v>1</v>
      </c>
      <c r="F582" s="83">
        <v>0</v>
      </c>
      <c r="G582" s="83"/>
      <c r="H582" s="83"/>
      <c r="I582" s="83">
        <f t="shared" si="70"/>
        <v>1</v>
      </c>
      <c r="J582" s="362"/>
    </row>
    <row r="583" s="317" customFormat="1" customHeight="1" spans="1:10">
      <c r="A583" s="128">
        <v>511</v>
      </c>
      <c r="B583" s="152" t="s">
        <v>598</v>
      </c>
      <c r="C583" s="333" t="s">
        <v>1317</v>
      </c>
      <c r="D583" s="333" t="s">
        <v>1325</v>
      </c>
      <c r="E583" s="83">
        <v>2.5</v>
      </c>
      <c r="F583" s="83">
        <v>2.5</v>
      </c>
      <c r="G583" s="83">
        <v>-2.5</v>
      </c>
      <c r="H583" s="83">
        <v>-2.5</v>
      </c>
      <c r="I583" s="83">
        <f t="shared" si="70"/>
        <v>0</v>
      </c>
      <c r="J583" s="348" t="s">
        <v>1326</v>
      </c>
    </row>
    <row r="584" s="317" customFormat="1" customHeight="1" spans="1:10">
      <c r="A584" s="337" t="s">
        <v>1327</v>
      </c>
      <c r="B584" s="338"/>
      <c r="C584" s="339"/>
      <c r="D584" s="340"/>
      <c r="E584" s="138">
        <f t="shared" ref="E584:I584" si="71">SUM(E579:E583)</f>
        <v>15.5</v>
      </c>
      <c r="F584" s="83">
        <f t="shared" si="71"/>
        <v>3.5</v>
      </c>
      <c r="G584" s="138">
        <f t="shared" si="71"/>
        <v>-3.5</v>
      </c>
      <c r="H584" s="138">
        <f t="shared" si="71"/>
        <v>-3.5</v>
      </c>
      <c r="I584" s="138">
        <f t="shared" si="71"/>
        <v>12</v>
      </c>
      <c r="J584" s="349"/>
    </row>
    <row r="585" s="317" customFormat="1" customHeight="1" spans="1:10">
      <c r="A585" s="128">
        <v>512</v>
      </c>
      <c r="B585" s="152" t="s">
        <v>624</v>
      </c>
      <c r="C585" s="71" t="s">
        <v>1328</v>
      </c>
      <c r="D585" s="71" t="s">
        <v>1329</v>
      </c>
      <c r="E585" s="83">
        <v>54.981672</v>
      </c>
      <c r="F585" s="332">
        <v>24.274238</v>
      </c>
      <c r="G585" s="83">
        <v>-24.274238</v>
      </c>
      <c r="H585" s="83">
        <v>-24.274238</v>
      </c>
      <c r="I585" s="83">
        <f t="shared" ref="I585:I596" si="72">E585+H585</f>
        <v>30.707434</v>
      </c>
      <c r="J585" s="59"/>
    </row>
    <row r="586" s="317" customFormat="1" customHeight="1" spans="1:10">
      <c r="A586" s="128">
        <v>513</v>
      </c>
      <c r="B586" s="152" t="s">
        <v>624</v>
      </c>
      <c r="C586" s="71" t="s">
        <v>1328</v>
      </c>
      <c r="D586" s="71" t="s">
        <v>1330</v>
      </c>
      <c r="E586" s="83">
        <v>10</v>
      </c>
      <c r="F586" s="332">
        <v>4</v>
      </c>
      <c r="G586" s="83"/>
      <c r="H586" s="83"/>
      <c r="I586" s="83">
        <f t="shared" si="72"/>
        <v>10</v>
      </c>
      <c r="J586" s="59"/>
    </row>
    <row r="587" s="317" customFormat="1" customHeight="1" spans="1:10">
      <c r="A587" s="128">
        <v>514</v>
      </c>
      <c r="B587" s="152" t="s">
        <v>624</v>
      </c>
      <c r="C587" s="71" t="s">
        <v>1328</v>
      </c>
      <c r="D587" s="71" t="s">
        <v>1331</v>
      </c>
      <c r="E587" s="83">
        <v>5</v>
      </c>
      <c r="F587" s="332">
        <v>3</v>
      </c>
      <c r="G587" s="83">
        <v>-3</v>
      </c>
      <c r="H587" s="83">
        <v>-3</v>
      </c>
      <c r="I587" s="83">
        <f t="shared" si="72"/>
        <v>2</v>
      </c>
      <c r="J587" s="59"/>
    </row>
    <row r="588" s="317" customFormat="1" customHeight="1" spans="1:10">
      <c r="A588" s="128">
        <v>515</v>
      </c>
      <c r="B588" s="152" t="s">
        <v>624</v>
      </c>
      <c r="C588" s="71" t="s">
        <v>1328</v>
      </c>
      <c r="D588" s="71" t="s">
        <v>1332</v>
      </c>
      <c r="E588" s="83">
        <v>129.22176</v>
      </c>
      <c r="F588" s="332">
        <v>21.7891</v>
      </c>
      <c r="G588" s="83">
        <v>-0.30256799999998</v>
      </c>
      <c r="H588" s="83">
        <v>-0.30256799999998</v>
      </c>
      <c r="I588" s="83">
        <f t="shared" si="72"/>
        <v>128.919192</v>
      </c>
      <c r="J588" s="59"/>
    </row>
    <row r="589" s="317" customFormat="1" customHeight="1" spans="1:10">
      <c r="A589" s="128">
        <v>516</v>
      </c>
      <c r="B589" s="152" t="s">
        <v>624</v>
      </c>
      <c r="C589" s="71" t="s">
        <v>1328</v>
      </c>
      <c r="D589" s="71" t="s">
        <v>1333</v>
      </c>
      <c r="E589" s="83">
        <v>22</v>
      </c>
      <c r="F589" s="332">
        <v>14.74243</v>
      </c>
      <c r="G589" s="83">
        <v>-11.977597</v>
      </c>
      <c r="H589" s="83">
        <v>-11.977597</v>
      </c>
      <c r="I589" s="83">
        <f t="shared" si="72"/>
        <v>10.022403</v>
      </c>
      <c r="J589" s="59"/>
    </row>
    <row r="590" s="317" customFormat="1" customHeight="1" spans="1:10">
      <c r="A590" s="128">
        <v>517</v>
      </c>
      <c r="B590" s="152" t="s">
        <v>624</v>
      </c>
      <c r="C590" s="71" t="s">
        <v>1328</v>
      </c>
      <c r="D590" s="71" t="s">
        <v>1334</v>
      </c>
      <c r="E590" s="83">
        <v>17.4</v>
      </c>
      <c r="F590" s="332">
        <v>17.4</v>
      </c>
      <c r="G590" s="83">
        <v>-17.4</v>
      </c>
      <c r="H590" s="83">
        <v>-17.4</v>
      </c>
      <c r="I590" s="83">
        <f t="shared" si="72"/>
        <v>0</v>
      </c>
      <c r="J590" s="59"/>
    </row>
    <row r="591" s="317" customFormat="1" customHeight="1" spans="1:10">
      <c r="A591" s="128">
        <v>518</v>
      </c>
      <c r="B591" s="152" t="s">
        <v>624</v>
      </c>
      <c r="C591" s="71" t="s">
        <v>1328</v>
      </c>
      <c r="D591" s="71" t="s">
        <v>1335</v>
      </c>
      <c r="E591" s="83">
        <v>20</v>
      </c>
      <c r="F591" s="332">
        <v>12.2534</v>
      </c>
      <c r="G591" s="83">
        <v>-12.2534</v>
      </c>
      <c r="H591" s="83">
        <v>-12.2534</v>
      </c>
      <c r="I591" s="83">
        <f t="shared" si="72"/>
        <v>7.7466</v>
      </c>
      <c r="J591" s="59"/>
    </row>
    <row r="592" s="317" customFormat="1" customHeight="1" spans="1:10">
      <c r="A592" s="128">
        <v>519</v>
      </c>
      <c r="B592" s="152" t="s">
        <v>624</v>
      </c>
      <c r="C592" s="71" t="s">
        <v>1328</v>
      </c>
      <c r="D592" s="71" t="s">
        <v>1336</v>
      </c>
      <c r="E592" s="83">
        <v>3</v>
      </c>
      <c r="F592" s="332">
        <v>1.304</v>
      </c>
      <c r="G592" s="83">
        <v>-1.304</v>
      </c>
      <c r="H592" s="83">
        <v>-1.304</v>
      </c>
      <c r="I592" s="83">
        <f t="shared" si="72"/>
        <v>1.696</v>
      </c>
      <c r="J592" s="59"/>
    </row>
    <row r="593" s="317" customFormat="1" customHeight="1" spans="1:10">
      <c r="A593" s="128">
        <v>520</v>
      </c>
      <c r="B593" s="152" t="s">
        <v>624</v>
      </c>
      <c r="C593" s="71" t="s">
        <v>1328</v>
      </c>
      <c r="D593" s="71" t="s">
        <v>1337</v>
      </c>
      <c r="E593" s="83">
        <v>18</v>
      </c>
      <c r="F593" s="332">
        <v>10.496</v>
      </c>
      <c r="G593" s="83">
        <v>-10.496</v>
      </c>
      <c r="H593" s="83">
        <v>-10.496</v>
      </c>
      <c r="I593" s="83">
        <f t="shared" si="72"/>
        <v>7.504</v>
      </c>
      <c r="J593" s="59"/>
    </row>
    <row r="594" s="317" customFormat="1" customHeight="1" spans="1:10">
      <c r="A594" s="128">
        <v>521</v>
      </c>
      <c r="B594" s="152" t="s">
        <v>624</v>
      </c>
      <c r="C594" s="71" t="s">
        <v>1328</v>
      </c>
      <c r="D594" s="71" t="s">
        <v>1338</v>
      </c>
      <c r="E594" s="83">
        <v>65.2</v>
      </c>
      <c r="F594" s="332">
        <v>30.47</v>
      </c>
      <c r="G594" s="83">
        <v>-6.75674300000001</v>
      </c>
      <c r="H594" s="83">
        <v>-6.75674300000001</v>
      </c>
      <c r="I594" s="83">
        <f t="shared" si="72"/>
        <v>58.443257</v>
      </c>
      <c r="J594" s="59"/>
    </row>
    <row r="595" s="317" customFormat="1" customHeight="1" spans="1:10">
      <c r="A595" s="128">
        <v>522</v>
      </c>
      <c r="B595" s="152" t="s">
        <v>624</v>
      </c>
      <c r="C595" s="71" t="s">
        <v>1328</v>
      </c>
      <c r="D595" s="71" t="s">
        <v>758</v>
      </c>
      <c r="E595" s="83">
        <v>7.5</v>
      </c>
      <c r="F595" s="332">
        <v>7.5</v>
      </c>
      <c r="G595" s="83">
        <v>-7.5</v>
      </c>
      <c r="H595" s="83">
        <v>-7.5</v>
      </c>
      <c r="I595" s="83">
        <f t="shared" si="72"/>
        <v>0</v>
      </c>
      <c r="J595" s="59"/>
    </row>
    <row r="596" s="317" customFormat="1" customHeight="1" spans="1:10">
      <c r="A596" s="128">
        <v>523</v>
      </c>
      <c r="B596" s="152" t="s">
        <v>624</v>
      </c>
      <c r="C596" s="71" t="s">
        <v>1328</v>
      </c>
      <c r="D596" s="71" t="s">
        <v>1339</v>
      </c>
      <c r="E596" s="83">
        <v>82.5392</v>
      </c>
      <c r="F596" s="332">
        <v>22.55</v>
      </c>
      <c r="G596" s="83">
        <v>-6.44099999999999</v>
      </c>
      <c r="H596" s="83">
        <v>-6.44099999999999</v>
      </c>
      <c r="I596" s="83">
        <f t="shared" si="72"/>
        <v>76.0982</v>
      </c>
      <c r="J596" s="59"/>
    </row>
    <row r="597" s="317" customFormat="1" customHeight="1" spans="1:10">
      <c r="A597" s="337" t="s">
        <v>1340</v>
      </c>
      <c r="B597" s="338"/>
      <c r="C597" s="339"/>
      <c r="D597" s="340"/>
      <c r="E597" s="138">
        <f t="shared" ref="E597:I597" si="73">SUM(E585:E596)</f>
        <v>434.842632</v>
      </c>
      <c r="F597" s="83">
        <f t="shared" si="73"/>
        <v>169.779168</v>
      </c>
      <c r="G597" s="138">
        <f t="shared" si="73"/>
        <v>-101.705546</v>
      </c>
      <c r="H597" s="138">
        <f t="shared" si="73"/>
        <v>-101.705546</v>
      </c>
      <c r="I597" s="138">
        <f t="shared" si="73"/>
        <v>333.137086</v>
      </c>
      <c r="J597" s="344"/>
    </row>
    <row r="598" s="317" customFormat="1" customHeight="1" spans="1:10">
      <c r="A598" s="128">
        <v>524</v>
      </c>
      <c r="B598" s="152" t="s">
        <v>598</v>
      </c>
      <c r="C598" s="333" t="s">
        <v>1341</v>
      </c>
      <c r="D598" s="333" t="s">
        <v>1342</v>
      </c>
      <c r="E598" s="83">
        <v>11.507212</v>
      </c>
      <c r="F598" s="83">
        <v>1.366603</v>
      </c>
      <c r="G598" s="83">
        <v>-1.366603</v>
      </c>
      <c r="H598" s="83">
        <v>-1.366603</v>
      </c>
      <c r="I598" s="83">
        <f t="shared" ref="I598:I600" si="74">E598+H598</f>
        <v>10.140609</v>
      </c>
      <c r="J598" s="348" t="s">
        <v>1343</v>
      </c>
    </row>
    <row r="599" s="317" customFormat="1" customHeight="1" spans="1:10">
      <c r="A599" s="128">
        <v>525</v>
      </c>
      <c r="B599" s="152" t="s">
        <v>598</v>
      </c>
      <c r="C599" s="333" t="s">
        <v>1341</v>
      </c>
      <c r="D599" s="333" t="s">
        <v>1344</v>
      </c>
      <c r="E599" s="83">
        <v>16</v>
      </c>
      <c r="F599" s="83">
        <v>4.7019</v>
      </c>
      <c r="G599" s="83">
        <v>-3</v>
      </c>
      <c r="H599" s="83">
        <v>-3</v>
      </c>
      <c r="I599" s="83">
        <f t="shared" si="74"/>
        <v>13</v>
      </c>
      <c r="J599" s="348"/>
    </row>
    <row r="600" s="317" customFormat="1" customHeight="1" spans="1:10">
      <c r="A600" s="128">
        <v>526</v>
      </c>
      <c r="B600" s="152" t="s">
        <v>598</v>
      </c>
      <c r="C600" s="333" t="s">
        <v>1341</v>
      </c>
      <c r="D600" s="333" t="s">
        <v>1345</v>
      </c>
      <c r="E600" s="83">
        <v>97.5</v>
      </c>
      <c r="F600" s="83">
        <v>76.7358</v>
      </c>
      <c r="G600" s="83">
        <v>-76.7358</v>
      </c>
      <c r="H600" s="83">
        <v>-76.7358</v>
      </c>
      <c r="I600" s="83">
        <f t="shared" si="74"/>
        <v>20.7642</v>
      </c>
      <c r="J600" s="348" t="s">
        <v>1346</v>
      </c>
    </row>
    <row r="601" s="317" customFormat="1" customHeight="1" spans="1:10">
      <c r="A601" s="337" t="s">
        <v>1347</v>
      </c>
      <c r="B601" s="338"/>
      <c r="C601" s="339"/>
      <c r="D601" s="340"/>
      <c r="E601" s="138">
        <f t="shared" ref="E601:I601" si="75">SUM(E598:E600)</f>
        <v>125.007212</v>
      </c>
      <c r="F601" s="83">
        <f t="shared" si="75"/>
        <v>82.804303</v>
      </c>
      <c r="G601" s="138">
        <f t="shared" si="75"/>
        <v>-81.102403</v>
      </c>
      <c r="H601" s="138">
        <f t="shared" si="75"/>
        <v>-81.102403</v>
      </c>
      <c r="I601" s="138">
        <f t="shared" si="75"/>
        <v>43.904809</v>
      </c>
      <c r="J601" s="349"/>
    </row>
    <row r="602" s="317" customFormat="1" customHeight="1" spans="1:10">
      <c r="A602" s="128">
        <v>527</v>
      </c>
      <c r="B602" s="152" t="s">
        <v>598</v>
      </c>
      <c r="C602" s="333" t="s">
        <v>1348</v>
      </c>
      <c r="D602" s="333" t="s">
        <v>1349</v>
      </c>
      <c r="E602" s="83">
        <v>10</v>
      </c>
      <c r="F602" s="83">
        <v>3.2307</v>
      </c>
      <c r="G602" s="83">
        <v>-0.003132</v>
      </c>
      <c r="H602" s="83">
        <v>-0.003132</v>
      </c>
      <c r="I602" s="83">
        <f t="shared" ref="I602:I604" si="76">E602+H602</f>
        <v>9.996868</v>
      </c>
      <c r="J602" s="348"/>
    </row>
    <row r="603" s="317" customFormat="1" customHeight="1" spans="1:10">
      <c r="A603" s="128">
        <v>528</v>
      </c>
      <c r="B603" s="152" t="s">
        <v>598</v>
      </c>
      <c r="C603" s="333" t="s">
        <v>1348</v>
      </c>
      <c r="D603" s="333" t="s">
        <v>1350</v>
      </c>
      <c r="E603" s="83">
        <v>25</v>
      </c>
      <c r="F603" s="83">
        <v>20</v>
      </c>
      <c r="G603" s="83">
        <v>-20</v>
      </c>
      <c r="H603" s="83">
        <v>-20</v>
      </c>
      <c r="I603" s="83">
        <f t="shared" si="76"/>
        <v>5</v>
      </c>
      <c r="J603" s="348" t="s">
        <v>1351</v>
      </c>
    </row>
    <row r="604" s="317" customFormat="1" customHeight="1" spans="1:10">
      <c r="A604" s="128">
        <v>529</v>
      </c>
      <c r="B604" s="152" t="s">
        <v>598</v>
      </c>
      <c r="C604" s="333" t="s">
        <v>1348</v>
      </c>
      <c r="D604" s="333" t="s">
        <v>1352</v>
      </c>
      <c r="E604" s="83">
        <v>7</v>
      </c>
      <c r="F604" s="83">
        <v>3.0001</v>
      </c>
      <c r="G604" s="83">
        <v>-0.042371</v>
      </c>
      <c r="H604" s="83">
        <v>-0.042371</v>
      </c>
      <c r="I604" s="83">
        <f t="shared" si="76"/>
        <v>6.957629</v>
      </c>
      <c r="J604" s="348"/>
    </row>
    <row r="605" s="317" customFormat="1" customHeight="1" spans="1:10">
      <c r="A605" s="337" t="s">
        <v>1353</v>
      </c>
      <c r="B605" s="338"/>
      <c r="C605" s="339"/>
      <c r="D605" s="340"/>
      <c r="E605" s="138">
        <f t="shared" ref="E605:I605" si="77">SUM(E602:E604)</f>
        <v>42</v>
      </c>
      <c r="F605" s="83">
        <f t="shared" si="77"/>
        <v>26.2308</v>
      </c>
      <c r="G605" s="138">
        <f t="shared" si="77"/>
        <v>-20.045503</v>
      </c>
      <c r="H605" s="138">
        <f t="shared" si="77"/>
        <v>-20.045503</v>
      </c>
      <c r="I605" s="138">
        <f t="shared" si="77"/>
        <v>21.954497</v>
      </c>
      <c r="J605" s="349"/>
    </row>
    <row r="606" s="317" customFormat="1" customHeight="1" spans="1:10">
      <c r="A606" s="128">
        <v>530</v>
      </c>
      <c r="B606" s="152" t="s">
        <v>598</v>
      </c>
      <c r="C606" s="333" t="s">
        <v>1354</v>
      </c>
      <c r="D606" s="333" t="s">
        <v>1355</v>
      </c>
      <c r="E606" s="83">
        <v>80</v>
      </c>
      <c r="F606" s="332">
        <v>80</v>
      </c>
      <c r="G606" s="83">
        <v>-80</v>
      </c>
      <c r="H606" s="83">
        <v>-80</v>
      </c>
      <c r="I606" s="83">
        <f t="shared" ref="I606:I617" si="78">E606+H606</f>
        <v>0</v>
      </c>
      <c r="J606" s="348" t="s">
        <v>1356</v>
      </c>
    </row>
    <row r="607" s="317" customFormat="1" customHeight="1" spans="1:10">
      <c r="A607" s="128">
        <v>531</v>
      </c>
      <c r="B607" s="152" t="s">
        <v>598</v>
      </c>
      <c r="C607" s="333" t="s">
        <v>1354</v>
      </c>
      <c r="D607" s="333" t="s">
        <v>1357</v>
      </c>
      <c r="E607" s="83">
        <v>26.28</v>
      </c>
      <c r="F607" s="332">
        <v>4.8667</v>
      </c>
      <c r="G607" s="83">
        <v>-2.920032</v>
      </c>
      <c r="H607" s="83">
        <v>-2.920032</v>
      </c>
      <c r="I607" s="83">
        <f t="shared" si="78"/>
        <v>23.359968</v>
      </c>
      <c r="J607" s="348" t="s">
        <v>1358</v>
      </c>
    </row>
    <row r="608" s="317" customFormat="1" customHeight="1" spans="1:10">
      <c r="A608" s="128">
        <v>532</v>
      </c>
      <c r="B608" s="152" t="s">
        <v>598</v>
      </c>
      <c r="C608" s="333" t="s">
        <v>1354</v>
      </c>
      <c r="D608" s="333" t="s">
        <v>1359</v>
      </c>
      <c r="E608" s="83">
        <v>57.11</v>
      </c>
      <c r="F608" s="332">
        <v>16.9305</v>
      </c>
      <c r="G608" s="83">
        <v>-11.732983</v>
      </c>
      <c r="H608" s="83">
        <v>-11.732983</v>
      </c>
      <c r="I608" s="83">
        <f t="shared" si="78"/>
        <v>45.377017</v>
      </c>
      <c r="J608" s="348" t="s">
        <v>1360</v>
      </c>
    </row>
    <row r="609" s="317" customFormat="1" customHeight="1" spans="1:10">
      <c r="A609" s="128">
        <v>533</v>
      </c>
      <c r="B609" s="152" t="s">
        <v>598</v>
      </c>
      <c r="C609" s="333" t="s">
        <v>1354</v>
      </c>
      <c r="D609" s="333" t="s">
        <v>1361</v>
      </c>
      <c r="E609" s="83">
        <v>12.63</v>
      </c>
      <c r="F609" s="332">
        <v>5.4097</v>
      </c>
      <c r="G609" s="83">
        <v>-4.290446</v>
      </c>
      <c r="H609" s="83">
        <v>-4.290446</v>
      </c>
      <c r="I609" s="83">
        <f t="shared" si="78"/>
        <v>8.339554</v>
      </c>
      <c r="J609" s="348" t="s">
        <v>1360</v>
      </c>
    </row>
    <row r="610" s="317" customFormat="1" customHeight="1" spans="1:10">
      <c r="A610" s="128">
        <v>534</v>
      </c>
      <c r="B610" s="152" t="s">
        <v>598</v>
      </c>
      <c r="C610" s="333" t="s">
        <v>1354</v>
      </c>
      <c r="D610" s="333" t="s">
        <v>1362</v>
      </c>
      <c r="E610" s="83">
        <v>2.4</v>
      </c>
      <c r="F610" s="332">
        <v>1.52</v>
      </c>
      <c r="G610" s="83">
        <v>-1.52</v>
      </c>
      <c r="H610" s="83">
        <v>-1.52</v>
      </c>
      <c r="I610" s="83">
        <f t="shared" si="78"/>
        <v>0.88</v>
      </c>
      <c r="J610" s="348" t="s">
        <v>1358</v>
      </c>
    </row>
    <row r="611" s="317" customFormat="1" customHeight="1" spans="1:10">
      <c r="A611" s="128">
        <v>535</v>
      </c>
      <c r="B611" s="152" t="s">
        <v>598</v>
      </c>
      <c r="C611" s="333" t="s">
        <v>1354</v>
      </c>
      <c r="D611" s="333" t="s">
        <v>1363</v>
      </c>
      <c r="E611" s="83">
        <v>114</v>
      </c>
      <c r="F611" s="332">
        <v>66.565471</v>
      </c>
      <c r="G611" s="83">
        <v>-66.565471</v>
      </c>
      <c r="H611" s="83">
        <v>-66.565471</v>
      </c>
      <c r="I611" s="83">
        <f t="shared" si="78"/>
        <v>47.434529</v>
      </c>
      <c r="J611" s="363" t="s">
        <v>1364</v>
      </c>
    </row>
    <row r="612" s="317" customFormat="1" customHeight="1" spans="1:10">
      <c r="A612" s="128">
        <v>536</v>
      </c>
      <c r="B612" s="152" t="s">
        <v>598</v>
      </c>
      <c r="C612" s="333" t="s">
        <v>1354</v>
      </c>
      <c r="D612" s="333" t="s">
        <v>1365</v>
      </c>
      <c r="E612" s="83">
        <v>76.68</v>
      </c>
      <c r="F612" s="332">
        <v>33.94151</v>
      </c>
      <c r="G612" s="83">
        <v>-33.94151</v>
      </c>
      <c r="H612" s="83">
        <v>-33.94151</v>
      </c>
      <c r="I612" s="83">
        <f t="shared" si="78"/>
        <v>42.73849</v>
      </c>
      <c r="J612" s="71" t="s">
        <v>1366</v>
      </c>
    </row>
    <row r="613" s="317" customFormat="1" customHeight="1" spans="1:10">
      <c r="A613" s="128">
        <v>537</v>
      </c>
      <c r="B613" s="152" t="s">
        <v>598</v>
      </c>
      <c r="C613" s="333" t="s">
        <v>1354</v>
      </c>
      <c r="D613" s="333" t="s">
        <v>1367</v>
      </c>
      <c r="E613" s="83">
        <v>3</v>
      </c>
      <c r="F613" s="332">
        <v>3</v>
      </c>
      <c r="G613" s="83"/>
      <c r="H613" s="83"/>
      <c r="I613" s="83">
        <f t="shared" si="78"/>
        <v>3</v>
      </c>
      <c r="J613" s="348" t="s">
        <v>1368</v>
      </c>
    </row>
    <row r="614" s="317" customFormat="1" customHeight="1" spans="1:10">
      <c r="A614" s="128">
        <v>538</v>
      </c>
      <c r="B614" s="152" t="s">
        <v>598</v>
      </c>
      <c r="C614" s="333" t="s">
        <v>1354</v>
      </c>
      <c r="D614" s="333" t="s">
        <v>1369</v>
      </c>
      <c r="E614" s="83">
        <v>40</v>
      </c>
      <c r="F614" s="332">
        <v>40</v>
      </c>
      <c r="G614" s="83">
        <v>-40</v>
      </c>
      <c r="H614" s="83">
        <v>-40</v>
      </c>
      <c r="I614" s="83">
        <f t="shared" si="78"/>
        <v>0</v>
      </c>
      <c r="J614" s="363"/>
    </row>
    <row r="615" s="317" customFormat="1" customHeight="1" spans="1:10">
      <c r="A615" s="128">
        <v>539</v>
      </c>
      <c r="B615" s="152" t="s">
        <v>598</v>
      </c>
      <c r="C615" s="333" t="s">
        <v>1354</v>
      </c>
      <c r="D615" s="333" t="s">
        <v>1370</v>
      </c>
      <c r="E615" s="83">
        <v>61.15</v>
      </c>
      <c r="F615" s="332">
        <v>17.482</v>
      </c>
      <c r="G615" s="83">
        <v>-13.41</v>
      </c>
      <c r="H615" s="83">
        <v>-13.41</v>
      </c>
      <c r="I615" s="83">
        <f t="shared" si="78"/>
        <v>47.74</v>
      </c>
      <c r="J615" s="348" t="s">
        <v>1360</v>
      </c>
    </row>
    <row r="616" s="317" customFormat="1" customHeight="1" spans="1:10">
      <c r="A616" s="128">
        <v>540</v>
      </c>
      <c r="B616" s="152" t="s">
        <v>598</v>
      </c>
      <c r="C616" s="333" t="s">
        <v>1354</v>
      </c>
      <c r="D616" s="333" t="s">
        <v>1371</v>
      </c>
      <c r="E616" s="83">
        <v>7.07</v>
      </c>
      <c r="F616" s="332">
        <v>7.07</v>
      </c>
      <c r="G616" s="83">
        <v>-7.07</v>
      </c>
      <c r="H616" s="83">
        <v>-7.07</v>
      </c>
      <c r="I616" s="83">
        <f t="shared" si="78"/>
        <v>0</v>
      </c>
      <c r="J616" s="348" t="s">
        <v>1372</v>
      </c>
    </row>
    <row r="617" s="317" customFormat="1" customHeight="1" spans="1:10">
      <c r="A617" s="128">
        <v>541</v>
      </c>
      <c r="B617" s="152" t="s">
        <v>606</v>
      </c>
      <c r="C617" s="333" t="s">
        <v>1354</v>
      </c>
      <c r="D617" s="333" t="s">
        <v>1373</v>
      </c>
      <c r="E617" s="83">
        <v>119</v>
      </c>
      <c r="F617" s="332">
        <v>119</v>
      </c>
      <c r="G617" s="83">
        <v>-119</v>
      </c>
      <c r="H617" s="83">
        <v>-119</v>
      </c>
      <c r="I617" s="83">
        <f t="shared" si="78"/>
        <v>0</v>
      </c>
      <c r="J617" s="348"/>
    </row>
    <row r="618" s="317" customFormat="1" customHeight="1" spans="1:10">
      <c r="A618" s="337" t="s">
        <v>1374</v>
      </c>
      <c r="B618" s="338"/>
      <c r="C618" s="339"/>
      <c r="D618" s="340"/>
      <c r="E618" s="138">
        <f t="shared" ref="E618:I618" si="79">SUM(E606:E617)</f>
        <v>599.32</v>
      </c>
      <c r="F618" s="83">
        <f t="shared" si="79"/>
        <v>395.785881</v>
      </c>
      <c r="G618" s="138">
        <f t="shared" si="79"/>
        <v>-380.450442</v>
      </c>
      <c r="H618" s="138">
        <f t="shared" si="79"/>
        <v>-380.450442</v>
      </c>
      <c r="I618" s="138">
        <f t="shared" si="79"/>
        <v>218.869558</v>
      </c>
      <c r="J618" s="344"/>
    </row>
    <row r="619" s="317" customFormat="1" customHeight="1" spans="1:10">
      <c r="A619" s="128">
        <v>542</v>
      </c>
      <c r="B619" s="152" t="s">
        <v>624</v>
      </c>
      <c r="C619" s="71" t="s">
        <v>1375</v>
      </c>
      <c r="D619" s="71" t="s">
        <v>1376</v>
      </c>
      <c r="E619" s="83">
        <v>42</v>
      </c>
      <c r="F619" s="332">
        <v>0</v>
      </c>
      <c r="G619" s="83"/>
      <c r="H619" s="83"/>
      <c r="I619" s="83">
        <f t="shared" ref="I619:I629" si="80">E619+H619</f>
        <v>42</v>
      </c>
      <c r="J619" s="59"/>
    </row>
    <row r="620" s="317" customFormat="1" customHeight="1" spans="1:10">
      <c r="A620" s="128">
        <v>543</v>
      </c>
      <c r="B620" s="152" t="s">
        <v>624</v>
      </c>
      <c r="C620" s="71" t="s">
        <v>1375</v>
      </c>
      <c r="D620" s="71" t="s">
        <v>1377</v>
      </c>
      <c r="E620" s="83">
        <v>8</v>
      </c>
      <c r="F620" s="332">
        <v>8</v>
      </c>
      <c r="G620" s="83">
        <v>-8</v>
      </c>
      <c r="H620" s="83">
        <v>-8</v>
      </c>
      <c r="I620" s="83">
        <f t="shared" si="80"/>
        <v>0</v>
      </c>
      <c r="J620" s="59"/>
    </row>
    <row r="621" s="317" customFormat="1" customHeight="1" spans="1:10">
      <c r="A621" s="128">
        <v>544</v>
      </c>
      <c r="B621" s="152" t="s">
        <v>624</v>
      </c>
      <c r="C621" s="71" t="s">
        <v>1375</v>
      </c>
      <c r="D621" s="71" t="s">
        <v>1378</v>
      </c>
      <c r="E621" s="83">
        <v>34</v>
      </c>
      <c r="F621" s="332">
        <v>0</v>
      </c>
      <c r="G621" s="83"/>
      <c r="H621" s="83"/>
      <c r="I621" s="83">
        <f t="shared" si="80"/>
        <v>34</v>
      </c>
      <c r="J621" s="59"/>
    </row>
    <row r="622" s="317" customFormat="1" customHeight="1" spans="1:10">
      <c r="A622" s="128">
        <v>545</v>
      </c>
      <c r="B622" s="152" t="s">
        <v>624</v>
      </c>
      <c r="C622" s="71" t="s">
        <v>1375</v>
      </c>
      <c r="D622" s="71" t="s">
        <v>1379</v>
      </c>
      <c r="E622" s="83">
        <v>8</v>
      </c>
      <c r="F622" s="332">
        <v>8</v>
      </c>
      <c r="G622" s="83"/>
      <c r="H622" s="83"/>
      <c r="I622" s="83">
        <f t="shared" si="80"/>
        <v>8</v>
      </c>
      <c r="J622" s="59"/>
    </row>
    <row r="623" s="317" customFormat="1" customHeight="1" spans="1:10">
      <c r="A623" s="128">
        <v>546</v>
      </c>
      <c r="B623" s="152" t="s">
        <v>624</v>
      </c>
      <c r="C623" s="71" t="s">
        <v>1375</v>
      </c>
      <c r="D623" s="71" t="s">
        <v>1380</v>
      </c>
      <c r="E623" s="83">
        <v>26.57</v>
      </c>
      <c r="F623" s="332">
        <v>1.57</v>
      </c>
      <c r="G623" s="83">
        <v>-1.57</v>
      </c>
      <c r="H623" s="83">
        <v>-1.57</v>
      </c>
      <c r="I623" s="83">
        <f t="shared" si="80"/>
        <v>25</v>
      </c>
      <c r="J623" s="59"/>
    </row>
    <row r="624" s="317" customFormat="1" customHeight="1" spans="1:10">
      <c r="A624" s="128">
        <v>547</v>
      </c>
      <c r="B624" s="152" t="s">
        <v>624</v>
      </c>
      <c r="C624" s="71" t="s">
        <v>1375</v>
      </c>
      <c r="D624" s="71" t="s">
        <v>1381</v>
      </c>
      <c r="E624" s="83">
        <v>15</v>
      </c>
      <c r="F624" s="332">
        <v>15</v>
      </c>
      <c r="G624" s="83"/>
      <c r="H624" s="83"/>
      <c r="I624" s="83">
        <f t="shared" si="80"/>
        <v>15</v>
      </c>
      <c r="J624" s="59"/>
    </row>
    <row r="625" s="317" customFormat="1" customHeight="1" spans="1:10">
      <c r="A625" s="128">
        <v>548</v>
      </c>
      <c r="B625" s="152" t="s">
        <v>624</v>
      </c>
      <c r="C625" s="71" t="s">
        <v>1375</v>
      </c>
      <c r="D625" s="71" t="s">
        <v>1378</v>
      </c>
      <c r="E625" s="83">
        <v>10</v>
      </c>
      <c r="F625" s="332">
        <v>10</v>
      </c>
      <c r="G625" s="83">
        <v>-1</v>
      </c>
      <c r="H625" s="83">
        <v>-1</v>
      </c>
      <c r="I625" s="83">
        <f t="shared" si="80"/>
        <v>9</v>
      </c>
      <c r="J625" s="59"/>
    </row>
    <row r="626" s="317" customFormat="1" customHeight="1" spans="1:10">
      <c r="A626" s="128">
        <v>549</v>
      </c>
      <c r="B626" s="152" t="s">
        <v>624</v>
      </c>
      <c r="C626" s="71" t="s">
        <v>1375</v>
      </c>
      <c r="D626" s="71" t="s">
        <v>1382</v>
      </c>
      <c r="E626" s="83">
        <v>22</v>
      </c>
      <c r="F626" s="332">
        <v>22</v>
      </c>
      <c r="G626" s="83">
        <v>-22</v>
      </c>
      <c r="H626" s="83">
        <v>-22</v>
      </c>
      <c r="I626" s="83">
        <f t="shared" si="80"/>
        <v>0</v>
      </c>
      <c r="J626" s="59"/>
    </row>
    <row r="627" s="317" customFormat="1" customHeight="1" spans="1:10">
      <c r="A627" s="128">
        <v>550</v>
      </c>
      <c r="B627" s="152" t="s">
        <v>624</v>
      </c>
      <c r="C627" s="71" t="s">
        <v>1375</v>
      </c>
      <c r="D627" s="71" t="s">
        <v>1381</v>
      </c>
      <c r="E627" s="83">
        <v>5</v>
      </c>
      <c r="F627" s="332">
        <v>5</v>
      </c>
      <c r="G627" s="83">
        <v>-5</v>
      </c>
      <c r="H627" s="83">
        <v>-5</v>
      </c>
      <c r="I627" s="83">
        <f t="shared" si="80"/>
        <v>0</v>
      </c>
      <c r="J627" s="59"/>
    </row>
    <row r="628" s="317" customFormat="1" customHeight="1" spans="1:10">
      <c r="A628" s="128">
        <v>551</v>
      </c>
      <c r="B628" s="152" t="s">
        <v>624</v>
      </c>
      <c r="C628" s="71" t="s">
        <v>1375</v>
      </c>
      <c r="D628" s="71" t="s">
        <v>1377</v>
      </c>
      <c r="E628" s="83">
        <v>8</v>
      </c>
      <c r="F628" s="332">
        <v>8</v>
      </c>
      <c r="G628" s="83"/>
      <c r="H628" s="83"/>
      <c r="I628" s="83">
        <f t="shared" si="80"/>
        <v>8</v>
      </c>
      <c r="J628" s="59"/>
    </row>
    <row r="629" s="317" customFormat="1" customHeight="1" spans="1:10">
      <c r="A629" s="128">
        <v>552</v>
      </c>
      <c r="B629" s="152" t="s">
        <v>624</v>
      </c>
      <c r="C629" s="71" t="s">
        <v>1375</v>
      </c>
      <c r="D629" s="71" t="s">
        <v>1379</v>
      </c>
      <c r="E629" s="83">
        <v>8</v>
      </c>
      <c r="F629" s="332">
        <v>8</v>
      </c>
      <c r="G629" s="83">
        <v>-8</v>
      </c>
      <c r="H629" s="83">
        <v>-8</v>
      </c>
      <c r="I629" s="83">
        <f t="shared" si="80"/>
        <v>0</v>
      </c>
      <c r="J629" s="59"/>
    </row>
    <row r="630" s="317" customFormat="1" customHeight="1" spans="1:10">
      <c r="A630" s="337" t="s">
        <v>1383</v>
      </c>
      <c r="B630" s="338"/>
      <c r="C630" s="339"/>
      <c r="D630" s="340"/>
      <c r="E630" s="138">
        <f t="shared" ref="E630:I630" si="81">SUM(E619:E629)</f>
        <v>186.57</v>
      </c>
      <c r="F630" s="83">
        <f t="shared" si="81"/>
        <v>85.57</v>
      </c>
      <c r="G630" s="138">
        <f t="shared" si="81"/>
        <v>-45.57</v>
      </c>
      <c r="H630" s="138">
        <f t="shared" si="81"/>
        <v>-45.57</v>
      </c>
      <c r="I630" s="138">
        <f t="shared" si="81"/>
        <v>141</v>
      </c>
      <c r="J630" s="344"/>
    </row>
    <row r="631" s="317" customFormat="1" customHeight="1" spans="1:10">
      <c r="A631" s="128">
        <v>553</v>
      </c>
      <c r="B631" s="152" t="s">
        <v>624</v>
      </c>
      <c r="C631" s="71" t="s">
        <v>1384</v>
      </c>
      <c r="D631" s="71" t="s">
        <v>1385</v>
      </c>
      <c r="E631" s="83">
        <v>40</v>
      </c>
      <c r="F631" s="83">
        <v>20.79292</v>
      </c>
      <c r="G631" s="83">
        <v>-20</v>
      </c>
      <c r="H631" s="83">
        <v>-20</v>
      </c>
      <c r="I631" s="83">
        <f t="shared" ref="I631:I640" si="82">E631+H631</f>
        <v>20</v>
      </c>
      <c r="J631" s="59"/>
    </row>
    <row r="632" s="317" customFormat="1" customHeight="1" spans="1:10">
      <c r="A632" s="128">
        <v>554</v>
      </c>
      <c r="B632" s="152" t="s">
        <v>624</v>
      </c>
      <c r="C632" s="71" t="s">
        <v>1384</v>
      </c>
      <c r="D632" s="71" t="s">
        <v>1386</v>
      </c>
      <c r="E632" s="83">
        <v>976</v>
      </c>
      <c r="F632" s="83">
        <v>200.851394</v>
      </c>
      <c r="G632" s="83">
        <v>-105.652774</v>
      </c>
      <c r="H632" s="83">
        <v>-105.652774</v>
      </c>
      <c r="I632" s="83">
        <f t="shared" si="82"/>
        <v>870.347226</v>
      </c>
      <c r="J632" s="59"/>
    </row>
    <row r="633" s="317" customFormat="1" customHeight="1" spans="1:10">
      <c r="A633" s="128">
        <v>555</v>
      </c>
      <c r="B633" s="152" t="s">
        <v>624</v>
      </c>
      <c r="C633" s="71" t="s">
        <v>1384</v>
      </c>
      <c r="D633" s="71" t="s">
        <v>1387</v>
      </c>
      <c r="E633" s="83">
        <v>0</v>
      </c>
      <c r="F633" s="332">
        <v>0</v>
      </c>
      <c r="G633" s="83">
        <v>50</v>
      </c>
      <c r="H633" s="83">
        <v>50</v>
      </c>
      <c r="I633" s="83">
        <f t="shared" si="82"/>
        <v>50</v>
      </c>
      <c r="J633" s="59"/>
    </row>
    <row r="634" s="317" customFormat="1" customHeight="1" spans="1:10">
      <c r="A634" s="128">
        <v>556</v>
      </c>
      <c r="B634" s="152" t="s">
        <v>624</v>
      </c>
      <c r="C634" s="71" t="s">
        <v>1384</v>
      </c>
      <c r="D634" s="71" t="s">
        <v>1388</v>
      </c>
      <c r="E634" s="83">
        <v>56.4</v>
      </c>
      <c r="F634" s="83">
        <v>25.0662</v>
      </c>
      <c r="G634" s="83">
        <v>-16.5794</v>
      </c>
      <c r="H634" s="83">
        <v>-16.5794</v>
      </c>
      <c r="I634" s="83">
        <f t="shared" si="82"/>
        <v>39.8206</v>
      </c>
      <c r="J634" s="59"/>
    </row>
    <row r="635" s="317" customFormat="1" customHeight="1" spans="1:10">
      <c r="A635" s="128">
        <v>557</v>
      </c>
      <c r="B635" s="152" t="s">
        <v>624</v>
      </c>
      <c r="C635" s="71" t="s">
        <v>1384</v>
      </c>
      <c r="D635" s="71" t="s">
        <v>1389</v>
      </c>
      <c r="E635" s="83">
        <f>200-118.6</f>
        <v>81.4</v>
      </c>
      <c r="F635" s="83">
        <v>81.4</v>
      </c>
      <c r="G635" s="83">
        <v>-81.4</v>
      </c>
      <c r="H635" s="83">
        <v>-81.4</v>
      </c>
      <c r="I635" s="83">
        <f t="shared" si="82"/>
        <v>0</v>
      </c>
      <c r="J635" s="71"/>
    </row>
    <row r="636" s="317" customFormat="1" customHeight="1" spans="1:10">
      <c r="A636" s="128">
        <v>558</v>
      </c>
      <c r="B636" s="152" t="s">
        <v>624</v>
      </c>
      <c r="C636" s="71" t="s">
        <v>1384</v>
      </c>
      <c r="D636" s="71" t="s">
        <v>1390</v>
      </c>
      <c r="E636" s="83">
        <v>118.6</v>
      </c>
      <c r="F636" s="83">
        <v>8.6</v>
      </c>
      <c r="G636" s="83">
        <v>-8.59999999999999</v>
      </c>
      <c r="H636" s="83">
        <v>-8.59999999999999</v>
      </c>
      <c r="I636" s="83">
        <f t="shared" si="82"/>
        <v>110</v>
      </c>
      <c r="J636" s="71"/>
    </row>
    <row r="637" s="317" customFormat="1" customHeight="1" spans="1:10">
      <c r="A637" s="128">
        <v>559</v>
      </c>
      <c r="B637" s="152" t="s">
        <v>624</v>
      </c>
      <c r="C637" s="71" t="s">
        <v>1384</v>
      </c>
      <c r="D637" s="71" t="s">
        <v>1391</v>
      </c>
      <c r="E637" s="83">
        <v>41.76</v>
      </c>
      <c r="F637" s="83">
        <v>34.84</v>
      </c>
      <c r="G637" s="83">
        <v>-34.84</v>
      </c>
      <c r="H637" s="83">
        <v>-34.84</v>
      </c>
      <c r="I637" s="83">
        <f t="shared" si="82"/>
        <v>6.91999999999999</v>
      </c>
      <c r="J637" s="59"/>
    </row>
    <row r="638" s="317" customFormat="1" customHeight="1" spans="1:10">
      <c r="A638" s="128">
        <v>560</v>
      </c>
      <c r="B638" s="152" t="s">
        <v>624</v>
      </c>
      <c r="C638" s="71" t="s">
        <v>1384</v>
      </c>
      <c r="D638" s="71" t="s">
        <v>1392</v>
      </c>
      <c r="E638" s="83">
        <v>20</v>
      </c>
      <c r="F638" s="332">
        <v>20</v>
      </c>
      <c r="G638" s="83">
        <v>-20</v>
      </c>
      <c r="H638" s="83">
        <v>-20</v>
      </c>
      <c r="I638" s="83">
        <f t="shared" si="82"/>
        <v>0</v>
      </c>
      <c r="J638" s="59"/>
    </row>
    <row r="639" s="317" customFormat="1" customHeight="1" spans="1:10">
      <c r="A639" s="128">
        <v>561</v>
      </c>
      <c r="B639" s="152" t="s">
        <v>624</v>
      </c>
      <c r="C639" s="71" t="s">
        <v>1384</v>
      </c>
      <c r="D639" s="71" t="s">
        <v>1393</v>
      </c>
      <c r="E639" s="83">
        <v>4.98</v>
      </c>
      <c r="F639" s="332">
        <v>4.98</v>
      </c>
      <c r="G639" s="83">
        <v>-4.98</v>
      </c>
      <c r="H639" s="83">
        <v>-4.98</v>
      </c>
      <c r="I639" s="83">
        <f t="shared" si="82"/>
        <v>0</v>
      </c>
      <c r="J639" s="59"/>
    </row>
    <row r="640" s="317" customFormat="1" customHeight="1" spans="1:10">
      <c r="A640" s="337" t="s">
        <v>1394</v>
      </c>
      <c r="B640" s="338"/>
      <c r="C640" s="339"/>
      <c r="D640" s="340"/>
      <c r="E640" s="138">
        <f>SUM(E631:E639)</f>
        <v>1339.14</v>
      </c>
      <c r="F640" s="138">
        <f>SUM(F631:F639)</f>
        <v>396.530514</v>
      </c>
      <c r="G640" s="138">
        <f>SUM(G631:G639)</f>
        <v>-242.052174</v>
      </c>
      <c r="H640" s="138">
        <f>SUM(H631:H639)</f>
        <v>-242.052174</v>
      </c>
      <c r="I640" s="138">
        <f>SUM(I631:I639)</f>
        <v>1097.087826</v>
      </c>
      <c r="J640" s="165"/>
    </row>
    <row r="641" s="317" customFormat="1" customHeight="1" spans="1:10">
      <c r="A641" s="128">
        <v>562</v>
      </c>
      <c r="B641" s="152" t="s">
        <v>603</v>
      </c>
      <c r="C641" s="71" t="s">
        <v>1395</v>
      </c>
      <c r="D641" s="151" t="s">
        <v>1396</v>
      </c>
      <c r="E641" s="83">
        <v>3050</v>
      </c>
      <c r="F641" s="83">
        <v>270.7</v>
      </c>
      <c r="G641" s="83">
        <v>-20.7</v>
      </c>
      <c r="H641" s="83">
        <v>-20.7</v>
      </c>
      <c r="I641" s="83">
        <f t="shared" ref="I641:I648" si="83">E641+H641</f>
        <v>3029.3</v>
      </c>
      <c r="J641" s="59" t="s">
        <v>1397</v>
      </c>
    </row>
    <row r="642" s="317" customFormat="1" customHeight="1" spans="1:10">
      <c r="A642" s="128">
        <v>563</v>
      </c>
      <c r="B642" s="152" t="s">
        <v>603</v>
      </c>
      <c r="C642" s="71" t="s">
        <v>1395</v>
      </c>
      <c r="D642" s="151" t="s">
        <v>1398</v>
      </c>
      <c r="E642" s="83">
        <v>2675</v>
      </c>
      <c r="F642" s="83">
        <v>0</v>
      </c>
      <c r="G642" s="83">
        <v>-2675</v>
      </c>
      <c r="H642" s="83">
        <v>-2675</v>
      </c>
      <c r="I642" s="83">
        <f t="shared" si="83"/>
        <v>0</v>
      </c>
      <c r="J642" s="59" t="s">
        <v>1399</v>
      </c>
    </row>
    <row r="643" s="317" customFormat="1" customHeight="1" spans="1:10">
      <c r="A643" s="337" t="s">
        <v>1400</v>
      </c>
      <c r="B643" s="338"/>
      <c r="C643" s="339"/>
      <c r="D643" s="340"/>
      <c r="E643" s="138">
        <f t="shared" ref="E643:I643" si="84">SUM(E641:E642)</f>
        <v>5725</v>
      </c>
      <c r="F643" s="83">
        <f t="shared" si="84"/>
        <v>270.7</v>
      </c>
      <c r="G643" s="138">
        <f t="shared" si="84"/>
        <v>-2695.7</v>
      </c>
      <c r="H643" s="138">
        <f t="shared" si="84"/>
        <v>-2695.7</v>
      </c>
      <c r="I643" s="138">
        <f t="shared" si="84"/>
        <v>3029.3</v>
      </c>
      <c r="J643" s="344"/>
    </row>
    <row r="644" s="317" customFormat="1" customHeight="1" spans="1:10">
      <c r="A644" s="128">
        <v>564</v>
      </c>
      <c r="B644" s="152" t="s">
        <v>624</v>
      </c>
      <c r="C644" s="71" t="s">
        <v>1401</v>
      </c>
      <c r="D644" s="71" t="s">
        <v>1402</v>
      </c>
      <c r="E644" s="83">
        <v>33</v>
      </c>
      <c r="F644" s="332">
        <v>7.412825</v>
      </c>
      <c r="G644" s="83">
        <v>-2.333519</v>
      </c>
      <c r="H644" s="83">
        <v>-2.333519</v>
      </c>
      <c r="I644" s="83">
        <f t="shared" si="83"/>
        <v>30.666481</v>
      </c>
      <c r="J644" s="59"/>
    </row>
    <row r="645" s="317" customFormat="1" customHeight="1" spans="1:10">
      <c r="A645" s="128">
        <v>565</v>
      </c>
      <c r="B645" s="152" t="s">
        <v>624</v>
      </c>
      <c r="C645" s="71" t="s">
        <v>1401</v>
      </c>
      <c r="D645" s="71" t="s">
        <v>1403</v>
      </c>
      <c r="E645" s="83">
        <v>5.85</v>
      </c>
      <c r="F645" s="83">
        <v>0</v>
      </c>
      <c r="G645" s="83"/>
      <c r="H645" s="83"/>
      <c r="I645" s="83">
        <f t="shared" si="83"/>
        <v>5.85</v>
      </c>
      <c r="J645" s="59"/>
    </row>
    <row r="646" s="317" customFormat="1" customHeight="1" spans="1:10">
      <c r="A646" s="128">
        <v>566</v>
      </c>
      <c r="B646" s="152" t="s">
        <v>624</v>
      </c>
      <c r="C646" s="71" t="s">
        <v>1401</v>
      </c>
      <c r="D646" s="71" t="s">
        <v>1404</v>
      </c>
      <c r="E646" s="83">
        <v>30</v>
      </c>
      <c r="F646" s="83">
        <v>2.184786</v>
      </c>
      <c r="G646" s="83">
        <v>-2.184786</v>
      </c>
      <c r="H646" s="83">
        <v>-2.184786</v>
      </c>
      <c r="I646" s="83">
        <f t="shared" si="83"/>
        <v>27.815214</v>
      </c>
      <c r="J646" s="59"/>
    </row>
    <row r="647" s="317" customFormat="1" customHeight="1" spans="1:10">
      <c r="A647" s="128">
        <v>567</v>
      </c>
      <c r="B647" s="152" t="s">
        <v>624</v>
      </c>
      <c r="C647" s="71" t="s">
        <v>1401</v>
      </c>
      <c r="D647" s="71" t="s">
        <v>1405</v>
      </c>
      <c r="E647" s="83">
        <v>6.413088</v>
      </c>
      <c r="F647" s="83">
        <v>0.967967</v>
      </c>
      <c r="G647" s="83">
        <v>-0.472956</v>
      </c>
      <c r="H647" s="83">
        <v>-0.472956</v>
      </c>
      <c r="I647" s="83">
        <f t="shared" si="83"/>
        <v>5.940132</v>
      </c>
      <c r="J647" s="59"/>
    </row>
    <row r="648" s="317" customFormat="1" customHeight="1" spans="1:10">
      <c r="A648" s="128">
        <v>568</v>
      </c>
      <c r="B648" s="152" t="s">
        <v>624</v>
      </c>
      <c r="C648" s="71" t="s">
        <v>1401</v>
      </c>
      <c r="D648" s="71" t="s">
        <v>1402</v>
      </c>
      <c r="E648" s="83">
        <v>10.8</v>
      </c>
      <c r="F648" s="83">
        <v>1.16</v>
      </c>
      <c r="G648" s="83">
        <v>-0.975</v>
      </c>
      <c r="H648" s="83">
        <v>-0.975</v>
      </c>
      <c r="I648" s="83">
        <f t="shared" si="83"/>
        <v>9.825</v>
      </c>
      <c r="J648" s="59"/>
    </row>
    <row r="649" s="317" customFormat="1" customHeight="1" spans="1:10">
      <c r="A649" s="337" t="s">
        <v>1406</v>
      </c>
      <c r="B649" s="338"/>
      <c r="C649" s="339"/>
      <c r="D649" s="340"/>
      <c r="E649" s="138">
        <f t="shared" ref="E649:I649" si="85">SUM(E644:E648)</f>
        <v>86.063088</v>
      </c>
      <c r="F649" s="83">
        <f t="shared" si="85"/>
        <v>11.725578</v>
      </c>
      <c r="G649" s="138">
        <f t="shared" si="85"/>
        <v>-5.966261</v>
      </c>
      <c r="H649" s="138">
        <f t="shared" si="85"/>
        <v>-5.966261</v>
      </c>
      <c r="I649" s="138">
        <f t="shared" si="85"/>
        <v>80.096827</v>
      </c>
      <c r="J649" s="344"/>
    </row>
    <row r="650" s="317" customFormat="1" customHeight="1" spans="1:10">
      <c r="A650" s="128">
        <v>569</v>
      </c>
      <c r="B650" s="152" t="s">
        <v>601</v>
      </c>
      <c r="C650" s="71" t="s">
        <v>1407</v>
      </c>
      <c r="D650" s="71" t="s">
        <v>1408</v>
      </c>
      <c r="E650" s="83">
        <v>11481</v>
      </c>
      <c r="F650" s="83">
        <v>8601</v>
      </c>
      <c r="G650" s="83">
        <v>-8601</v>
      </c>
      <c r="H650" s="83">
        <v>-8601</v>
      </c>
      <c r="I650" s="83">
        <f t="shared" ref="I650:I655" si="86">E650+H650</f>
        <v>2880</v>
      </c>
      <c r="J650" s="71"/>
    </row>
    <row r="651" s="317" customFormat="1" customHeight="1" spans="1:10">
      <c r="A651" s="128">
        <v>570</v>
      </c>
      <c r="B651" s="152" t="s">
        <v>601</v>
      </c>
      <c r="C651" s="71" t="s">
        <v>1407</v>
      </c>
      <c r="D651" s="71" t="s">
        <v>1409</v>
      </c>
      <c r="E651" s="83">
        <v>4.32</v>
      </c>
      <c r="F651" s="83">
        <v>0.36</v>
      </c>
      <c r="G651" s="83"/>
      <c r="H651" s="83"/>
      <c r="I651" s="83">
        <f t="shared" si="86"/>
        <v>4.32</v>
      </c>
      <c r="J651" s="71" t="s">
        <v>1410</v>
      </c>
    </row>
    <row r="652" s="317" customFormat="1" customHeight="1" spans="1:10">
      <c r="A652" s="337" t="s">
        <v>1411</v>
      </c>
      <c r="B652" s="338"/>
      <c r="C652" s="339"/>
      <c r="D652" s="340"/>
      <c r="E652" s="138">
        <f t="shared" ref="E652:I652" si="87">SUM(E650:E651)</f>
        <v>11485.32</v>
      </c>
      <c r="F652" s="83">
        <f t="shared" si="87"/>
        <v>8601.36</v>
      </c>
      <c r="G652" s="138">
        <f t="shared" si="87"/>
        <v>-8601</v>
      </c>
      <c r="H652" s="138">
        <f t="shared" si="87"/>
        <v>-8601</v>
      </c>
      <c r="I652" s="138">
        <f t="shared" si="87"/>
        <v>2884.32</v>
      </c>
      <c r="J652" s="165"/>
    </row>
    <row r="653" s="317" customFormat="1" customHeight="1" spans="1:10">
      <c r="A653" s="128">
        <v>571</v>
      </c>
      <c r="B653" s="152" t="s">
        <v>601</v>
      </c>
      <c r="C653" s="71" t="s">
        <v>1412</v>
      </c>
      <c r="D653" s="71" t="s">
        <v>1413</v>
      </c>
      <c r="E653" s="83">
        <v>873.06</v>
      </c>
      <c r="F653" s="83">
        <v>76.03</v>
      </c>
      <c r="G653" s="83">
        <v>-76.0255</v>
      </c>
      <c r="H653" s="83">
        <v>-76.0255</v>
      </c>
      <c r="I653" s="83">
        <f t="shared" si="86"/>
        <v>797.0345</v>
      </c>
      <c r="J653" s="71" t="s">
        <v>1414</v>
      </c>
    </row>
    <row r="654" s="317" customFormat="1" customHeight="1" spans="1:10">
      <c r="A654" s="128">
        <v>572</v>
      </c>
      <c r="B654" s="152" t="s">
        <v>601</v>
      </c>
      <c r="C654" s="71" t="s">
        <v>1412</v>
      </c>
      <c r="D654" s="71" t="s">
        <v>1415</v>
      </c>
      <c r="E654" s="83">
        <v>52</v>
      </c>
      <c r="F654" s="83">
        <v>28.4</v>
      </c>
      <c r="G654" s="83">
        <v>-28.3992</v>
      </c>
      <c r="H654" s="83">
        <v>-28.3992</v>
      </c>
      <c r="I654" s="83">
        <f t="shared" si="86"/>
        <v>23.6008</v>
      </c>
      <c r="J654" s="71"/>
    </row>
    <row r="655" s="317" customFormat="1" customHeight="1" spans="1:10">
      <c r="A655" s="128">
        <v>573</v>
      </c>
      <c r="B655" s="152" t="s">
        <v>601</v>
      </c>
      <c r="C655" s="71" t="s">
        <v>1412</v>
      </c>
      <c r="D655" s="71" t="s">
        <v>1416</v>
      </c>
      <c r="E655" s="83">
        <v>1.82</v>
      </c>
      <c r="F655" s="83">
        <v>0.99</v>
      </c>
      <c r="G655" s="83">
        <v>-0.9944</v>
      </c>
      <c r="H655" s="83">
        <v>-0.9944</v>
      </c>
      <c r="I655" s="83">
        <f t="shared" si="86"/>
        <v>0.8256</v>
      </c>
      <c r="J655" s="71"/>
    </row>
    <row r="656" s="317" customFormat="1" customHeight="1" spans="1:10">
      <c r="A656" s="337" t="s">
        <v>1417</v>
      </c>
      <c r="B656" s="338"/>
      <c r="C656" s="339"/>
      <c r="D656" s="340"/>
      <c r="E656" s="138">
        <f t="shared" ref="E656:I656" si="88">SUM(E653:E655)</f>
        <v>926.88</v>
      </c>
      <c r="F656" s="83">
        <f t="shared" si="88"/>
        <v>105.42</v>
      </c>
      <c r="G656" s="138">
        <f t="shared" si="88"/>
        <v>-105.4191</v>
      </c>
      <c r="H656" s="138">
        <f t="shared" si="88"/>
        <v>-105.4191</v>
      </c>
      <c r="I656" s="138">
        <f t="shared" si="88"/>
        <v>821.4609</v>
      </c>
      <c r="J656" s="165"/>
    </row>
    <row r="657" s="317" customFormat="1" customHeight="1" spans="1:10">
      <c r="A657" s="128">
        <v>574</v>
      </c>
      <c r="B657" s="152" t="s">
        <v>624</v>
      </c>
      <c r="C657" s="71" t="s">
        <v>1418</v>
      </c>
      <c r="D657" s="71" t="s">
        <v>1419</v>
      </c>
      <c r="E657" s="83">
        <v>1</v>
      </c>
      <c r="F657" s="83">
        <v>1</v>
      </c>
      <c r="G657" s="83">
        <v>-1</v>
      </c>
      <c r="H657" s="83">
        <v>-1</v>
      </c>
      <c r="I657" s="83">
        <f>E657+H657</f>
        <v>0</v>
      </c>
      <c r="J657" s="59"/>
    </row>
    <row r="658" s="317" customFormat="1" customHeight="1" spans="1:10">
      <c r="A658" s="128">
        <v>575</v>
      </c>
      <c r="B658" s="152" t="s">
        <v>624</v>
      </c>
      <c r="C658" s="71" t="s">
        <v>1418</v>
      </c>
      <c r="D658" s="71" t="s">
        <v>1420</v>
      </c>
      <c r="E658" s="83">
        <v>2</v>
      </c>
      <c r="F658" s="83">
        <v>2</v>
      </c>
      <c r="G658" s="83"/>
      <c r="H658" s="83"/>
      <c r="I658" s="83">
        <f>E658+H658</f>
        <v>2</v>
      </c>
      <c r="J658" s="59"/>
    </row>
    <row r="659" s="317" customFormat="1" customHeight="1" spans="1:10">
      <c r="A659" s="337" t="s">
        <v>1421</v>
      </c>
      <c r="B659" s="338"/>
      <c r="C659" s="339"/>
      <c r="D659" s="340"/>
      <c r="E659" s="138">
        <f>SUM(E657:E658)</f>
        <v>3</v>
      </c>
      <c r="F659" s="138">
        <f>SUM(F657:F658)</f>
        <v>3</v>
      </c>
      <c r="G659" s="138">
        <f>SUM(G657:G658)</f>
        <v>-1</v>
      </c>
      <c r="H659" s="138">
        <f>SUM(H657:H658)</f>
        <v>-1</v>
      </c>
      <c r="I659" s="138">
        <f>SUM(I657:I658)</f>
        <v>2</v>
      </c>
      <c r="J659" s="165"/>
    </row>
    <row r="660" s="317" customFormat="1" customHeight="1" spans="1:10">
      <c r="A660" s="128">
        <v>576</v>
      </c>
      <c r="B660" s="152" t="s">
        <v>624</v>
      </c>
      <c r="C660" s="71" t="s">
        <v>1422</v>
      </c>
      <c r="D660" s="71" t="s">
        <v>1423</v>
      </c>
      <c r="E660" s="83">
        <v>2</v>
      </c>
      <c r="F660" s="83">
        <v>2</v>
      </c>
      <c r="G660" s="83"/>
      <c r="H660" s="83"/>
      <c r="I660" s="83">
        <f t="shared" ref="I660:I662" si="89">E660+H660</f>
        <v>2</v>
      </c>
      <c r="J660" s="59"/>
    </row>
    <row r="661" s="317" customFormat="1" customHeight="1" spans="1:10">
      <c r="A661" s="128">
        <v>577</v>
      </c>
      <c r="B661" s="152" t="s">
        <v>624</v>
      </c>
      <c r="C661" s="71" t="s">
        <v>1422</v>
      </c>
      <c r="D661" s="71" t="s">
        <v>1424</v>
      </c>
      <c r="E661" s="83">
        <v>5</v>
      </c>
      <c r="F661" s="83">
        <v>5</v>
      </c>
      <c r="G661" s="83"/>
      <c r="H661" s="83"/>
      <c r="I661" s="83">
        <f t="shared" si="89"/>
        <v>5</v>
      </c>
      <c r="J661" s="59"/>
    </row>
    <row r="662" s="317" customFormat="1" customHeight="1" spans="1:10">
      <c r="A662" s="128">
        <v>578</v>
      </c>
      <c r="B662" s="152" t="s">
        <v>624</v>
      </c>
      <c r="C662" s="71" t="s">
        <v>1422</v>
      </c>
      <c r="D662" s="71" t="s">
        <v>1425</v>
      </c>
      <c r="E662" s="83">
        <v>1</v>
      </c>
      <c r="F662" s="83">
        <v>1</v>
      </c>
      <c r="G662" s="83"/>
      <c r="H662" s="83"/>
      <c r="I662" s="83">
        <f t="shared" si="89"/>
        <v>1</v>
      </c>
      <c r="J662" s="59"/>
    </row>
    <row r="663" s="317" customFormat="1" customHeight="1" spans="1:10">
      <c r="A663" s="337" t="s">
        <v>1426</v>
      </c>
      <c r="B663" s="338"/>
      <c r="C663" s="339"/>
      <c r="D663" s="340"/>
      <c r="E663" s="138">
        <f t="shared" ref="E663:I663" si="90">SUM(E660:E662)</f>
        <v>8</v>
      </c>
      <c r="F663" s="83">
        <f t="shared" si="90"/>
        <v>8</v>
      </c>
      <c r="G663" s="138">
        <f t="shared" si="90"/>
        <v>0</v>
      </c>
      <c r="H663" s="138">
        <f t="shared" si="90"/>
        <v>0</v>
      </c>
      <c r="I663" s="138">
        <f t="shared" si="90"/>
        <v>8</v>
      </c>
      <c r="J663" s="344"/>
    </row>
    <row r="664" s="317" customFormat="1" customHeight="1" spans="1:10">
      <c r="A664" s="128">
        <v>579</v>
      </c>
      <c r="B664" s="152" t="s">
        <v>624</v>
      </c>
      <c r="C664" s="71" t="s">
        <v>1427</v>
      </c>
      <c r="D664" s="71" t="s">
        <v>1428</v>
      </c>
      <c r="E664" s="83">
        <v>3</v>
      </c>
      <c r="F664" s="83">
        <v>0.00420800000000018</v>
      </c>
      <c r="G664" s="83">
        <v>-0.00420800000000021</v>
      </c>
      <c r="H664" s="83">
        <v>-0.00420800000000021</v>
      </c>
      <c r="I664" s="83">
        <f t="shared" ref="I664:I673" si="91">E664+H664</f>
        <v>2.995792</v>
      </c>
      <c r="J664" s="59"/>
    </row>
    <row r="665" s="317" customFormat="1" customHeight="1" spans="1:10">
      <c r="A665" s="128">
        <v>580</v>
      </c>
      <c r="B665" s="152" t="s">
        <v>624</v>
      </c>
      <c r="C665" s="71" t="s">
        <v>1427</v>
      </c>
      <c r="D665" s="71" t="s">
        <v>1429</v>
      </c>
      <c r="E665" s="83">
        <v>2</v>
      </c>
      <c r="F665" s="83">
        <v>0.784798</v>
      </c>
      <c r="G665" s="83">
        <v>-0.129118</v>
      </c>
      <c r="H665" s="83">
        <v>-0.129118</v>
      </c>
      <c r="I665" s="83">
        <f t="shared" si="91"/>
        <v>1.870882</v>
      </c>
      <c r="J665" s="59"/>
    </row>
    <row r="666" s="317" customFormat="1" customHeight="1" spans="1:10">
      <c r="A666" s="128">
        <v>581</v>
      </c>
      <c r="B666" s="152" t="s">
        <v>624</v>
      </c>
      <c r="C666" s="71" t="s">
        <v>1427</v>
      </c>
      <c r="D666" s="71" t="s">
        <v>1430</v>
      </c>
      <c r="E666" s="83">
        <v>3</v>
      </c>
      <c r="F666" s="83">
        <v>0.434202</v>
      </c>
      <c r="G666" s="83">
        <v>-0.00150199999999989</v>
      </c>
      <c r="H666" s="83">
        <v>-0.00150199999999989</v>
      </c>
      <c r="I666" s="83">
        <f t="shared" si="91"/>
        <v>2.998498</v>
      </c>
      <c r="J666" s="59"/>
    </row>
    <row r="667" s="317" customFormat="1" customHeight="1" spans="1:10">
      <c r="A667" s="128">
        <v>582</v>
      </c>
      <c r="B667" s="152" t="s">
        <v>624</v>
      </c>
      <c r="C667" s="71" t="s">
        <v>1427</v>
      </c>
      <c r="D667" s="71" t="s">
        <v>1431</v>
      </c>
      <c r="E667" s="83">
        <v>4</v>
      </c>
      <c r="F667" s="83">
        <v>0.840258</v>
      </c>
      <c r="G667" s="83"/>
      <c r="H667" s="83"/>
      <c r="I667" s="83">
        <f t="shared" si="91"/>
        <v>4</v>
      </c>
      <c r="J667" s="59"/>
    </row>
    <row r="668" s="317" customFormat="1" customHeight="1" spans="1:10">
      <c r="A668" s="128">
        <v>583</v>
      </c>
      <c r="B668" s="152" t="s">
        <v>624</v>
      </c>
      <c r="C668" s="71" t="s">
        <v>1427</v>
      </c>
      <c r="D668" s="71" t="s">
        <v>1432</v>
      </c>
      <c r="E668" s="83">
        <v>2</v>
      </c>
      <c r="F668" s="83">
        <v>1.9421</v>
      </c>
      <c r="G668" s="83"/>
      <c r="H668" s="83"/>
      <c r="I668" s="83">
        <f t="shared" si="91"/>
        <v>2</v>
      </c>
      <c r="J668" s="59"/>
    </row>
    <row r="669" s="317" customFormat="1" customHeight="1" spans="1:10">
      <c r="A669" s="128">
        <v>584</v>
      </c>
      <c r="B669" s="152" t="s">
        <v>624</v>
      </c>
      <c r="C669" s="71" t="s">
        <v>1427</v>
      </c>
      <c r="D669" s="71" t="s">
        <v>1433</v>
      </c>
      <c r="E669" s="83">
        <v>1</v>
      </c>
      <c r="F669" s="83">
        <v>0.451441</v>
      </c>
      <c r="G669" s="83">
        <v>-0.00144099999999991</v>
      </c>
      <c r="H669" s="83">
        <v>-0.00144099999999991</v>
      </c>
      <c r="I669" s="83">
        <f t="shared" si="91"/>
        <v>0.998559</v>
      </c>
      <c r="J669" s="59"/>
    </row>
    <row r="670" s="317" customFormat="1" customHeight="1" spans="1:10">
      <c r="A670" s="128">
        <v>585</v>
      </c>
      <c r="B670" s="152" t="s">
        <v>624</v>
      </c>
      <c r="C670" s="71" t="s">
        <v>1427</v>
      </c>
      <c r="D670" s="71" t="s">
        <v>1434</v>
      </c>
      <c r="E670" s="83">
        <v>2</v>
      </c>
      <c r="F670" s="83">
        <v>0.49062</v>
      </c>
      <c r="G670" s="83">
        <v>-0.0409509999999997</v>
      </c>
      <c r="H670" s="83">
        <v>-0.0409509999999997</v>
      </c>
      <c r="I670" s="83">
        <f t="shared" si="91"/>
        <v>1.959049</v>
      </c>
      <c r="J670" s="59"/>
    </row>
    <row r="671" s="317" customFormat="1" customHeight="1" spans="1:10">
      <c r="A671" s="128">
        <v>586</v>
      </c>
      <c r="B671" s="152" t="s">
        <v>624</v>
      </c>
      <c r="C671" s="71" t="s">
        <v>1427</v>
      </c>
      <c r="D671" s="71" t="s">
        <v>1435</v>
      </c>
      <c r="E671" s="83">
        <v>1</v>
      </c>
      <c r="F671" s="83">
        <v>0.492</v>
      </c>
      <c r="G671" s="83">
        <v>-0.492</v>
      </c>
      <c r="H671" s="83">
        <v>-0.492</v>
      </c>
      <c r="I671" s="83">
        <f t="shared" si="91"/>
        <v>0.508</v>
      </c>
      <c r="J671" s="59"/>
    </row>
    <row r="672" s="317" customFormat="1" customHeight="1" spans="1:10">
      <c r="A672" s="128">
        <v>587</v>
      </c>
      <c r="B672" s="152" t="s">
        <v>624</v>
      </c>
      <c r="C672" s="71" t="s">
        <v>1427</v>
      </c>
      <c r="D672" s="71" t="s">
        <v>1436</v>
      </c>
      <c r="E672" s="83">
        <v>2.8</v>
      </c>
      <c r="F672" s="83">
        <v>0</v>
      </c>
      <c r="G672" s="83"/>
      <c r="H672" s="83"/>
      <c r="I672" s="83">
        <f t="shared" si="91"/>
        <v>2.8</v>
      </c>
      <c r="J672" s="59"/>
    </row>
    <row r="673" s="317" customFormat="1" customHeight="1" spans="1:10">
      <c r="A673" s="337" t="s">
        <v>1437</v>
      </c>
      <c r="B673" s="338"/>
      <c r="C673" s="339"/>
      <c r="D673" s="340"/>
      <c r="E673" s="138">
        <f>SUM(E664:E672)</f>
        <v>20.8</v>
      </c>
      <c r="F673" s="138">
        <f>SUM(F664:F672)</f>
        <v>5.439627</v>
      </c>
      <c r="G673" s="138">
        <f>SUM(G664:G672)</f>
        <v>-0.66922</v>
      </c>
      <c r="H673" s="138">
        <f>SUM(H664:H672)</f>
        <v>-0.66922</v>
      </c>
      <c r="I673" s="138">
        <f>SUM(I664:I672)</f>
        <v>20.13078</v>
      </c>
      <c r="J673" s="165"/>
    </row>
    <row r="674" s="317" customFormat="1" customHeight="1" spans="1:10">
      <c r="A674" s="128">
        <v>588</v>
      </c>
      <c r="B674" s="152" t="s">
        <v>624</v>
      </c>
      <c r="C674" s="71" t="s">
        <v>1438</v>
      </c>
      <c r="D674" s="71" t="s">
        <v>1439</v>
      </c>
      <c r="E674" s="83">
        <v>2</v>
      </c>
      <c r="F674" s="83">
        <v>0.0359419999999998</v>
      </c>
      <c r="G674" s="83">
        <v>-0.0359419999999997</v>
      </c>
      <c r="H674" s="83">
        <v>-0.0359419999999997</v>
      </c>
      <c r="I674" s="83">
        <f t="shared" ref="I674:I679" si="92">E674+H674</f>
        <v>1.964058</v>
      </c>
      <c r="J674" s="59"/>
    </row>
    <row r="675" customHeight="1" spans="1:10">
      <c r="A675" s="128">
        <v>589</v>
      </c>
      <c r="B675" s="152" t="s">
        <v>624</v>
      </c>
      <c r="C675" s="71" t="s">
        <v>1438</v>
      </c>
      <c r="D675" s="71" t="s">
        <v>1440</v>
      </c>
      <c r="E675" s="83">
        <v>1.8</v>
      </c>
      <c r="F675" s="83">
        <v>0.47783</v>
      </c>
      <c r="G675" s="83">
        <v>-0.33533</v>
      </c>
      <c r="H675" s="83">
        <v>-0.33533</v>
      </c>
      <c r="I675" s="83">
        <f t="shared" si="92"/>
        <v>1.46467</v>
      </c>
      <c r="J675" s="59"/>
    </row>
    <row r="676" customHeight="1" spans="1:10">
      <c r="A676" s="128">
        <v>590</v>
      </c>
      <c r="B676" s="152" t="s">
        <v>624</v>
      </c>
      <c r="C676" s="71" t="s">
        <v>1438</v>
      </c>
      <c r="D676" s="71" t="s">
        <v>1441</v>
      </c>
      <c r="E676" s="83">
        <v>2</v>
      </c>
      <c r="F676" s="83">
        <v>0.884</v>
      </c>
      <c r="G676" s="83">
        <v>-0.347</v>
      </c>
      <c r="H676" s="83">
        <v>-0.347</v>
      </c>
      <c r="I676" s="83">
        <f t="shared" si="92"/>
        <v>1.653</v>
      </c>
      <c r="J676" s="59"/>
    </row>
    <row r="677" customHeight="1" spans="1:10">
      <c r="A677" s="128">
        <v>591</v>
      </c>
      <c r="B677" s="152" t="s">
        <v>624</v>
      </c>
      <c r="C677" s="71" t="s">
        <v>1438</v>
      </c>
      <c r="D677" s="71" t="s">
        <v>1442</v>
      </c>
      <c r="E677" s="83">
        <v>0.8</v>
      </c>
      <c r="F677" s="83">
        <v>0.144</v>
      </c>
      <c r="G677" s="83">
        <v>-0.0914</v>
      </c>
      <c r="H677" s="83">
        <v>-0.0914</v>
      </c>
      <c r="I677" s="83">
        <f t="shared" si="92"/>
        <v>0.7086</v>
      </c>
      <c r="J677" s="59"/>
    </row>
    <row r="678" customHeight="1" spans="1:10">
      <c r="A678" s="128">
        <v>592</v>
      </c>
      <c r="B678" s="152" t="s">
        <v>624</v>
      </c>
      <c r="C678" s="71" t="s">
        <v>1438</v>
      </c>
      <c r="D678" s="71" t="s">
        <v>1443</v>
      </c>
      <c r="E678" s="83">
        <v>2.4</v>
      </c>
      <c r="F678" s="83">
        <v>0</v>
      </c>
      <c r="G678" s="83"/>
      <c r="H678" s="83"/>
      <c r="I678" s="83">
        <f t="shared" si="92"/>
        <v>2.4</v>
      </c>
      <c r="J678" s="59"/>
    </row>
    <row r="679" customHeight="1" spans="1:10">
      <c r="A679" s="128">
        <v>593</v>
      </c>
      <c r="B679" s="152" t="s">
        <v>624</v>
      </c>
      <c r="C679" s="71" t="s">
        <v>1438</v>
      </c>
      <c r="D679" s="71" t="s">
        <v>1444</v>
      </c>
      <c r="E679" s="83">
        <v>1</v>
      </c>
      <c r="F679" s="83">
        <v>1</v>
      </c>
      <c r="G679" s="83">
        <v>-1</v>
      </c>
      <c r="H679" s="83">
        <v>-1</v>
      </c>
      <c r="I679" s="83">
        <f t="shared" si="92"/>
        <v>0</v>
      </c>
      <c r="J679" s="59"/>
    </row>
    <row r="680" customHeight="1" spans="1:10">
      <c r="A680" s="337" t="s">
        <v>1445</v>
      </c>
      <c r="B680" s="338"/>
      <c r="C680" s="339"/>
      <c r="D680" s="340"/>
      <c r="E680" s="138">
        <f t="shared" ref="E680:I680" si="93">SUM(E674:E679)</f>
        <v>10</v>
      </c>
      <c r="F680" s="83">
        <f t="shared" si="93"/>
        <v>2.541772</v>
      </c>
      <c r="G680" s="138">
        <f t="shared" si="93"/>
        <v>-1.809672</v>
      </c>
      <c r="H680" s="138">
        <f t="shared" si="93"/>
        <v>-1.809672</v>
      </c>
      <c r="I680" s="138">
        <f t="shared" si="93"/>
        <v>8.190328</v>
      </c>
      <c r="J680" s="344"/>
    </row>
    <row r="681" customHeight="1" spans="1:10">
      <c r="A681" s="128">
        <v>594</v>
      </c>
      <c r="B681" s="152" t="s">
        <v>648</v>
      </c>
      <c r="C681" s="71" t="s">
        <v>1446</v>
      </c>
      <c r="D681" s="151" t="s">
        <v>1447</v>
      </c>
      <c r="E681" s="83">
        <v>14.66</v>
      </c>
      <c r="F681" s="83">
        <v>0</v>
      </c>
      <c r="G681" s="83"/>
      <c r="H681" s="83"/>
      <c r="I681" s="83">
        <f t="shared" ref="I681:I693" si="94">E681+H681</f>
        <v>14.66</v>
      </c>
      <c r="J681" s="71" t="s">
        <v>1448</v>
      </c>
    </row>
    <row r="682" customHeight="1" spans="1:10">
      <c r="A682" s="128">
        <v>595</v>
      </c>
      <c r="B682" s="152" t="s">
        <v>616</v>
      </c>
      <c r="C682" s="333" t="s">
        <v>1446</v>
      </c>
      <c r="D682" s="151" t="s">
        <v>1449</v>
      </c>
      <c r="E682" s="142">
        <v>28</v>
      </c>
      <c r="F682" s="142">
        <v>23</v>
      </c>
      <c r="G682" s="142">
        <v>-23</v>
      </c>
      <c r="H682" s="142">
        <v>-23</v>
      </c>
      <c r="I682" s="83">
        <f t="shared" si="94"/>
        <v>5</v>
      </c>
      <c r="J682" s="71"/>
    </row>
    <row r="683" customHeight="1" spans="1:10">
      <c r="A683" s="128">
        <v>596</v>
      </c>
      <c r="B683" s="152" t="s">
        <v>606</v>
      </c>
      <c r="C683" s="345" t="s">
        <v>1446</v>
      </c>
      <c r="D683" s="345" t="s">
        <v>1450</v>
      </c>
      <c r="E683" s="83">
        <v>11.3</v>
      </c>
      <c r="F683" s="83">
        <v>11.3</v>
      </c>
      <c r="G683" s="83">
        <v>-11.3</v>
      </c>
      <c r="H683" s="83">
        <v>-11.3</v>
      </c>
      <c r="I683" s="83">
        <f t="shared" si="94"/>
        <v>0</v>
      </c>
      <c r="J683" s="59"/>
    </row>
    <row r="684" customHeight="1" spans="1:10">
      <c r="A684" s="128">
        <v>597</v>
      </c>
      <c r="B684" s="152" t="s">
        <v>601</v>
      </c>
      <c r="C684" s="71" t="s">
        <v>1446</v>
      </c>
      <c r="D684" s="71" t="s">
        <v>1451</v>
      </c>
      <c r="E684" s="142">
        <v>149</v>
      </c>
      <c r="F684" s="142">
        <v>55.95</v>
      </c>
      <c r="G684" s="142">
        <v>-26.95</v>
      </c>
      <c r="H684" s="142">
        <v>-26.95</v>
      </c>
      <c r="I684" s="83">
        <f t="shared" si="94"/>
        <v>122.05</v>
      </c>
      <c r="J684" s="71" t="s">
        <v>1452</v>
      </c>
    </row>
    <row r="685" customHeight="1" spans="1:10">
      <c r="A685" s="128">
        <v>598</v>
      </c>
      <c r="B685" s="152" t="s">
        <v>601</v>
      </c>
      <c r="C685" s="71" t="s">
        <v>1446</v>
      </c>
      <c r="D685" s="71" t="s">
        <v>1453</v>
      </c>
      <c r="E685" s="142">
        <v>29.24</v>
      </c>
      <c r="F685" s="142">
        <v>0</v>
      </c>
      <c r="G685" s="142"/>
      <c r="H685" s="142"/>
      <c r="I685" s="83">
        <f t="shared" si="94"/>
        <v>29.24</v>
      </c>
      <c r="J685" s="71"/>
    </row>
    <row r="686" customHeight="1" spans="1:10">
      <c r="A686" s="128">
        <v>599</v>
      </c>
      <c r="B686" s="152" t="s">
        <v>601</v>
      </c>
      <c r="C686" s="71" t="s">
        <v>1446</v>
      </c>
      <c r="D686" s="71" t="s">
        <v>1454</v>
      </c>
      <c r="E686" s="142">
        <v>2</v>
      </c>
      <c r="F686" s="142">
        <v>2</v>
      </c>
      <c r="G686" s="142">
        <v>-2</v>
      </c>
      <c r="H686" s="142">
        <v>-2</v>
      </c>
      <c r="I686" s="83">
        <f t="shared" si="94"/>
        <v>0</v>
      </c>
      <c r="J686" s="71"/>
    </row>
    <row r="687" customHeight="1" spans="1:10">
      <c r="A687" s="128">
        <v>600</v>
      </c>
      <c r="B687" s="152" t="s">
        <v>601</v>
      </c>
      <c r="C687" s="71" t="s">
        <v>1446</v>
      </c>
      <c r="D687" s="71" t="s">
        <v>1455</v>
      </c>
      <c r="E687" s="142">
        <v>2.48</v>
      </c>
      <c r="F687" s="142">
        <v>2.48</v>
      </c>
      <c r="G687" s="142">
        <v>-1.2</v>
      </c>
      <c r="H687" s="142">
        <v>-1.2</v>
      </c>
      <c r="I687" s="83">
        <f t="shared" si="94"/>
        <v>1.28</v>
      </c>
      <c r="J687" s="71" t="s">
        <v>1456</v>
      </c>
    </row>
    <row r="688" customHeight="1" spans="1:10">
      <c r="A688" s="128">
        <v>601</v>
      </c>
      <c r="B688" s="152" t="s">
        <v>601</v>
      </c>
      <c r="C688" s="71" t="s">
        <v>1446</v>
      </c>
      <c r="D688" s="71" t="s">
        <v>1457</v>
      </c>
      <c r="E688" s="142">
        <v>7.72</v>
      </c>
      <c r="F688" s="142">
        <v>7.72</v>
      </c>
      <c r="G688" s="142">
        <v>-7.72</v>
      </c>
      <c r="H688" s="142">
        <v>-7.72</v>
      </c>
      <c r="I688" s="83">
        <f t="shared" si="94"/>
        <v>0</v>
      </c>
      <c r="J688" s="71" t="s">
        <v>1458</v>
      </c>
    </row>
    <row r="689" customHeight="1" spans="1:10">
      <c r="A689" s="128">
        <v>602</v>
      </c>
      <c r="B689" s="152" t="s">
        <v>601</v>
      </c>
      <c r="C689" s="71" t="s">
        <v>1446</v>
      </c>
      <c r="D689" s="71" t="s">
        <v>1459</v>
      </c>
      <c r="E689" s="142">
        <v>19</v>
      </c>
      <c r="F689" s="142">
        <v>19</v>
      </c>
      <c r="G689" s="142">
        <v>-1.28</v>
      </c>
      <c r="H689" s="142">
        <v>-1.28</v>
      </c>
      <c r="I689" s="83">
        <f t="shared" si="94"/>
        <v>17.72</v>
      </c>
      <c r="J689" s="71"/>
    </row>
    <row r="690" customHeight="1" spans="1:10">
      <c r="A690" s="128">
        <v>603</v>
      </c>
      <c r="B690" s="152" t="s">
        <v>601</v>
      </c>
      <c r="C690" s="71" t="s">
        <v>1446</v>
      </c>
      <c r="D690" s="71" t="s">
        <v>1460</v>
      </c>
      <c r="E690" s="142">
        <v>1</v>
      </c>
      <c r="F690" s="142">
        <v>1</v>
      </c>
      <c r="G690" s="142">
        <v>-1</v>
      </c>
      <c r="H690" s="142">
        <v>-1</v>
      </c>
      <c r="I690" s="83">
        <f t="shared" si="94"/>
        <v>0</v>
      </c>
      <c r="J690" s="71"/>
    </row>
    <row r="691" customHeight="1" spans="1:10">
      <c r="A691" s="128">
        <v>604</v>
      </c>
      <c r="B691" s="152" t="s">
        <v>601</v>
      </c>
      <c r="C691" s="71" t="s">
        <v>1446</v>
      </c>
      <c r="D691" s="71" t="s">
        <v>1461</v>
      </c>
      <c r="E691" s="142">
        <v>7.79</v>
      </c>
      <c r="F691" s="142">
        <v>0.01</v>
      </c>
      <c r="G691" s="142">
        <v>-0.0056</v>
      </c>
      <c r="H691" s="142">
        <v>-0.0056</v>
      </c>
      <c r="I691" s="83">
        <f t="shared" si="94"/>
        <v>7.7844</v>
      </c>
      <c r="J691" s="71"/>
    </row>
    <row r="692" customHeight="1" spans="1:10">
      <c r="A692" s="128">
        <v>605</v>
      </c>
      <c r="B692" s="152" t="s">
        <v>601</v>
      </c>
      <c r="C692" s="71" t="s">
        <v>1446</v>
      </c>
      <c r="D692" s="71" t="s">
        <v>1462</v>
      </c>
      <c r="E692" s="142">
        <v>2</v>
      </c>
      <c r="F692" s="142">
        <v>1</v>
      </c>
      <c r="G692" s="142"/>
      <c r="H692" s="142"/>
      <c r="I692" s="83">
        <f t="shared" si="94"/>
        <v>2</v>
      </c>
      <c r="J692" s="71"/>
    </row>
    <row r="693" customHeight="1" spans="1:10">
      <c r="A693" s="128">
        <v>606</v>
      </c>
      <c r="B693" s="152" t="s">
        <v>601</v>
      </c>
      <c r="C693" s="71" t="s">
        <v>1446</v>
      </c>
      <c r="D693" s="71" t="s">
        <v>1463</v>
      </c>
      <c r="E693" s="142">
        <v>14</v>
      </c>
      <c r="F693" s="142">
        <v>14</v>
      </c>
      <c r="G693" s="142">
        <v>-14</v>
      </c>
      <c r="H693" s="142">
        <v>-14</v>
      </c>
      <c r="I693" s="83">
        <f t="shared" si="94"/>
        <v>0</v>
      </c>
      <c r="J693" s="71" t="s">
        <v>1464</v>
      </c>
    </row>
    <row r="694" customHeight="1" spans="1:10">
      <c r="A694" s="337" t="s">
        <v>1465</v>
      </c>
      <c r="B694" s="338"/>
      <c r="C694" s="339"/>
      <c r="D694" s="340"/>
      <c r="E694" s="352">
        <f t="shared" ref="E694:I694" si="95">SUM(E681:E693)</f>
        <v>288.19</v>
      </c>
      <c r="F694" s="142">
        <f t="shared" si="95"/>
        <v>137.46</v>
      </c>
      <c r="G694" s="352">
        <f t="shared" si="95"/>
        <v>-88.4556</v>
      </c>
      <c r="H694" s="352">
        <f t="shared" si="95"/>
        <v>-88.4556</v>
      </c>
      <c r="I694" s="352">
        <f t="shared" si="95"/>
        <v>199.7344</v>
      </c>
      <c r="J694" s="165"/>
    </row>
    <row r="695" customHeight="1" spans="1:10">
      <c r="A695" s="128">
        <v>607</v>
      </c>
      <c r="B695" s="152" t="s">
        <v>624</v>
      </c>
      <c r="C695" s="71" t="s">
        <v>1466</v>
      </c>
      <c r="D695" s="71" t="s">
        <v>1467</v>
      </c>
      <c r="E695" s="83">
        <v>4</v>
      </c>
      <c r="F695" s="332">
        <v>2.314</v>
      </c>
      <c r="G695" s="83">
        <v>-1.074</v>
      </c>
      <c r="H695" s="83">
        <v>-1.074</v>
      </c>
      <c r="I695" s="83">
        <f t="shared" ref="I695:I700" si="96">E695+H695</f>
        <v>2.926</v>
      </c>
      <c r="J695" s="59"/>
    </row>
    <row r="696" customHeight="1" spans="1:10">
      <c r="A696" s="337" t="s">
        <v>1468</v>
      </c>
      <c r="B696" s="338"/>
      <c r="C696" s="339"/>
      <c r="D696" s="340"/>
      <c r="E696" s="138">
        <f t="shared" ref="E696:I696" si="97">E695</f>
        <v>4</v>
      </c>
      <c r="F696" s="83">
        <f t="shared" si="97"/>
        <v>2.314</v>
      </c>
      <c r="G696" s="138">
        <f t="shared" si="97"/>
        <v>-1.074</v>
      </c>
      <c r="H696" s="138">
        <f t="shared" si="97"/>
        <v>-1.074</v>
      </c>
      <c r="I696" s="138">
        <f t="shared" si="97"/>
        <v>2.926</v>
      </c>
      <c r="J696" s="344"/>
    </row>
    <row r="697" customHeight="1" spans="1:10">
      <c r="A697" s="128">
        <v>608</v>
      </c>
      <c r="B697" s="152" t="s">
        <v>601</v>
      </c>
      <c r="C697" s="71" t="s">
        <v>1469</v>
      </c>
      <c r="D697" s="71" t="s">
        <v>1470</v>
      </c>
      <c r="E697" s="142">
        <v>2</v>
      </c>
      <c r="F697" s="142">
        <v>0</v>
      </c>
      <c r="G697" s="142"/>
      <c r="H697" s="142"/>
      <c r="I697" s="83">
        <f t="shared" si="96"/>
        <v>2</v>
      </c>
      <c r="J697" s="71"/>
    </row>
    <row r="698" customHeight="1" spans="1:10">
      <c r="A698" s="128">
        <v>609</v>
      </c>
      <c r="B698" s="152" t="s">
        <v>601</v>
      </c>
      <c r="C698" s="71" t="s">
        <v>1469</v>
      </c>
      <c r="D698" s="71" t="s">
        <v>1471</v>
      </c>
      <c r="E698" s="142">
        <v>11</v>
      </c>
      <c r="F698" s="142">
        <v>3.29</v>
      </c>
      <c r="G698" s="142">
        <v>-0.885</v>
      </c>
      <c r="H698" s="142">
        <v>-0.885</v>
      </c>
      <c r="I698" s="83">
        <f t="shared" si="96"/>
        <v>10.115</v>
      </c>
      <c r="J698" s="71"/>
    </row>
    <row r="699" customHeight="1" spans="1:10">
      <c r="A699" s="128">
        <v>610</v>
      </c>
      <c r="B699" s="152" t="s">
        <v>601</v>
      </c>
      <c r="C699" s="71" t="s">
        <v>1469</v>
      </c>
      <c r="D699" s="71" t="s">
        <v>1472</v>
      </c>
      <c r="E699" s="142">
        <v>2</v>
      </c>
      <c r="F699" s="142">
        <v>1.26</v>
      </c>
      <c r="G699" s="142">
        <v>-0.012</v>
      </c>
      <c r="H699" s="142">
        <v>-0.012</v>
      </c>
      <c r="I699" s="83">
        <f t="shared" si="96"/>
        <v>1.988</v>
      </c>
      <c r="J699" s="71"/>
    </row>
    <row r="700" customHeight="1" spans="1:10">
      <c r="A700" s="128">
        <v>611</v>
      </c>
      <c r="B700" s="152" t="s">
        <v>601</v>
      </c>
      <c r="C700" s="71" t="s">
        <v>1469</v>
      </c>
      <c r="D700" s="71" t="s">
        <v>1473</v>
      </c>
      <c r="E700" s="142">
        <v>3</v>
      </c>
      <c r="F700" s="142">
        <v>3</v>
      </c>
      <c r="G700" s="142"/>
      <c r="H700" s="142"/>
      <c r="I700" s="83">
        <f t="shared" si="96"/>
        <v>3</v>
      </c>
      <c r="J700" s="71"/>
    </row>
    <row r="701" customHeight="1" spans="1:10">
      <c r="A701" s="337" t="s">
        <v>1474</v>
      </c>
      <c r="B701" s="338"/>
      <c r="C701" s="339"/>
      <c r="D701" s="340"/>
      <c r="E701" s="352">
        <f t="shared" ref="E701:I701" si="98">SUM(E697:E700)</f>
        <v>18</v>
      </c>
      <c r="F701" s="142">
        <f t="shared" si="98"/>
        <v>7.55</v>
      </c>
      <c r="G701" s="352">
        <f t="shared" si="98"/>
        <v>-0.897</v>
      </c>
      <c r="H701" s="352">
        <f t="shared" si="98"/>
        <v>-0.897</v>
      </c>
      <c r="I701" s="352">
        <f t="shared" si="98"/>
        <v>17.103</v>
      </c>
      <c r="J701" s="165"/>
    </row>
    <row r="702" customHeight="1" spans="1:10">
      <c r="A702" s="128">
        <v>612</v>
      </c>
      <c r="B702" s="152" t="s">
        <v>1475</v>
      </c>
      <c r="C702" s="71" t="s">
        <v>1476</v>
      </c>
      <c r="D702" s="151" t="s">
        <v>1477</v>
      </c>
      <c r="E702" s="142">
        <v>50</v>
      </c>
      <c r="F702" s="142">
        <v>50</v>
      </c>
      <c r="G702" s="142">
        <v>-50</v>
      </c>
      <c r="H702" s="142">
        <v>-50</v>
      </c>
      <c r="I702" s="83">
        <f>E702+H702</f>
        <v>0</v>
      </c>
      <c r="J702" s="71" t="s">
        <v>1478</v>
      </c>
    </row>
    <row r="703" customHeight="1" spans="1:10">
      <c r="A703" s="128">
        <v>613</v>
      </c>
      <c r="B703" s="152" t="s">
        <v>648</v>
      </c>
      <c r="C703" s="71" t="s">
        <v>1476</v>
      </c>
      <c r="D703" s="71" t="s">
        <v>1479</v>
      </c>
      <c r="E703" s="142">
        <v>900</v>
      </c>
      <c r="F703" s="142">
        <v>573.12</v>
      </c>
      <c r="G703" s="142">
        <v>-573.12</v>
      </c>
      <c r="H703" s="142">
        <v>-573.12</v>
      </c>
      <c r="I703" s="83">
        <f t="shared" ref="I703:I733" si="99">E703+H703</f>
        <v>326.88</v>
      </c>
      <c r="J703" s="71" t="s">
        <v>1480</v>
      </c>
    </row>
    <row r="704" customHeight="1" spans="1:10">
      <c r="A704" s="128">
        <v>614</v>
      </c>
      <c r="B704" s="152" t="s">
        <v>616</v>
      </c>
      <c r="C704" s="333" t="s">
        <v>1476</v>
      </c>
      <c r="D704" s="333" t="s">
        <v>1481</v>
      </c>
      <c r="E704" s="142">
        <v>72</v>
      </c>
      <c r="F704" s="142">
        <v>57.456</v>
      </c>
      <c r="G704" s="142">
        <v>-33.0005</v>
      </c>
      <c r="H704" s="142">
        <v>-33.0005</v>
      </c>
      <c r="I704" s="83">
        <f t="shared" si="99"/>
        <v>38.9995</v>
      </c>
      <c r="J704" s="71" t="s">
        <v>1482</v>
      </c>
    </row>
    <row r="705" customHeight="1" spans="1:10">
      <c r="A705" s="128">
        <v>615</v>
      </c>
      <c r="B705" s="152" t="s">
        <v>598</v>
      </c>
      <c r="C705" s="333" t="s">
        <v>1476</v>
      </c>
      <c r="D705" s="333" t="s">
        <v>1483</v>
      </c>
      <c r="E705" s="142">
        <v>200</v>
      </c>
      <c r="F705" s="142">
        <v>200</v>
      </c>
      <c r="G705" s="142">
        <v>-200</v>
      </c>
      <c r="H705" s="142">
        <v>-200</v>
      </c>
      <c r="I705" s="83">
        <f t="shared" si="99"/>
        <v>0</v>
      </c>
      <c r="J705" s="348"/>
    </row>
    <row r="706" customHeight="1" spans="1:10">
      <c r="A706" s="128">
        <v>616</v>
      </c>
      <c r="B706" s="152" t="s">
        <v>598</v>
      </c>
      <c r="C706" s="333" t="s">
        <v>1476</v>
      </c>
      <c r="D706" s="333" t="s">
        <v>1484</v>
      </c>
      <c r="E706" s="142">
        <v>20</v>
      </c>
      <c r="F706" s="142">
        <v>20</v>
      </c>
      <c r="G706" s="142">
        <v>-20</v>
      </c>
      <c r="H706" s="142">
        <v>-20</v>
      </c>
      <c r="I706" s="83">
        <f t="shared" si="99"/>
        <v>0</v>
      </c>
      <c r="J706" s="348" t="s">
        <v>1485</v>
      </c>
    </row>
    <row r="707" customHeight="1" spans="1:10">
      <c r="A707" s="128">
        <v>617</v>
      </c>
      <c r="B707" s="152" t="s">
        <v>598</v>
      </c>
      <c r="C707" s="333" t="s">
        <v>1476</v>
      </c>
      <c r="D707" s="333" t="s">
        <v>1486</v>
      </c>
      <c r="E707" s="142">
        <v>6</v>
      </c>
      <c r="F707" s="142">
        <v>6</v>
      </c>
      <c r="G707" s="142"/>
      <c r="H707" s="142"/>
      <c r="I707" s="83">
        <f t="shared" si="99"/>
        <v>6</v>
      </c>
      <c r="J707" s="348"/>
    </row>
    <row r="708" customHeight="1" spans="1:10">
      <c r="A708" s="128">
        <v>618</v>
      </c>
      <c r="B708" s="152" t="s">
        <v>598</v>
      </c>
      <c r="C708" s="333" t="s">
        <v>1476</v>
      </c>
      <c r="D708" s="333" t="s">
        <v>545</v>
      </c>
      <c r="E708" s="142">
        <v>434</v>
      </c>
      <c r="F708" s="142">
        <v>184</v>
      </c>
      <c r="G708" s="142"/>
      <c r="H708" s="142"/>
      <c r="I708" s="83">
        <f t="shared" si="99"/>
        <v>434</v>
      </c>
      <c r="J708" s="348" t="s">
        <v>1487</v>
      </c>
    </row>
    <row r="709" customHeight="1" spans="1:10">
      <c r="A709" s="128">
        <v>619</v>
      </c>
      <c r="B709" s="152" t="s">
        <v>606</v>
      </c>
      <c r="C709" s="333" t="s">
        <v>1476</v>
      </c>
      <c r="D709" s="345" t="s">
        <v>1488</v>
      </c>
      <c r="E709" s="142">
        <v>54</v>
      </c>
      <c r="F709" s="142">
        <v>34</v>
      </c>
      <c r="G709" s="142">
        <v>-24</v>
      </c>
      <c r="H709" s="142">
        <v>-24</v>
      </c>
      <c r="I709" s="83">
        <f t="shared" si="99"/>
        <v>30</v>
      </c>
      <c r="J709" s="59"/>
    </row>
    <row r="710" customHeight="1" spans="1:10">
      <c r="A710" s="128">
        <v>620</v>
      </c>
      <c r="B710" s="152" t="s">
        <v>606</v>
      </c>
      <c r="C710" s="333" t="s">
        <v>1476</v>
      </c>
      <c r="D710" s="345" t="s">
        <v>1489</v>
      </c>
      <c r="E710" s="142">
        <v>6.738</v>
      </c>
      <c r="F710" s="142">
        <v>0.006</v>
      </c>
      <c r="G710" s="142">
        <v>-0.006</v>
      </c>
      <c r="H710" s="142">
        <v>-0.006</v>
      </c>
      <c r="I710" s="83">
        <f t="shared" si="99"/>
        <v>6.732</v>
      </c>
      <c r="J710" s="59"/>
    </row>
    <row r="711" customHeight="1" spans="1:10">
      <c r="A711" s="128">
        <v>621</v>
      </c>
      <c r="B711" s="152" t="s">
        <v>603</v>
      </c>
      <c r="C711" s="333" t="s">
        <v>1476</v>
      </c>
      <c r="D711" s="151" t="s">
        <v>1490</v>
      </c>
      <c r="E711" s="142">
        <v>700</v>
      </c>
      <c r="F711" s="142">
        <v>140</v>
      </c>
      <c r="G711" s="142">
        <v>-80</v>
      </c>
      <c r="H711" s="142">
        <v>-80</v>
      </c>
      <c r="I711" s="83">
        <f t="shared" si="99"/>
        <v>620</v>
      </c>
      <c r="J711" s="59"/>
    </row>
    <row r="712" customHeight="1" spans="1:10">
      <c r="A712" s="128">
        <v>622</v>
      </c>
      <c r="B712" s="152" t="s">
        <v>603</v>
      </c>
      <c r="C712" s="333" t="s">
        <v>1476</v>
      </c>
      <c r="D712" s="151" t="s">
        <v>1491</v>
      </c>
      <c r="E712" s="142">
        <v>20</v>
      </c>
      <c r="F712" s="142">
        <v>20</v>
      </c>
      <c r="G712" s="142">
        <v>-20</v>
      </c>
      <c r="H712" s="142">
        <v>-20</v>
      </c>
      <c r="I712" s="83">
        <f t="shared" si="99"/>
        <v>0</v>
      </c>
      <c r="J712" s="59"/>
    </row>
    <row r="713" customHeight="1" spans="1:10">
      <c r="A713" s="128">
        <v>623</v>
      </c>
      <c r="B713" s="152" t="s">
        <v>603</v>
      </c>
      <c r="C713" s="333" t="s">
        <v>1476</v>
      </c>
      <c r="D713" s="151" t="s">
        <v>1492</v>
      </c>
      <c r="E713" s="142">
        <v>180</v>
      </c>
      <c r="F713" s="142">
        <v>180</v>
      </c>
      <c r="G713" s="142">
        <v>-180</v>
      </c>
      <c r="H713" s="142">
        <v>-180</v>
      </c>
      <c r="I713" s="83">
        <f t="shared" si="99"/>
        <v>0</v>
      </c>
      <c r="J713" s="59"/>
    </row>
    <row r="714" customHeight="1" spans="1:10">
      <c r="A714" s="128">
        <v>624</v>
      </c>
      <c r="B714" s="152" t="s">
        <v>603</v>
      </c>
      <c r="C714" s="333" t="s">
        <v>1476</v>
      </c>
      <c r="D714" s="151" t="s">
        <v>583</v>
      </c>
      <c r="E714" s="142">
        <v>3966.08</v>
      </c>
      <c r="F714" s="142">
        <v>259.48537</v>
      </c>
      <c r="G714" s="142">
        <v>11.523</v>
      </c>
      <c r="H714" s="142">
        <v>11.523</v>
      </c>
      <c r="I714" s="83">
        <f t="shared" si="99"/>
        <v>3977.603</v>
      </c>
      <c r="J714" s="59" t="s">
        <v>1493</v>
      </c>
    </row>
    <row r="715" customHeight="1" spans="1:10">
      <c r="A715" s="128">
        <v>625</v>
      </c>
      <c r="B715" s="152" t="s">
        <v>603</v>
      </c>
      <c r="C715" s="333" t="s">
        <v>1476</v>
      </c>
      <c r="D715" s="151" t="s">
        <v>585</v>
      </c>
      <c r="E715" s="142">
        <v>105.813792</v>
      </c>
      <c r="F715" s="142">
        <v>35.126242</v>
      </c>
      <c r="G715" s="142">
        <v>-35.126242</v>
      </c>
      <c r="H715" s="142">
        <v>-35.126242</v>
      </c>
      <c r="I715" s="83">
        <f t="shared" si="99"/>
        <v>70.68755</v>
      </c>
      <c r="J715" s="59"/>
    </row>
    <row r="716" customHeight="1" spans="1:10">
      <c r="A716" s="128">
        <v>626</v>
      </c>
      <c r="B716" s="152" t="s">
        <v>603</v>
      </c>
      <c r="C716" s="333" t="s">
        <v>1476</v>
      </c>
      <c r="D716" s="151" t="s">
        <v>572</v>
      </c>
      <c r="E716" s="142">
        <v>1255</v>
      </c>
      <c r="F716" s="142">
        <v>1255</v>
      </c>
      <c r="G716" s="142">
        <v>-1255</v>
      </c>
      <c r="H716" s="142">
        <v>-1255</v>
      </c>
      <c r="I716" s="83">
        <f t="shared" si="99"/>
        <v>0</v>
      </c>
      <c r="J716" s="59"/>
    </row>
    <row r="717" customHeight="1" spans="1:10">
      <c r="A717" s="128">
        <v>627</v>
      </c>
      <c r="B717" s="152" t="s">
        <v>603</v>
      </c>
      <c r="C717" s="333" t="s">
        <v>1476</v>
      </c>
      <c r="D717" s="151" t="s">
        <v>576</v>
      </c>
      <c r="E717" s="142">
        <v>10935.96</v>
      </c>
      <c r="F717" s="142">
        <v>10935.96</v>
      </c>
      <c r="G717" s="142"/>
      <c r="H717" s="142"/>
      <c r="I717" s="83">
        <f t="shared" si="99"/>
        <v>10935.96</v>
      </c>
      <c r="J717" s="59"/>
    </row>
    <row r="718" customHeight="1" spans="1:10">
      <c r="A718" s="128">
        <v>628</v>
      </c>
      <c r="B718" s="152" t="s">
        <v>603</v>
      </c>
      <c r="C718" s="333" t="s">
        <v>1476</v>
      </c>
      <c r="D718" s="151" t="s">
        <v>1494</v>
      </c>
      <c r="E718" s="142">
        <v>5</v>
      </c>
      <c r="F718" s="142">
        <v>0</v>
      </c>
      <c r="G718" s="142"/>
      <c r="H718" s="142"/>
      <c r="I718" s="83">
        <f t="shared" si="99"/>
        <v>5</v>
      </c>
      <c r="J718" s="59"/>
    </row>
    <row r="719" customHeight="1" spans="1:10">
      <c r="A719" s="128">
        <v>629</v>
      </c>
      <c r="B719" s="152" t="s">
        <v>603</v>
      </c>
      <c r="C719" s="333" t="s">
        <v>1476</v>
      </c>
      <c r="D719" s="71" t="s">
        <v>580</v>
      </c>
      <c r="E719" s="142">
        <v>10144.1</v>
      </c>
      <c r="F719" s="142">
        <v>0</v>
      </c>
      <c r="G719" s="142"/>
      <c r="H719" s="142"/>
      <c r="I719" s="83">
        <f t="shared" si="99"/>
        <v>10144.1</v>
      </c>
      <c r="J719" s="59"/>
    </row>
    <row r="720" customHeight="1" spans="1:10">
      <c r="A720" s="128">
        <v>630</v>
      </c>
      <c r="B720" s="152" t="s">
        <v>613</v>
      </c>
      <c r="C720" s="333" t="s">
        <v>1476</v>
      </c>
      <c r="D720" s="151" t="s">
        <v>1495</v>
      </c>
      <c r="E720" s="142">
        <v>20</v>
      </c>
      <c r="F720" s="142">
        <v>0</v>
      </c>
      <c r="G720" s="142"/>
      <c r="H720" s="142"/>
      <c r="I720" s="83">
        <f t="shared" si="99"/>
        <v>20</v>
      </c>
      <c r="J720" s="59"/>
    </row>
    <row r="721" customHeight="1" spans="1:10">
      <c r="A721" s="128">
        <v>631</v>
      </c>
      <c r="B721" s="152" t="s">
        <v>613</v>
      </c>
      <c r="C721" s="333" t="s">
        <v>1476</v>
      </c>
      <c r="D721" s="151" t="s">
        <v>1496</v>
      </c>
      <c r="E721" s="142">
        <v>30</v>
      </c>
      <c r="F721" s="142">
        <v>30</v>
      </c>
      <c r="G721" s="142">
        <v>-30</v>
      </c>
      <c r="H721" s="142">
        <v>-30</v>
      </c>
      <c r="I721" s="83">
        <f t="shared" si="99"/>
        <v>0</v>
      </c>
      <c r="J721" s="59"/>
    </row>
    <row r="722" customHeight="1" spans="1:10">
      <c r="A722" s="128">
        <v>632</v>
      </c>
      <c r="B722" s="152" t="s">
        <v>613</v>
      </c>
      <c r="C722" s="333" t="s">
        <v>1476</v>
      </c>
      <c r="D722" s="151" t="s">
        <v>1497</v>
      </c>
      <c r="E722" s="142">
        <v>20</v>
      </c>
      <c r="F722" s="142">
        <v>20</v>
      </c>
      <c r="G722" s="142">
        <v>-20</v>
      </c>
      <c r="H722" s="142">
        <v>-20</v>
      </c>
      <c r="I722" s="83">
        <f t="shared" si="99"/>
        <v>0</v>
      </c>
      <c r="J722" s="59"/>
    </row>
    <row r="723" customHeight="1" spans="1:10">
      <c r="A723" s="128">
        <v>633</v>
      </c>
      <c r="B723" s="152" t="s">
        <v>613</v>
      </c>
      <c r="C723" s="333" t="s">
        <v>1476</v>
      </c>
      <c r="D723" s="151" t="s">
        <v>1498</v>
      </c>
      <c r="E723" s="142">
        <v>40</v>
      </c>
      <c r="F723" s="142">
        <v>40</v>
      </c>
      <c r="G723" s="142">
        <v>-40</v>
      </c>
      <c r="H723" s="142">
        <v>-40</v>
      </c>
      <c r="I723" s="83">
        <f t="shared" si="99"/>
        <v>0</v>
      </c>
      <c r="J723" s="59"/>
    </row>
    <row r="724" customHeight="1" spans="1:10">
      <c r="A724" s="128">
        <v>634</v>
      </c>
      <c r="B724" s="152" t="s">
        <v>613</v>
      </c>
      <c r="C724" s="333" t="s">
        <v>1476</v>
      </c>
      <c r="D724" s="151" t="s">
        <v>1499</v>
      </c>
      <c r="E724" s="142">
        <v>30</v>
      </c>
      <c r="F724" s="142">
        <v>30</v>
      </c>
      <c r="G724" s="142">
        <v>-30</v>
      </c>
      <c r="H724" s="142">
        <v>-30</v>
      </c>
      <c r="I724" s="83">
        <f t="shared" si="99"/>
        <v>0</v>
      </c>
      <c r="J724" s="59"/>
    </row>
    <row r="725" customHeight="1" spans="1:10">
      <c r="A725" s="128">
        <v>635</v>
      </c>
      <c r="B725" s="152" t="s">
        <v>624</v>
      </c>
      <c r="C725" s="71" t="s">
        <v>1476</v>
      </c>
      <c r="D725" s="71" t="s">
        <v>1500</v>
      </c>
      <c r="E725" s="142">
        <v>70.3</v>
      </c>
      <c r="F725" s="142">
        <v>70.3</v>
      </c>
      <c r="G725" s="142">
        <v>-70.3</v>
      </c>
      <c r="H725" s="142">
        <v>-70.3</v>
      </c>
      <c r="I725" s="83">
        <f t="shared" si="99"/>
        <v>0</v>
      </c>
      <c r="J725" s="59"/>
    </row>
    <row r="726" customHeight="1" spans="1:10">
      <c r="A726" s="128">
        <v>636</v>
      </c>
      <c r="B726" s="152" t="s">
        <v>624</v>
      </c>
      <c r="C726" s="71" t="s">
        <v>1476</v>
      </c>
      <c r="D726" s="71" t="s">
        <v>1501</v>
      </c>
      <c r="E726" s="142">
        <v>8.8</v>
      </c>
      <c r="F726" s="142">
        <v>8.8</v>
      </c>
      <c r="G726" s="142">
        <v>-8.8</v>
      </c>
      <c r="H726" s="142">
        <v>-8.8</v>
      </c>
      <c r="I726" s="83">
        <f t="shared" si="99"/>
        <v>0</v>
      </c>
      <c r="J726" s="59"/>
    </row>
    <row r="727" customHeight="1" spans="1:10">
      <c r="A727" s="128">
        <v>637</v>
      </c>
      <c r="B727" s="152" t="s">
        <v>624</v>
      </c>
      <c r="C727" s="333" t="s">
        <v>1476</v>
      </c>
      <c r="D727" s="333" t="s">
        <v>1502</v>
      </c>
      <c r="E727" s="142">
        <v>100</v>
      </c>
      <c r="F727" s="142"/>
      <c r="G727" s="142">
        <v>-0.13</v>
      </c>
      <c r="H727" s="142">
        <v>-0.13</v>
      </c>
      <c r="I727" s="83">
        <f t="shared" ref="I727:I733" si="100">E727+H727</f>
        <v>99.87</v>
      </c>
      <c r="J727" s="59" t="s">
        <v>1503</v>
      </c>
    </row>
    <row r="728" customHeight="1" spans="1:10">
      <c r="A728" s="128">
        <v>638</v>
      </c>
      <c r="B728" s="152" t="s">
        <v>624</v>
      </c>
      <c r="C728" s="71" t="s">
        <v>1476</v>
      </c>
      <c r="D728" s="333" t="s">
        <v>1504</v>
      </c>
      <c r="E728" s="142">
        <v>8</v>
      </c>
      <c r="F728" s="142"/>
      <c r="G728" s="142"/>
      <c r="H728" s="142"/>
      <c r="I728" s="83">
        <f t="shared" si="100"/>
        <v>8</v>
      </c>
      <c r="J728" s="59" t="s">
        <v>1503</v>
      </c>
    </row>
    <row r="729" customHeight="1" spans="1:10">
      <c r="A729" s="128">
        <v>639</v>
      </c>
      <c r="B729" s="152" t="s">
        <v>624</v>
      </c>
      <c r="C729" s="71" t="s">
        <v>1476</v>
      </c>
      <c r="D729" s="71" t="s">
        <v>1505</v>
      </c>
      <c r="E729" s="142">
        <v>300</v>
      </c>
      <c r="F729" s="142">
        <v>290</v>
      </c>
      <c r="G729" s="142">
        <v>-290</v>
      </c>
      <c r="H729" s="142">
        <v>-290</v>
      </c>
      <c r="I729" s="83">
        <f t="shared" si="100"/>
        <v>10</v>
      </c>
      <c r="J729" s="59" t="s">
        <v>1503</v>
      </c>
    </row>
    <row r="730" customHeight="1" spans="1:10">
      <c r="A730" s="128">
        <v>640</v>
      </c>
      <c r="B730" s="152" t="s">
        <v>624</v>
      </c>
      <c r="C730" s="71" t="s">
        <v>1476</v>
      </c>
      <c r="D730" s="71" t="s">
        <v>1506</v>
      </c>
      <c r="E730" s="142">
        <v>5</v>
      </c>
      <c r="F730" s="142">
        <v>5</v>
      </c>
      <c r="G730" s="142">
        <v>-5</v>
      </c>
      <c r="H730" s="142">
        <v>-5</v>
      </c>
      <c r="I730" s="83">
        <f t="shared" si="100"/>
        <v>0</v>
      </c>
      <c r="J730" s="59"/>
    </row>
    <row r="731" customHeight="1" spans="1:10">
      <c r="A731" s="128">
        <v>641</v>
      </c>
      <c r="B731" s="152" t="s">
        <v>624</v>
      </c>
      <c r="C731" s="71" t="s">
        <v>1476</v>
      </c>
      <c r="D731" s="71" t="s">
        <v>1507</v>
      </c>
      <c r="E731" s="142">
        <v>200</v>
      </c>
      <c r="F731" s="142">
        <v>200</v>
      </c>
      <c r="G731" s="142">
        <v>-200</v>
      </c>
      <c r="H731" s="142">
        <v>-200</v>
      </c>
      <c r="I731" s="83">
        <f t="shared" si="100"/>
        <v>0</v>
      </c>
      <c r="J731" s="59"/>
    </row>
    <row r="732" customHeight="1" spans="1:10">
      <c r="A732" s="128">
        <v>642</v>
      </c>
      <c r="B732" s="152" t="s">
        <v>624</v>
      </c>
      <c r="C732" s="71" t="s">
        <v>1476</v>
      </c>
      <c r="D732" s="71" t="s">
        <v>1508</v>
      </c>
      <c r="E732" s="142">
        <v>200</v>
      </c>
      <c r="F732" s="142">
        <v>200</v>
      </c>
      <c r="G732" s="142">
        <v>-200</v>
      </c>
      <c r="H732" s="142">
        <v>-200</v>
      </c>
      <c r="I732" s="83">
        <f t="shared" si="100"/>
        <v>0</v>
      </c>
      <c r="J732" s="59"/>
    </row>
    <row r="733" customHeight="1" spans="1:10">
      <c r="A733" s="128">
        <v>643</v>
      </c>
      <c r="B733" s="152" t="s">
        <v>1509</v>
      </c>
      <c r="C733" s="71" t="s">
        <v>1476</v>
      </c>
      <c r="D733" s="71" t="s">
        <v>1510</v>
      </c>
      <c r="E733" s="142">
        <v>1755.23147</v>
      </c>
      <c r="F733" s="142">
        <v>797.76165</v>
      </c>
      <c r="G733" s="142">
        <v>-905.934614</v>
      </c>
      <c r="H733" s="142">
        <v>-905.934614</v>
      </c>
      <c r="I733" s="83">
        <f t="shared" si="100"/>
        <v>849.296856</v>
      </c>
      <c r="J733" s="59" t="s">
        <v>1503</v>
      </c>
    </row>
    <row r="734" s="319" customFormat="1" customHeight="1" spans="1:10">
      <c r="A734" s="337" t="s">
        <v>1511</v>
      </c>
      <c r="B734" s="364"/>
      <c r="C734" s="364"/>
      <c r="D734" s="365"/>
      <c r="E734" s="138">
        <f>SUM(E702:E733)</f>
        <v>31842.023262</v>
      </c>
      <c r="F734" s="138">
        <f>SUM(F702:F733)</f>
        <v>15642.015262</v>
      </c>
      <c r="G734" s="138">
        <f>SUM(G702:G733)</f>
        <v>-4258.894356</v>
      </c>
      <c r="H734" s="138">
        <f>SUM(H702:H733)</f>
        <v>-4258.894356</v>
      </c>
      <c r="I734" s="138">
        <f>SUM(I702:I733)</f>
        <v>27583.128906</v>
      </c>
      <c r="J734" s="165"/>
    </row>
  </sheetData>
  <autoFilter xmlns:etc="http://www.wps.cn/officeDocument/2017/etCustomData" ref="A5:J734" etc:filterBottomFollowUsedRange="0">
    <extLst/>
  </autoFilter>
  <mergeCells count="84">
    <mergeCell ref="A1:C1"/>
    <mergeCell ref="A2:J2"/>
    <mergeCell ref="I3:J3"/>
    <mergeCell ref="G4:H4"/>
    <mergeCell ref="A6:D6"/>
    <mergeCell ref="A7:D7"/>
    <mergeCell ref="A22:D22"/>
    <mergeCell ref="A23:D23"/>
    <mergeCell ref="A24:D24"/>
    <mergeCell ref="A58:D58"/>
    <mergeCell ref="A69:D69"/>
    <mergeCell ref="A89:D89"/>
    <mergeCell ref="A95:D95"/>
    <mergeCell ref="A110:D110"/>
    <mergeCell ref="A116:D116"/>
    <mergeCell ref="A126:D126"/>
    <mergeCell ref="A129:D129"/>
    <mergeCell ref="A166:D166"/>
    <mergeCell ref="A174:D174"/>
    <mergeCell ref="A180:D180"/>
    <mergeCell ref="A186:D186"/>
    <mergeCell ref="A189:D189"/>
    <mergeCell ref="A212:D212"/>
    <mergeCell ref="A214:D214"/>
    <mergeCell ref="A270:D270"/>
    <mergeCell ref="A275:D275"/>
    <mergeCell ref="A282:D282"/>
    <mergeCell ref="A312:D312"/>
    <mergeCell ref="A330:D330"/>
    <mergeCell ref="A343:D343"/>
    <mergeCell ref="A364:D364"/>
    <mergeCell ref="A366:D366"/>
    <mergeCell ref="A375:D375"/>
    <mergeCell ref="A378:D378"/>
    <mergeCell ref="A387:D387"/>
    <mergeCell ref="A390:D390"/>
    <mergeCell ref="A392:D392"/>
    <mergeCell ref="A394:D394"/>
    <mergeCell ref="A423:D423"/>
    <mergeCell ref="A428:D428"/>
    <mergeCell ref="A430:D430"/>
    <mergeCell ref="A432:D432"/>
    <mergeCell ref="A436:D436"/>
    <mergeCell ref="A447:D447"/>
    <mergeCell ref="A450:D450"/>
    <mergeCell ref="A453:D453"/>
    <mergeCell ref="A455:D455"/>
    <mergeCell ref="A489:D489"/>
    <mergeCell ref="A493:D493"/>
    <mergeCell ref="A499:D499"/>
    <mergeCell ref="A522:D522"/>
    <mergeCell ref="A542:D542"/>
    <mergeCell ref="A549:D549"/>
    <mergeCell ref="A554:D554"/>
    <mergeCell ref="A560:D560"/>
    <mergeCell ref="A574:D574"/>
    <mergeCell ref="A578:D578"/>
    <mergeCell ref="A584:D584"/>
    <mergeCell ref="A597:D597"/>
    <mergeCell ref="A601:D601"/>
    <mergeCell ref="A605:D605"/>
    <mergeCell ref="A618:D618"/>
    <mergeCell ref="A630:D630"/>
    <mergeCell ref="A640:D640"/>
    <mergeCell ref="A643:D643"/>
    <mergeCell ref="A649:D649"/>
    <mergeCell ref="A652:D652"/>
    <mergeCell ref="A656:D656"/>
    <mergeCell ref="A659:D659"/>
    <mergeCell ref="A663:D663"/>
    <mergeCell ref="A673:D673"/>
    <mergeCell ref="A680:D680"/>
    <mergeCell ref="A694:D694"/>
    <mergeCell ref="A696:D696"/>
    <mergeCell ref="A701:D701"/>
    <mergeCell ref="A734:D734"/>
    <mergeCell ref="A4:A5"/>
    <mergeCell ref="B4:B5"/>
    <mergeCell ref="C4:C5"/>
    <mergeCell ref="D4:D5"/>
    <mergeCell ref="E4:E5"/>
    <mergeCell ref="F4:F5"/>
    <mergeCell ref="I4:I5"/>
    <mergeCell ref="J4:J5"/>
  </mergeCells>
  <printOptions horizontalCentered="1"/>
  <pageMargins left="0.393055555555556" right="0.393055555555556" top="0.590277777777778" bottom="0.590277777777778" header="0.196527777777778" footer="0.196527777777778"/>
  <pageSetup paperSize="9" scale="63" fitToHeight="0" orientation="landscape" horizontalDpi="600"/>
  <headerFooter alignWithMargins="0" scaleWithDoc="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31"/>
  <sheetViews>
    <sheetView showZeros="0" zoomScale="90" zoomScaleNormal="90" workbookViewId="0">
      <pane ySplit="6" topLeftCell="A22" activePane="bottomLeft" state="frozen"/>
      <selection/>
      <selection pane="bottomLeft" activeCell="A3" sqref="A3"/>
    </sheetView>
  </sheetViews>
  <sheetFormatPr defaultColWidth="9" defaultRowHeight="12"/>
  <cols>
    <col min="1" max="1" width="33.875" style="292" customWidth="1"/>
    <col min="2" max="3" width="8.125" style="296" hidden="1" customWidth="1"/>
    <col min="4" max="4" width="8.125" style="297" hidden="1" customWidth="1"/>
    <col min="5" max="10" width="8.125" style="297" customWidth="1"/>
    <col min="11" max="12" width="8.05" style="297" customWidth="1"/>
    <col min="13" max="13" width="11.8083333333333" style="297" customWidth="1"/>
    <col min="14" max="17" width="8.05" style="297" customWidth="1"/>
    <col min="18" max="18" width="8.05" style="296" customWidth="1"/>
    <col min="19" max="31" width="8.05" style="297" customWidth="1"/>
    <col min="32" max="34" width="8.46666666666667" style="297" customWidth="1"/>
    <col min="35" max="35" width="6.7" style="292" customWidth="1"/>
    <col min="36" max="16384" width="9" style="292"/>
  </cols>
  <sheetData>
    <row r="1" s="292" customFormat="1" ht="20" customHeight="1" spans="1:34">
      <c r="A1" s="179" t="s">
        <v>1512</v>
      </c>
      <c r="B1" s="296"/>
      <c r="C1" s="296"/>
      <c r="D1" s="297"/>
      <c r="E1" s="297"/>
      <c r="F1" s="297"/>
      <c r="G1" s="297"/>
      <c r="H1" s="297"/>
      <c r="I1" s="297"/>
      <c r="J1" s="297"/>
      <c r="K1" s="297"/>
      <c r="L1" s="297"/>
      <c r="M1" s="297"/>
      <c r="N1" s="297"/>
      <c r="O1" s="297"/>
      <c r="P1" s="297"/>
      <c r="Q1" s="297"/>
      <c r="R1" s="296"/>
      <c r="S1" s="297"/>
      <c r="T1" s="297"/>
      <c r="U1" s="297"/>
      <c r="V1" s="297"/>
      <c r="W1" s="297"/>
      <c r="X1" s="297"/>
      <c r="Y1" s="297"/>
      <c r="Z1" s="297"/>
      <c r="AA1" s="297"/>
      <c r="AB1" s="297"/>
      <c r="AC1" s="297"/>
      <c r="AD1" s="297"/>
      <c r="AE1" s="297"/>
      <c r="AF1" s="297"/>
      <c r="AG1" s="297"/>
      <c r="AH1" s="297"/>
    </row>
    <row r="2" s="293" customFormat="1" ht="30" customHeight="1" spans="1:35">
      <c r="A2" s="80" t="s">
        <v>1513</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80"/>
    </row>
    <row r="3" s="292" customFormat="1" ht="20" customHeight="1" spans="2:35">
      <c r="B3" s="296"/>
      <c r="C3" s="296"/>
      <c r="D3" s="297"/>
      <c r="E3" s="297"/>
      <c r="F3" s="297"/>
      <c r="G3" s="297"/>
      <c r="H3" s="297"/>
      <c r="I3" s="297"/>
      <c r="J3" s="297"/>
      <c r="K3" s="297"/>
      <c r="L3" s="297"/>
      <c r="M3" s="297"/>
      <c r="N3" s="297"/>
      <c r="O3" s="297"/>
      <c r="P3" s="297"/>
      <c r="Q3" s="297"/>
      <c r="R3" s="296"/>
      <c r="S3" s="297"/>
      <c r="T3" s="297"/>
      <c r="U3" s="297"/>
      <c r="V3" s="297"/>
      <c r="W3" s="297"/>
      <c r="X3" s="297"/>
      <c r="Y3" s="297"/>
      <c r="Z3" s="297"/>
      <c r="AA3" s="297"/>
      <c r="AB3" s="297"/>
      <c r="AC3" s="297"/>
      <c r="AD3" s="297"/>
      <c r="AE3" s="297"/>
      <c r="AF3" s="297"/>
      <c r="AG3" s="297"/>
      <c r="AH3" s="313" t="s">
        <v>24</v>
      </c>
      <c r="AI3" s="85"/>
    </row>
    <row r="4" s="294" customFormat="1" ht="27" customHeight="1" spans="1:35">
      <c r="A4" s="299" t="s">
        <v>591</v>
      </c>
      <c r="B4" s="300" t="s">
        <v>1514</v>
      </c>
      <c r="C4" s="301"/>
      <c r="D4" s="301"/>
      <c r="E4" s="301"/>
      <c r="F4" s="301"/>
      <c r="G4" s="301"/>
      <c r="H4" s="301"/>
      <c r="I4" s="301"/>
      <c r="J4" s="309"/>
      <c r="K4" s="310" t="s">
        <v>1515</v>
      </c>
      <c r="L4" s="310"/>
      <c r="M4" s="310"/>
      <c r="N4" s="310"/>
      <c r="O4" s="310"/>
      <c r="P4" s="310"/>
      <c r="Q4" s="310"/>
      <c r="R4" s="310"/>
      <c r="S4" s="310"/>
      <c r="T4" s="310"/>
      <c r="U4" s="310"/>
      <c r="V4" s="310"/>
      <c r="W4" s="310"/>
      <c r="X4" s="310"/>
      <c r="Y4" s="310"/>
      <c r="Z4" s="310"/>
      <c r="AA4" s="310"/>
      <c r="AB4" s="310"/>
      <c r="AC4" s="310"/>
      <c r="AD4" s="310"/>
      <c r="AE4" s="310"/>
      <c r="AF4" s="310"/>
      <c r="AG4" s="310"/>
      <c r="AH4" s="310"/>
      <c r="AI4" s="299" t="s">
        <v>30</v>
      </c>
    </row>
    <row r="5" s="294" customFormat="1" ht="27" customHeight="1" spans="1:35">
      <c r="A5" s="299"/>
      <c r="B5" s="189" t="s">
        <v>1516</v>
      </c>
      <c r="C5" s="189"/>
      <c r="D5" s="189"/>
      <c r="E5" s="188" t="s">
        <v>1517</v>
      </c>
      <c r="F5" s="188"/>
      <c r="G5" s="188"/>
      <c r="H5" s="188" t="s">
        <v>28</v>
      </c>
      <c r="I5" s="188"/>
      <c r="J5" s="188"/>
      <c r="K5" s="310" t="s">
        <v>1518</v>
      </c>
      <c r="L5" s="310"/>
      <c r="M5" s="310"/>
      <c r="N5" s="310"/>
      <c r="O5" s="310"/>
      <c r="P5" s="310"/>
      <c r="Q5" s="310"/>
      <c r="R5" s="310"/>
      <c r="S5" s="310"/>
      <c r="T5" s="310"/>
      <c r="U5" s="310"/>
      <c r="V5" s="310"/>
      <c r="W5" s="310"/>
      <c r="X5" s="310"/>
      <c r="Y5" s="310"/>
      <c r="Z5" s="310"/>
      <c r="AA5" s="310"/>
      <c r="AB5" s="310"/>
      <c r="AC5" s="310"/>
      <c r="AD5" s="310"/>
      <c r="AE5" s="310"/>
      <c r="AF5" s="311" t="s">
        <v>1519</v>
      </c>
      <c r="AG5" s="311" t="s">
        <v>1520</v>
      </c>
      <c r="AH5" s="310" t="s">
        <v>87</v>
      </c>
      <c r="AI5" s="299"/>
    </row>
    <row r="6" s="294" customFormat="1" ht="192" customHeight="1" spans="1:35">
      <c r="A6" s="299"/>
      <c r="B6" s="302" t="s">
        <v>1521</v>
      </c>
      <c r="C6" s="302" t="s">
        <v>1522</v>
      </c>
      <c r="D6" s="302" t="s">
        <v>87</v>
      </c>
      <c r="E6" s="302" t="s">
        <v>1521</v>
      </c>
      <c r="F6" s="302" t="s">
        <v>1522</v>
      </c>
      <c r="G6" s="302" t="s">
        <v>87</v>
      </c>
      <c r="H6" s="302" t="s">
        <v>1521</v>
      </c>
      <c r="I6" s="302" t="s">
        <v>1522</v>
      </c>
      <c r="J6" s="302" t="s">
        <v>87</v>
      </c>
      <c r="K6" s="302" t="s">
        <v>1523</v>
      </c>
      <c r="L6" s="302" t="s">
        <v>1524</v>
      </c>
      <c r="M6" s="302" t="s">
        <v>1525</v>
      </c>
      <c r="N6" s="302" t="s">
        <v>1526</v>
      </c>
      <c r="O6" s="302" t="s">
        <v>1527</v>
      </c>
      <c r="P6" s="302" t="s">
        <v>655</v>
      </c>
      <c r="Q6" s="302" t="s">
        <v>966</v>
      </c>
      <c r="R6" s="302" t="s">
        <v>1528</v>
      </c>
      <c r="S6" s="302" t="s">
        <v>1529</v>
      </c>
      <c r="T6" s="302" t="s">
        <v>1530</v>
      </c>
      <c r="U6" s="302" t="s">
        <v>1531</v>
      </c>
      <c r="V6" s="302" t="s">
        <v>1532</v>
      </c>
      <c r="W6" s="302" t="s">
        <v>1178</v>
      </c>
      <c r="X6" s="302" t="s">
        <v>1533</v>
      </c>
      <c r="Y6" s="302" t="s">
        <v>1534</v>
      </c>
      <c r="Z6" s="302" t="s">
        <v>1535</v>
      </c>
      <c r="AA6" s="302" t="s">
        <v>1536</v>
      </c>
      <c r="AB6" s="302" t="s">
        <v>545</v>
      </c>
      <c r="AC6" s="302" t="s">
        <v>1537</v>
      </c>
      <c r="AD6" s="302" t="s">
        <v>1538</v>
      </c>
      <c r="AE6" s="302" t="s">
        <v>1539</v>
      </c>
      <c r="AF6" s="311"/>
      <c r="AG6" s="311"/>
      <c r="AH6" s="310"/>
      <c r="AI6" s="299"/>
    </row>
    <row r="7" s="294" customFormat="1" ht="43" customHeight="1" spans="1:36">
      <c r="A7" s="215" t="s">
        <v>1540</v>
      </c>
      <c r="B7" s="303">
        <v>525</v>
      </c>
      <c r="C7" s="303"/>
      <c r="D7" s="303">
        <v>525</v>
      </c>
      <c r="E7" s="304">
        <v>525</v>
      </c>
      <c r="F7" s="304"/>
      <c r="G7" s="304">
        <f t="shared" ref="G7:G23" si="0">+E7+F7</f>
        <v>525</v>
      </c>
      <c r="H7" s="304">
        <v>525</v>
      </c>
      <c r="I7" s="304"/>
      <c r="J7" s="304">
        <f t="shared" ref="J7:J23" si="1">+H7+I7</f>
        <v>525</v>
      </c>
      <c r="K7" s="304"/>
      <c r="L7" s="304"/>
      <c r="M7" s="304"/>
      <c r="N7" s="304"/>
      <c r="O7" s="304"/>
      <c r="P7" s="304"/>
      <c r="Q7" s="304">
        <v>116</v>
      </c>
      <c r="R7" s="304"/>
      <c r="S7" s="304"/>
      <c r="T7" s="304"/>
      <c r="U7" s="304"/>
      <c r="V7" s="304"/>
      <c r="W7" s="304"/>
      <c r="X7" s="304"/>
      <c r="Y7" s="304"/>
      <c r="Z7" s="304"/>
      <c r="AA7" s="304"/>
      <c r="AB7" s="304"/>
      <c r="AC7" s="304"/>
      <c r="AD7" s="304"/>
      <c r="AE7" s="304">
        <f t="shared" ref="AE7:AE11" si="2">SUM(K7:AD7)</f>
        <v>116</v>
      </c>
      <c r="AF7" s="304">
        <f t="shared" ref="AF7:AF18" si="3">+AH7-AE7</f>
        <v>409</v>
      </c>
      <c r="AG7" s="312" t="s">
        <v>1541</v>
      </c>
      <c r="AH7" s="304">
        <v>525</v>
      </c>
      <c r="AI7" s="314"/>
      <c r="AJ7" s="294">
        <f t="shared" ref="AJ7:AJ23" si="4">+AF7+AG7+AE7-J7</f>
        <v>0</v>
      </c>
    </row>
    <row r="8" s="294" customFormat="1" ht="43" customHeight="1" spans="1:36">
      <c r="A8" s="215" t="s">
        <v>1542</v>
      </c>
      <c r="B8" s="303">
        <v>2564</v>
      </c>
      <c r="C8" s="303"/>
      <c r="D8" s="303">
        <v>2564</v>
      </c>
      <c r="E8" s="304">
        <v>2564</v>
      </c>
      <c r="F8" s="304"/>
      <c r="G8" s="304">
        <f t="shared" si="0"/>
        <v>2564</v>
      </c>
      <c r="H8" s="304">
        <v>2564</v>
      </c>
      <c r="I8" s="304"/>
      <c r="J8" s="304">
        <f t="shared" si="1"/>
        <v>2564</v>
      </c>
      <c r="K8" s="304"/>
      <c r="L8" s="304"/>
      <c r="M8" s="304"/>
      <c r="N8" s="304"/>
      <c r="O8" s="304"/>
      <c r="P8" s="304"/>
      <c r="Q8" s="304"/>
      <c r="R8" s="304"/>
      <c r="S8" s="304"/>
      <c r="T8" s="304"/>
      <c r="U8" s="304"/>
      <c r="V8" s="304">
        <v>830</v>
      </c>
      <c r="W8" s="304"/>
      <c r="X8" s="304"/>
      <c r="Y8" s="304"/>
      <c r="Z8" s="304"/>
      <c r="AA8" s="304"/>
      <c r="AB8" s="304"/>
      <c r="AC8" s="304"/>
      <c r="AD8" s="304"/>
      <c r="AE8" s="304">
        <f t="shared" si="2"/>
        <v>830</v>
      </c>
      <c r="AF8" s="304">
        <f t="shared" si="3"/>
        <v>1734</v>
      </c>
      <c r="AG8" s="312" t="s">
        <v>1541</v>
      </c>
      <c r="AH8" s="304">
        <v>2564</v>
      </c>
      <c r="AI8" s="314"/>
      <c r="AJ8" s="294">
        <f t="shared" si="4"/>
        <v>0</v>
      </c>
    </row>
    <row r="9" s="294" customFormat="1" ht="43" customHeight="1" spans="1:36">
      <c r="A9" s="215" t="s">
        <v>1543</v>
      </c>
      <c r="B9" s="303">
        <v>1222</v>
      </c>
      <c r="C9" s="303"/>
      <c r="D9" s="303">
        <v>1222</v>
      </c>
      <c r="E9" s="304">
        <v>1222</v>
      </c>
      <c r="F9" s="304"/>
      <c r="G9" s="304">
        <f t="shared" si="0"/>
        <v>1222</v>
      </c>
      <c r="H9" s="304">
        <v>1222</v>
      </c>
      <c r="I9" s="304"/>
      <c r="J9" s="304">
        <f t="shared" si="1"/>
        <v>1222</v>
      </c>
      <c r="K9" s="304"/>
      <c r="L9" s="304"/>
      <c r="M9" s="304"/>
      <c r="N9" s="304"/>
      <c r="O9" s="304"/>
      <c r="P9" s="304"/>
      <c r="Q9" s="304"/>
      <c r="R9" s="304"/>
      <c r="S9" s="304"/>
      <c r="T9" s="304"/>
      <c r="U9" s="304"/>
      <c r="V9" s="304"/>
      <c r="W9" s="304"/>
      <c r="X9" s="304"/>
      <c r="Y9" s="304"/>
      <c r="Z9" s="304"/>
      <c r="AA9" s="304"/>
      <c r="AB9" s="304"/>
      <c r="AC9" s="304"/>
      <c r="AD9" s="304"/>
      <c r="AE9" s="312" t="s">
        <v>1541</v>
      </c>
      <c r="AF9" s="304">
        <f t="shared" si="3"/>
        <v>1222</v>
      </c>
      <c r="AG9" s="312" t="s">
        <v>1541</v>
      </c>
      <c r="AH9" s="304">
        <v>1222</v>
      </c>
      <c r="AI9" s="314"/>
      <c r="AJ9" s="294">
        <f t="shared" si="4"/>
        <v>0</v>
      </c>
    </row>
    <row r="10" s="294" customFormat="1" ht="43" customHeight="1" spans="1:36">
      <c r="A10" s="215" t="s">
        <v>1544</v>
      </c>
      <c r="B10" s="303">
        <v>1258</v>
      </c>
      <c r="C10" s="303">
        <v>726.56</v>
      </c>
      <c r="D10" s="303">
        <v>1984.56</v>
      </c>
      <c r="E10" s="304">
        <v>1258</v>
      </c>
      <c r="F10" s="304">
        <v>726.56</v>
      </c>
      <c r="G10" s="304">
        <f t="shared" si="0"/>
        <v>1984.56</v>
      </c>
      <c r="H10" s="304">
        <v>1258</v>
      </c>
      <c r="I10" s="304">
        <v>726.56</v>
      </c>
      <c r="J10" s="304">
        <f t="shared" si="1"/>
        <v>1984.56</v>
      </c>
      <c r="K10" s="304">
        <v>1225</v>
      </c>
      <c r="L10" s="304"/>
      <c r="M10" s="304"/>
      <c r="N10" s="304"/>
      <c r="O10" s="304"/>
      <c r="P10" s="304"/>
      <c r="Q10" s="304"/>
      <c r="R10" s="304"/>
      <c r="S10" s="304"/>
      <c r="T10" s="304"/>
      <c r="U10" s="304"/>
      <c r="V10" s="304"/>
      <c r="W10" s="304"/>
      <c r="X10" s="304">
        <v>53</v>
      </c>
      <c r="Y10" s="304"/>
      <c r="Z10" s="304"/>
      <c r="AA10" s="304"/>
      <c r="AB10" s="304"/>
      <c r="AC10" s="304"/>
      <c r="AD10" s="304"/>
      <c r="AE10" s="304">
        <f t="shared" si="2"/>
        <v>1278</v>
      </c>
      <c r="AF10" s="304">
        <f t="shared" si="3"/>
        <v>706.56</v>
      </c>
      <c r="AG10" s="312" t="s">
        <v>1541</v>
      </c>
      <c r="AH10" s="304">
        <v>1984.56</v>
      </c>
      <c r="AI10" s="314"/>
      <c r="AJ10" s="294">
        <f t="shared" si="4"/>
        <v>0</v>
      </c>
    </row>
    <row r="11" s="294" customFormat="1" ht="43" customHeight="1" spans="1:36">
      <c r="A11" s="215" t="s">
        <v>1545</v>
      </c>
      <c r="B11" s="303">
        <v>251.12</v>
      </c>
      <c r="C11" s="303"/>
      <c r="D11" s="303">
        <v>251.12</v>
      </c>
      <c r="E11" s="304">
        <v>251.12</v>
      </c>
      <c r="F11" s="304"/>
      <c r="G11" s="304">
        <f t="shared" si="0"/>
        <v>251.12</v>
      </c>
      <c r="H11" s="304">
        <v>251.12</v>
      </c>
      <c r="I11" s="304"/>
      <c r="J11" s="304">
        <f t="shared" si="1"/>
        <v>251.12</v>
      </c>
      <c r="K11" s="304"/>
      <c r="L11" s="304"/>
      <c r="M11" s="304"/>
      <c r="N11" s="304"/>
      <c r="O11" s="304"/>
      <c r="P11" s="304"/>
      <c r="Q11" s="304"/>
      <c r="R11" s="304"/>
      <c r="S11" s="304"/>
      <c r="T11" s="304"/>
      <c r="U11" s="304">
        <v>14</v>
      </c>
      <c r="V11" s="304"/>
      <c r="W11" s="304"/>
      <c r="X11" s="304"/>
      <c r="Y11" s="304"/>
      <c r="Z11" s="304"/>
      <c r="AA11" s="304"/>
      <c r="AB11" s="304"/>
      <c r="AC11" s="304"/>
      <c r="AD11" s="304"/>
      <c r="AE11" s="304">
        <f t="shared" si="2"/>
        <v>14</v>
      </c>
      <c r="AF11" s="304">
        <f t="shared" si="3"/>
        <v>237.12</v>
      </c>
      <c r="AG11" s="312" t="s">
        <v>1541</v>
      </c>
      <c r="AH11" s="304">
        <v>251.12</v>
      </c>
      <c r="AI11" s="314"/>
      <c r="AJ11" s="294">
        <f t="shared" si="4"/>
        <v>0</v>
      </c>
    </row>
    <row r="12" s="294" customFormat="1" ht="43" customHeight="1" spans="1:36">
      <c r="A12" s="215" t="s">
        <v>1546</v>
      </c>
      <c r="B12" s="303">
        <v>29</v>
      </c>
      <c r="C12" s="303"/>
      <c r="D12" s="303">
        <v>29</v>
      </c>
      <c r="E12" s="304">
        <v>29</v>
      </c>
      <c r="F12" s="304"/>
      <c r="G12" s="304">
        <f t="shared" si="0"/>
        <v>29</v>
      </c>
      <c r="H12" s="304">
        <v>29</v>
      </c>
      <c r="I12" s="304"/>
      <c r="J12" s="304">
        <f t="shared" si="1"/>
        <v>29</v>
      </c>
      <c r="K12" s="304"/>
      <c r="L12" s="304"/>
      <c r="M12" s="304"/>
      <c r="N12" s="304"/>
      <c r="O12" s="304"/>
      <c r="P12" s="304"/>
      <c r="Q12" s="304"/>
      <c r="R12" s="304"/>
      <c r="S12" s="304"/>
      <c r="T12" s="304"/>
      <c r="U12" s="304"/>
      <c r="V12" s="304"/>
      <c r="W12" s="304"/>
      <c r="X12" s="304"/>
      <c r="Y12" s="304"/>
      <c r="Z12" s="304"/>
      <c r="AA12" s="304"/>
      <c r="AB12" s="304"/>
      <c r="AC12" s="304"/>
      <c r="AD12" s="304"/>
      <c r="AE12" s="312" t="s">
        <v>1541</v>
      </c>
      <c r="AF12" s="304">
        <f t="shared" si="3"/>
        <v>29</v>
      </c>
      <c r="AG12" s="312" t="s">
        <v>1541</v>
      </c>
      <c r="AH12" s="304">
        <v>29</v>
      </c>
      <c r="AI12" s="314"/>
      <c r="AJ12" s="294">
        <f t="shared" si="4"/>
        <v>0</v>
      </c>
    </row>
    <row r="13" s="294" customFormat="1" ht="43" customHeight="1" spans="1:36">
      <c r="A13" s="215" t="s">
        <v>1547</v>
      </c>
      <c r="B13" s="303">
        <v>66</v>
      </c>
      <c r="C13" s="303"/>
      <c r="D13" s="303">
        <v>66</v>
      </c>
      <c r="E13" s="304">
        <v>66</v>
      </c>
      <c r="F13" s="304"/>
      <c r="G13" s="304">
        <f t="shared" si="0"/>
        <v>66</v>
      </c>
      <c r="H13" s="304">
        <v>66</v>
      </c>
      <c r="I13" s="304"/>
      <c r="J13" s="304">
        <f t="shared" si="1"/>
        <v>66</v>
      </c>
      <c r="K13" s="304"/>
      <c r="L13" s="304"/>
      <c r="M13" s="304"/>
      <c r="N13" s="304"/>
      <c r="O13" s="304"/>
      <c r="P13" s="304"/>
      <c r="Q13" s="304"/>
      <c r="R13" s="304"/>
      <c r="S13" s="304"/>
      <c r="T13" s="304"/>
      <c r="U13" s="304"/>
      <c r="V13" s="304"/>
      <c r="W13" s="304">
        <v>32</v>
      </c>
      <c r="X13" s="304"/>
      <c r="Y13" s="304"/>
      <c r="Z13" s="304"/>
      <c r="AA13" s="304"/>
      <c r="AB13" s="304"/>
      <c r="AC13" s="304"/>
      <c r="AD13" s="304"/>
      <c r="AE13" s="304">
        <f t="shared" ref="AE13:AE21" si="5">SUM(K13:AD13)</f>
        <v>32</v>
      </c>
      <c r="AF13" s="304">
        <f t="shared" si="3"/>
        <v>34</v>
      </c>
      <c r="AG13" s="312" t="s">
        <v>1541</v>
      </c>
      <c r="AH13" s="304">
        <v>66</v>
      </c>
      <c r="AI13" s="314"/>
      <c r="AJ13" s="294">
        <f t="shared" si="4"/>
        <v>0</v>
      </c>
    </row>
    <row r="14" s="294" customFormat="1" ht="43" customHeight="1" spans="1:36">
      <c r="A14" s="215" t="s">
        <v>1548</v>
      </c>
      <c r="B14" s="303">
        <v>50</v>
      </c>
      <c r="C14" s="303"/>
      <c r="D14" s="303">
        <v>50</v>
      </c>
      <c r="E14" s="304">
        <v>50</v>
      </c>
      <c r="F14" s="304"/>
      <c r="G14" s="304">
        <f t="shared" si="0"/>
        <v>50</v>
      </c>
      <c r="H14" s="304">
        <v>50</v>
      </c>
      <c r="I14" s="304"/>
      <c r="J14" s="304">
        <f t="shared" si="1"/>
        <v>50</v>
      </c>
      <c r="K14" s="304"/>
      <c r="L14" s="304"/>
      <c r="M14" s="304"/>
      <c r="N14" s="304"/>
      <c r="O14" s="304"/>
      <c r="P14" s="304"/>
      <c r="Q14" s="304"/>
      <c r="R14" s="304"/>
      <c r="S14" s="304"/>
      <c r="T14" s="304"/>
      <c r="U14" s="304"/>
      <c r="V14" s="304"/>
      <c r="W14" s="304"/>
      <c r="X14" s="304"/>
      <c r="Y14" s="304"/>
      <c r="Z14" s="304"/>
      <c r="AA14" s="304"/>
      <c r="AB14" s="304"/>
      <c r="AC14" s="304"/>
      <c r="AD14" s="304"/>
      <c r="AE14" s="312" t="s">
        <v>1541</v>
      </c>
      <c r="AF14" s="304">
        <f t="shared" si="3"/>
        <v>50</v>
      </c>
      <c r="AG14" s="312" t="s">
        <v>1541</v>
      </c>
      <c r="AH14" s="304">
        <v>50</v>
      </c>
      <c r="AI14" s="314"/>
      <c r="AJ14" s="294">
        <f t="shared" si="4"/>
        <v>0</v>
      </c>
    </row>
    <row r="15" s="294" customFormat="1" ht="43" customHeight="1" spans="1:36">
      <c r="A15" s="215" t="s">
        <v>1549</v>
      </c>
      <c r="B15" s="303">
        <v>831</v>
      </c>
      <c r="C15" s="303"/>
      <c r="D15" s="303">
        <v>831</v>
      </c>
      <c r="E15" s="304">
        <v>974</v>
      </c>
      <c r="F15" s="304"/>
      <c r="G15" s="304">
        <f t="shared" si="0"/>
        <v>974</v>
      </c>
      <c r="H15" s="304">
        <v>974</v>
      </c>
      <c r="I15" s="304"/>
      <c r="J15" s="304">
        <f t="shared" si="1"/>
        <v>974</v>
      </c>
      <c r="K15" s="304"/>
      <c r="L15" s="304"/>
      <c r="M15" s="304"/>
      <c r="N15" s="304"/>
      <c r="O15" s="304"/>
      <c r="P15" s="304"/>
      <c r="Q15" s="304"/>
      <c r="R15" s="304"/>
      <c r="S15" s="304"/>
      <c r="T15" s="304"/>
      <c r="U15" s="304"/>
      <c r="V15" s="304"/>
      <c r="W15" s="304"/>
      <c r="X15" s="304"/>
      <c r="Y15" s="304"/>
      <c r="Z15" s="304"/>
      <c r="AA15" s="304"/>
      <c r="AB15" s="304"/>
      <c r="AC15" s="304"/>
      <c r="AD15" s="304"/>
      <c r="AE15" s="312" t="s">
        <v>1541</v>
      </c>
      <c r="AF15" s="304">
        <f t="shared" si="3"/>
        <v>974</v>
      </c>
      <c r="AG15" s="312" t="s">
        <v>1541</v>
      </c>
      <c r="AH15" s="304">
        <v>974</v>
      </c>
      <c r="AI15" s="314"/>
      <c r="AJ15" s="294">
        <f t="shared" si="4"/>
        <v>0</v>
      </c>
    </row>
    <row r="16" s="294" customFormat="1" ht="43" customHeight="1" spans="1:36">
      <c r="A16" s="215" t="s">
        <v>1550</v>
      </c>
      <c r="B16" s="303">
        <v>1156</v>
      </c>
      <c r="C16" s="303"/>
      <c r="D16" s="303">
        <v>1156</v>
      </c>
      <c r="E16" s="304">
        <v>1156</v>
      </c>
      <c r="F16" s="304"/>
      <c r="G16" s="304">
        <f t="shared" si="0"/>
        <v>1156</v>
      </c>
      <c r="H16" s="304">
        <v>1156</v>
      </c>
      <c r="I16" s="304"/>
      <c r="J16" s="304">
        <f t="shared" si="1"/>
        <v>1156</v>
      </c>
      <c r="K16" s="304"/>
      <c r="L16" s="304"/>
      <c r="M16" s="304"/>
      <c r="N16" s="304"/>
      <c r="O16" s="304"/>
      <c r="P16" s="304"/>
      <c r="Q16" s="304"/>
      <c r="R16" s="304"/>
      <c r="S16" s="304">
        <v>67</v>
      </c>
      <c r="T16" s="304"/>
      <c r="U16" s="304"/>
      <c r="V16" s="304"/>
      <c r="W16" s="304"/>
      <c r="X16" s="304"/>
      <c r="Y16" s="304"/>
      <c r="Z16" s="304"/>
      <c r="AA16" s="304"/>
      <c r="AB16" s="304"/>
      <c r="AC16" s="304"/>
      <c r="AD16" s="304"/>
      <c r="AE16" s="304">
        <f t="shared" si="5"/>
        <v>67</v>
      </c>
      <c r="AF16" s="304">
        <f t="shared" si="3"/>
        <v>1089</v>
      </c>
      <c r="AG16" s="312" t="s">
        <v>1541</v>
      </c>
      <c r="AH16" s="304">
        <v>1156</v>
      </c>
      <c r="AI16" s="314"/>
      <c r="AJ16" s="294">
        <f t="shared" si="4"/>
        <v>0</v>
      </c>
    </row>
    <row r="17" s="294" customFormat="1" ht="43" customHeight="1" spans="1:36">
      <c r="A17" s="215" t="s">
        <v>1551</v>
      </c>
      <c r="B17" s="303"/>
      <c r="C17" s="303">
        <v>10788</v>
      </c>
      <c r="D17" s="303">
        <v>10788</v>
      </c>
      <c r="E17" s="304"/>
      <c r="F17" s="304">
        <v>10788</v>
      </c>
      <c r="G17" s="304">
        <f t="shared" si="0"/>
        <v>10788</v>
      </c>
      <c r="H17" s="304"/>
      <c r="I17" s="304">
        <v>10788</v>
      </c>
      <c r="J17" s="304">
        <f t="shared" si="1"/>
        <v>10788</v>
      </c>
      <c r="K17" s="304"/>
      <c r="L17" s="304"/>
      <c r="M17" s="304"/>
      <c r="N17" s="304">
        <v>213</v>
      </c>
      <c r="O17" s="304"/>
      <c r="P17" s="304"/>
      <c r="Q17" s="304"/>
      <c r="R17" s="304"/>
      <c r="S17" s="304"/>
      <c r="T17" s="304"/>
      <c r="U17" s="304"/>
      <c r="V17" s="304"/>
      <c r="W17" s="304"/>
      <c r="X17" s="304"/>
      <c r="Y17" s="304">
        <v>272</v>
      </c>
      <c r="Z17" s="304"/>
      <c r="AA17" s="304"/>
      <c r="AB17" s="304"/>
      <c r="AC17" s="304"/>
      <c r="AD17" s="304">
        <v>91</v>
      </c>
      <c r="AE17" s="304">
        <f t="shared" si="5"/>
        <v>576</v>
      </c>
      <c r="AF17" s="304">
        <f t="shared" si="3"/>
        <v>10212</v>
      </c>
      <c r="AG17" s="312" t="s">
        <v>1541</v>
      </c>
      <c r="AH17" s="304">
        <v>10788</v>
      </c>
      <c r="AI17" s="314"/>
      <c r="AJ17" s="294">
        <f t="shared" si="4"/>
        <v>0</v>
      </c>
    </row>
    <row r="18" s="294" customFormat="1" ht="43" customHeight="1" spans="1:36">
      <c r="A18" s="215" t="s">
        <v>1552</v>
      </c>
      <c r="B18" s="303">
        <v>1996</v>
      </c>
      <c r="C18" s="303"/>
      <c r="D18" s="303">
        <v>1996</v>
      </c>
      <c r="E18" s="304">
        <v>1996</v>
      </c>
      <c r="F18" s="304"/>
      <c r="G18" s="304">
        <f t="shared" si="0"/>
        <v>1996</v>
      </c>
      <c r="H18" s="304">
        <v>1996</v>
      </c>
      <c r="I18" s="304"/>
      <c r="J18" s="304">
        <f t="shared" si="1"/>
        <v>1996</v>
      </c>
      <c r="K18" s="304"/>
      <c r="L18" s="304">
        <v>355</v>
      </c>
      <c r="M18" s="304"/>
      <c r="N18" s="304"/>
      <c r="O18" s="304"/>
      <c r="P18" s="304"/>
      <c r="Q18" s="304"/>
      <c r="R18" s="304"/>
      <c r="S18" s="304"/>
      <c r="T18" s="304"/>
      <c r="U18" s="304"/>
      <c r="V18" s="304"/>
      <c r="W18" s="304"/>
      <c r="X18" s="304"/>
      <c r="Y18" s="304"/>
      <c r="Z18" s="304"/>
      <c r="AA18" s="304"/>
      <c r="AB18" s="304"/>
      <c r="AC18" s="304"/>
      <c r="AD18" s="304"/>
      <c r="AE18" s="304">
        <f t="shared" si="5"/>
        <v>355</v>
      </c>
      <c r="AF18" s="304">
        <f t="shared" si="3"/>
        <v>1641</v>
      </c>
      <c r="AG18" s="312" t="s">
        <v>1541</v>
      </c>
      <c r="AH18" s="304">
        <v>1996</v>
      </c>
      <c r="AI18" s="314"/>
      <c r="AJ18" s="294">
        <f t="shared" si="4"/>
        <v>0</v>
      </c>
    </row>
    <row r="19" s="294" customFormat="1" ht="43" customHeight="1" spans="1:36">
      <c r="A19" s="215" t="s">
        <v>1553</v>
      </c>
      <c r="B19" s="303">
        <v>500</v>
      </c>
      <c r="C19" s="303">
        <v>760</v>
      </c>
      <c r="D19" s="303">
        <v>1260</v>
      </c>
      <c r="E19" s="304">
        <v>500</v>
      </c>
      <c r="F19" s="304">
        <v>760</v>
      </c>
      <c r="G19" s="304">
        <f t="shared" si="0"/>
        <v>1260</v>
      </c>
      <c r="H19" s="304">
        <v>500</v>
      </c>
      <c r="I19" s="304">
        <v>760</v>
      </c>
      <c r="J19" s="304">
        <f t="shared" si="1"/>
        <v>1260</v>
      </c>
      <c r="K19" s="304"/>
      <c r="L19" s="304">
        <v>797</v>
      </c>
      <c r="M19" s="304"/>
      <c r="N19" s="304"/>
      <c r="O19" s="304"/>
      <c r="P19" s="304"/>
      <c r="Q19" s="304"/>
      <c r="R19" s="304"/>
      <c r="S19" s="304"/>
      <c r="T19" s="304"/>
      <c r="U19" s="304"/>
      <c r="V19" s="304"/>
      <c r="W19" s="304"/>
      <c r="X19" s="304"/>
      <c r="Y19" s="304"/>
      <c r="Z19" s="304"/>
      <c r="AA19" s="304"/>
      <c r="AB19" s="304"/>
      <c r="AC19" s="304">
        <v>40</v>
      </c>
      <c r="AD19" s="304"/>
      <c r="AE19" s="304">
        <f t="shared" si="5"/>
        <v>837</v>
      </c>
      <c r="AF19" s="312" t="s">
        <v>1541</v>
      </c>
      <c r="AG19" s="304">
        <f>+AH19-AE19</f>
        <v>423</v>
      </c>
      <c r="AH19" s="304">
        <v>1260</v>
      </c>
      <c r="AI19" s="314"/>
      <c r="AJ19" s="294">
        <f t="shared" si="4"/>
        <v>0</v>
      </c>
    </row>
    <row r="20" s="294" customFormat="1" ht="43" customHeight="1" spans="1:36">
      <c r="A20" s="215" t="s">
        <v>1554</v>
      </c>
      <c r="B20" s="303">
        <v>4159</v>
      </c>
      <c r="C20" s="303"/>
      <c r="D20" s="303">
        <v>4159</v>
      </c>
      <c r="E20" s="304">
        <v>4534</v>
      </c>
      <c r="F20" s="304"/>
      <c r="G20" s="304">
        <f t="shared" si="0"/>
        <v>4534</v>
      </c>
      <c r="H20" s="304">
        <v>4534</v>
      </c>
      <c r="I20" s="304"/>
      <c r="J20" s="304">
        <f t="shared" si="1"/>
        <v>4534</v>
      </c>
      <c r="K20" s="304"/>
      <c r="L20" s="304"/>
      <c r="M20" s="304">
        <v>233</v>
      </c>
      <c r="N20" s="304"/>
      <c r="O20" s="304">
        <v>61</v>
      </c>
      <c r="P20" s="304"/>
      <c r="Q20" s="304"/>
      <c r="R20" s="304">
        <v>1723.37</v>
      </c>
      <c r="S20" s="304"/>
      <c r="T20" s="304"/>
      <c r="U20" s="304"/>
      <c r="V20" s="304"/>
      <c r="W20" s="304"/>
      <c r="X20" s="304"/>
      <c r="Y20" s="304"/>
      <c r="Z20" s="304">
        <v>81</v>
      </c>
      <c r="AA20" s="304">
        <v>310</v>
      </c>
      <c r="AB20" s="304"/>
      <c r="AC20" s="304"/>
      <c r="AD20" s="304"/>
      <c r="AE20" s="304">
        <f t="shared" si="5"/>
        <v>2408.37</v>
      </c>
      <c r="AF20" s="304">
        <f t="shared" ref="AF20:AF23" si="6">+AH20-AE20</f>
        <v>2125.63</v>
      </c>
      <c r="AG20" s="312" t="s">
        <v>1541</v>
      </c>
      <c r="AH20" s="304">
        <v>4534</v>
      </c>
      <c r="AI20" s="314"/>
      <c r="AJ20" s="294">
        <f t="shared" si="4"/>
        <v>0</v>
      </c>
    </row>
    <row r="21" s="294" customFormat="1" ht="43" customHeight="1" spans="1:36">
      <c r="A21" s="215" t="s">
        <v>1555</v>
      </c>
      <c r="B21" s="303"/>
      <c r="C21" s="303"/>
      <c r="D21" s="303"/>
      <c r="E21" s="304">
        <v>8368</v>
      </c>
      <c r="F21" s="304"/>
      <c r="G21" s="304">
        <f t="shared" si="0"/>
        <v>8368</v>
      </c>
      <c r="H21" s="304">
        <f>+E21+3217</f>
        <v>11585</v>
      </c>
      <c r="I21" s="304"/>
      <c r="J21" s="304">
        <f t="shared" si="1"/>
        <v>11585</v>
      </c>
      <c r="K21" s="304"/>
      <c r="L21" s="304"/>
      <c r="M21" s="304">
        <v>122</v>
      </c>
      <c r="N21" s="304"/>
      <c r="O21" s="304"/>
      <c r="P21" s="304"/>
      <c r="Q21" s="304"/>
      <c r="R21" s="304"/>
      <c r="S21" s="304"/>
      <c r="T21" s="304">
        <v>4034</v>
      </c>
      <c r="U21" s="304"/>
      <c r="V21" s="304"/>
      <c r="W21" s="304"/>
      <c r="X21" s="304"/>
      <c r="Y21" s="304"/>
      <c r="Z21" s="304"/>
      <c r="AA21" s="304"/>
      <c r="AB21" s="304"/>
      <c r="AC21" s="304"/>
      <c r="AD21" s="304"/>
      <c r="AE21" s="304">
        <f t="shared" si="5"/>
        <v>4156</v>
      </c>
      <c r="AF21" s="304">
        <f t="shared" si="6"/>
        <v>7429</v>
      </c>
      <c r="AG21" s="312" t="s">
        <v>1541</v>
      </c>
      <c r="AH21" s="304">
        <v>11585</v>
      </c>
      <c r="AI21" s="314"/>
      <c r="AJ21" s="294">
        <f t="shared" si="4"/>
        <v>0</v>
      </c>
    </row>
    <row r="22" s="294" customFormat="1" ht="43" customHeight="1" spans="1:36">
      <c r="A22" s="215" t="s">
        <v>1556</v>
      </c>
      <c r="B22" s="303"/>
      <c r="C22" s="303"/>
      <c r="D22" s="303"/>
      <c r="E22" s="304"/>
      <c r="F22" s="304">
        <v>113.06</v>
      </c>
      <c r="G22" s="304">
        <f t="shared" si="0"/>
        <v>113.06</v>
      </c>
      <c r="H22" s="304"/>
      <c r="I22" s="304">
        <v>113.06</v>
      </c>
      <c r="J22" s="304">
        <f t="shared" si="1"/>
        <v>113.06</v>
      </c>
      <c r="K22" s="304"/>
      <c r="L22" s="304"/>
      <c r="M22" s="304"/>
      <c r="N22" s="304"/>
      <c r="O22" s="304"/>
      <c r="P22" s="304"/>
      <c r="Q22" s="304"/>
      <c r="R22" s="304"/>
      <c r="S22" s="304"/>
      <c r="T22" s="304"/>
      <c r="U22" s="304"/>
      <c r="V22" s="304"/>
      <c r="W22" s="304"/>
      <c r="X22" s="304"/>
      <c r="Y22" s="304"/>
      <c r="Z22" s="304"/>
      <c r="AA22" s="304"/>
      <c r="AB22" s="304"/>
      <c r="AC22" s="304"/>
      <c r="AD22" s="304"/>
      <c r="AE22" s="312" t="s">
        <v>1541</v>
      </c>
      <c r="AF22" s="304">
        <f t="shared" si="6"/>
        <v>113.06</v>
      </c>
      <c r="AG22" s="312" t="s">
        <v>1541</v>
      </c>
      <c r="AH22" s="304">
        <v>113.06</v>
      </c>
      <c r="AI22" s="314"/>
      <c r="AJ22" s="294">
        <f t="shared" si="4"/>
        <v>0</v>
      </c>
    </row>
    <row r="23" s="294" customFormat="1" ht="43" customHeight="1" spans="1:36">
      <c r="A23" s="215" t="s">
        <v>1557</v>
      </c>
      <c r="B23" s="303">
        <v>12258</v>
      </c>
      <c r="C23" s="303"/>
      <c r="D23" s="303">
        <v>12258</v>
      </c>
      <c r="E23" s="304">
        <v>12616</v>
      </c>
      <c r="F23" s="304"/>
      <c r="G23" s="304">
        <f t="shared" si="0"/>
        <v>12616</v>
      </c>
      <c r="H23" s="304">
        <v>12616</v>
      </c>
      <c r="I23" s="304"/>
      <c r="J23" s="304">
        <f t="shared" si="1"/>
        <v>12616</v>
      </c>
      <c r="K23" s="304">
        <v>62</v>
      </c>
      <c r="L23" s="304"/>
      <c r="M23" s="304"/>
      <c r="N23" s="304"/>
      <c r="O23" s="304"/>
      <c r="P23" s="304">
        <v>144</v>
      </c>
      <c r="Q23" s="304"/>
      <c r="R23" s="304"/>
      <c r="S23" s="304"/>
      <c r="T23" s="304"/>
      <c r="U23" s="304"/>
      <c r="V23" s="304"/>
      <c r="W23" s="304"/>
      <c r="X23" s="304"/>
      <c r="Y23" s="304"/>
      <c r="Z23" s="304"/>
      <c r="AA23" s="304"/>
      <c r="AB23" s="304">
        <v>434</v>
      </c>
      <c r="AC23" s="304"/>
      <c r="AD23" s="304">
        <v>455</v>
      </c>
      <c r="AE23" s="304">
        <f>SUM(K23:AD23)</f>
        <v>1095</v>
      </c>
      <c r="AF23" s="304">
        <f t="shared" si="6"/>
        <v>11521</v>
      </c>
      <c r="AG23" s="312" t="s">
        <v>1541</v>
      </c>
      <c r="AH23" s="304">
        <v>12616</v>
      </c>
      <c r="AI23" s="314"/>
      <c r="AJ23" s="294">
        <f t="shared" si="4"/>
        <v>0</v>
      </c>
    </row>
    <row r="24" s="294" customFormat="1" ht="43" customHeight="1" spans="1:35">
      <c r="A24" s="188" t="s">
        <v>87</v>
      </c>
      <c r="B24" s="305">
        <f t="shared" ref="B24:F24" si="7">SUM(B7:B23)</f>
        <v>26865.12</v>
      </c>
      <c r="C24" s="305">
        <f t="shared" si="7"/>
        <v>12274.56</v>
      </c>
      <c r="D24" s="306">
        <f>B24+C24</f>
        <v>39139.68</v>
      </c>
      <c r="E24" s="189">
        <f t="shared" si="7"/>
        <v>36109.12</v>
      </c>
      <c r="F24" s="189">
        <f t="shared" si="7"/>
        <v>12387.62</v>
      </c>
      <c r="G24" s="190">
        <f>E24+F24</f>
        <v>48496.74</v>
      </c>
      <c r="H24" s="189">
        <f t="shared" ref="H24:AD24" si="8">SUM(H7:H23)</f>
        <v>39326.12</v>
      </c>
      <c r="I24" s="189">
        <f t="shared" si="8"/>
        <v>12387.62</v>
      </c>
      <c r="J24" s="190">
        <f>H24+I24</f>
        <v>51713.74</v>
      </c>
      <c r="K24" s="190">
        <f t="shared" si="8"/>
        <v>1287</v>
      </c>
      <c r="L24" s="190">
        <f t="shared" si="8"/>
        <v>1152</v>
      </c>
      <c r="M24" s="190">
        <f t="shared" si="8"/>
        <v>355</v>
      </c>
      <c r="N24" s="190">
        <f t="shared" si="8"/>
        <v>213</v>
      </c>
      <c r="O24" s="190">
        <f t="shared" si="8"/>
        <v>61</v>
      </c>
      <c r="P24" s="190">
        <f t="shared" si="8"/>
        <v>144</v>
      </c>
      <c r="Q24" s="190">
        <f t="shared" si="8"/>
        <v>116</v>
      </c>
      <c r="R24" s="190">
        <f t="shared" si="8"/>
        <v>1723.37</v>
      </c>
      <c r="S24" s="190">
        <f t="shared" si="8"/>
        <v>67</v>
      </c>
      <c r="T24" s="190">
        <f t="shared" si="8"/>
        <v>4034</v>
      </c>
      <c r="U24" s="190">
        <f t="shared" si="8"/>
        <v>14</v>
      </c>
      <c r="V24" s="190">
        <f t="shared" si="8"/>
        <v>830</v>
      </c>
      <c r="W24" s="190">
        <f t="shared" si="8"/>
        <v>32</v>
      </c>
      <c r="X24" s="190">
        <f t="shared" si="8"/>
        <v>53</v>
      </c>
      <c r="Y24" s="190">
        <f t="shared" si="8"/>
        <v>272</v>
      </c>
      <c r="Z24" s="190">
        <f t="shared" si="8"/>
        <v>81</v>
      </c>
      <c r="AA24" s="190">
        <f t="shared" si="8"/>
        <v>310</v>
      </c>
      <c r="AB24" s="190">
        <f t="shared" si="8"/>
        <v>434</v>
      </c>
      <c r="AC24" s="190">
        <f t="shared" si="8"/>
        <v>40</v>
      </c>
      <c r="AD24" s="190">
        <f t="shared" si="8"/>
        <v>546</v>
      </c>
      <c r="AE24" s="190">
        <f>SUM(K24:AD24)</f>
        <v>11764.37</v>
      </c>
      <c r="AF24" s="190">
        <f t="shared" ref="AF24:AI24" si="9">SUM(AF7:AF23)</f>
        <v>39526.37</v>
      </c>
      <c r="AG24" s="190">
        <f t="shared" si="9"/>
        <v>423</v>
      </c>
      <c r="AH24" s="190">
        <f t="shared" si="9"/>
        <v>51713.74</v>
      </c>
      <c r="AI24" s="315">
        <f t="shared" si="9"/>
        <v>0</v>
      </c>
    </row>
    <row r="25" s="295" customFormat="1" ht="23" customHeight="1" spans="1:34">
      <c r="A25" s="295" t="s">
        <v>1558</v>
      </c>
      <c r="B25" s="307"/>
      <c r="C25" s="307"/>
      <c r="D25" s="308"/>
      <c r="E25" s="308"/>
      <c r="F25" s="308"/>
      <c r="G25" s="308"/>
      <c r="H25" s="308"/>
      <c r="I25" s="308"/>
      <c r="J25" s="308"/>
      <c r="K25" s="308"/>
      <c r="L25" s="308"/>
      <c r="M25" s="308"/>
      <c r="N25" s="308"/>
      <c r="O25" s="308"/>
      <c r="P25" s="308"/>
      <c r="Q25" s="308"/>
      <c r="R25" s="307"/>
      <c r="S25" s="308"/>
      <c r="T25" s="308"/>
      <c r="U25" s="308"/>
      <c r="V25" s="308"/>
      <c r="W25" s="308"/>
      <c r="X25" s="308"/>
      <c r="Y25" s="308"/>
      <c r="Z25" s="308"/>
      <c r="AA25" s="308"/>
      <c r="AB25" s="308"/>
      <c r="AC25" s="308"/>
      <c r="AD25" s="308"/>
      <c r="AE25" s="308"/>
      <c r="AF25" s="308"/>
      <c r="AG25" s="308"/>
      <c r="AH25" s="308"/>
    </row>
    <row r="26" s="295" customFormat="1" ht="23" customHeight="1" spans="2:34">
      <c r="B26" s="307"/>
      <c r="C26" s="307"/>
      <c r="D26" s="308"/>
      <c r="E26" s="308"/>
      <c r="F26" s="308"/>
      <c r="G26" s="308"/>
      <c r="H26" s="308"/>
      <c r="I26" s="308"/>
      <c r="J26" s="308"/>
      <c r="K26" s="308"/>
      <c r="L26" s="308"/>
      <c r="M26" s="308"/>
      <c r="N26" s="308"/>
      <c r="O26" s="308"/>
      <c r="P26" s="308"/>
      <c r="Q26" s="308"/>
      <c r="R26" s="307"/>
      <c r="S26" s="308"/>
      <c r="T26" s="308"/>
      <c r="U26" s="308"/>
      <c r="V26" s="308"/>
      <c r="W26" s="308"/>
      <c r="X26" s="308"/>
      <c r="Y26" s="308"/>
      <c r="Z26" s="308"/>
      <c r="AA26" s="308"/>
      <c r="AB26" s="308"/>
      <c r="AC26" s="308"/>
      <c r="AD26" s="308"/>
      <c r="AE26" s="308"/>
      <c r="AF26" s="308"/>
      <c r="AG26" s="308"/>
      <c r="AH26" s="308"/>
    </row>
    <row r="27" s="295" customFormat="1" ht="23" customHeight="1" spans="2:34">
      <c r="B27" s="307"/>
      <c r="C27" s="307"/>
      <c r="D27" s="308"/>
      <c r="E27" s="308"/>
      <c r="F27" s="308"/>
      <c r="G27" s="308"/>
      <c r="H27" s="308"/>
      <c r="I27" s="308"/>
      <c r="J27" s="308"/>
      <c r="K27" s="308"/>
      <c r="L27" s="308"/>
      <c r="M27" s="308"/>
      <c r="N27" s="308"/>
      <c r="O27" s="308"/>
      <c r="P27" s="308"/>
      <c r="Q27" s="308"/>
      <c r="R27" s="307"/>
      <c r="S27" s="308"/>
      <c r="T27" s="308"/>
      <c r="U27" s="308"/>
      <c r="V27" s="308"/>
      <c r="W27" s="308"/>
      <c r="X27" s="308"/>
      <c r="Y27" s="308"/>
      <c r="Z27" s="308"/>
      <c r="AA27" s="308"/>
      <c r="AB27" s="308"/>
      <c r="AC27" s="308"/>
      <c r="AD27" s="308"/>
      <c r="AE27" s="308"/>
      <c r="AF27" s="308"/>
      <c r="AG27" s="308"/>
      <c r="AH27" s="308"/>
    </row>
    <row r="28" s="292" customFormat="1" spans="2:34">
      <c r="B28" s="296"/>
      <c r="C28" s="296"/>
      <c r="D28" s="297"/>
      <c r="E28" s="297"/>
      <c r="F28" s="297"/>
      <c r="G28" s="297"/>
      <c r="H28" s="297"/>
      <c r="I28" s="297"/>
      <c r="J28" s="297"/>
      <c r="K28" s="297"/>
      <c r="L28" s="297"/>
      <c r="M28" s="297"/>
      <c r="N28" s="297"/>
      <c r="O28" s="297"/>
      <c r="P28" s="297"/>
      <c r="Q28" s="297"/>
      <c r="R28" s="296"/>
      <c r="S28" s="297"/>
      <c r="T28" s="297"/>
      <c r="U28" s="297"/>
      <c r="V28" s="297"/>
      <c r="W28" s="297"/>
      <c r="X28" s="297"/>
      <c r="Y28" s="297"/>
      <c r="Z28" s="297"/>
      <c r="AA28" s="297"/>
      <c r="AB28" s="297"/>
      <c r="AC28" s="297"/>
      <c r="AD28" s="297"/>
      <c r="AE28" s="297"/>
      <c r="AF28" s="297"/>
      <c r="AG28" s="297"/>
      <c r="AH28" s="297"/>
    </row>
    <row r="29" s="292" customFormat="1" ht="19" customHeight="1" spans="2:34">
      <c r="B29" s="296"/>
      <c r="C29" s="296"/>
      <c r="D29" s="297"/>
      <c r="E29" s="297"/>
      <c r="F29" s="297"/>
      <c r="G29" s="297"/>
      <c r="H29" s="297"/>
      <c r="I29" s="297"/>
      <c r="J29" s="297"/>
      <c r="K29" s="297"/>
      <c r="L29" s="297"/>
      <c r="M29" s="297"/>
      <c r="N29" s="297"/>
      <c r="O29" s="297"/>
      <c r="P29" s="297"/>
      <c r="Q29" s="297"/>
      <c r="R29" s="296"/>
      <c r="S29" s="297"/>
      <c r="T29" s="297"/>
      <c r="U29" s="297"/>
      <c r="V29" s="297"/>
      <c r="W29" s="297"/>
      <c r="X29" s="297"/>
      <c r="Y29" s="297"/>
      <c r="Z29" s="297"/>
      <c r="AA29" s="297"/>
      <c r="AB29" s="297"/>
      <c r="AC29" s="297"/>
      <c r="AD29" s="297"/>
      <c r="AE29" s="297"/>
      <c r="AF29" s="297"/>
      <c r="AG29" s="297"/>
      <c r="AH29" s="297"/>
    </row>
    <row r="30" s="292" customFormat="1" ht="19" customHeight="1" spans="2:34">
      <c r="B30" s="296"/>
      <c r="C30" s="296"/>
      <c r="D30" s="297"/>
      <c r="E30" s="297"/>
      <c r="F30" s="297"/>
      <c r="G30" s="297"/>
      <c r="H30" s="297"/>
      <c r="I30" s="297"/>
      <c r="J30" s="297"/>
      <c r="K30" s="297"/>
      <c r="L30" s="297"/>
      <c r="M30" s="297"/>
      <c r="N30" s="297"/>
      <c r="O30" s="297"/>
      <c r="P30" s="297"/>
      <c r="Q30" s="297"/>
      <c r="R30" s="296"/>
      <c r="S30" s="297"/>
      <c r="T30" s="297"/>
      <c r="U30" s="297"/>
      <c r="V30" s="297"/>
      <c r="W30" s="297"/>
      <c r="X30" s="297"/>
      <c r="Y30" s="297"/>
      <c r="Z30" s="297"/>
      <c r="AA30" s="297"/>
      <c r="AB30" s="297"/>
      <c r="AC30" s="297"/>
      <c r="AD30" s="297"/>
      <c r="AE30" s="297"/>
      <c r="AF30" s="297"/>
      <c r="AG30" s="297"/>
      <c r="AH30" s="297"/>
    </row>
    <row r="31" s="292" customFormat="1" ht="19" customHeight="1" spans="2:34">
      <c r="B31" s="296"/>
      <c r="C31" s="296"/>
      <c r="D31" s="297"/>
      <c r="E31" s="297"/>
      <c r="F31" s="297"/>
      <c r="G31" s="297"/>
      <c r="H31" s="297"/>
      <c r="I31" s="297"/>
      <c r="J31" s="297"/>
      <c r="K31" s="297"/>
      <c r="L31" s="297"/>
      <c r="M31" s="297"/>
      <c r="N31" s="297"/>
      <c r="O31" s="297"/>
      <c r="P31" s="297"/>
      <c r="Q31" s="297"/>
      <c r="R31" s="296"/>
      <c r="S31" s="297"/>
      <c r="T31" s="297"/>
      <c r="U31" s="297"/>
      <c r="V31" s="297"/>
      <c r="W31" s="297"/>
      <c r="X31" s="297"/>
      <c r="Y31" s="297"/>
      <c r="Z31" s="297"/>
      <c r="AA31" s="297"/>
      <c r="AB31" s="297"/>
      <c r="AC31" s="297"/>
      <c r="AD31" s="297"/>
      <c r="AE31" s="297"/>
      <c r="AF31" s="297"/>
      <c r="AG31" s="297"/>
      <c r="AH31" s="297"/>
    </row>
  </sheetData>
  <mergeCells count="13">
    <mergeCell ref="A2:AI2"/>
    <mergeCell ref="AH3:AI3"/>
    <mergeCell ref="B4:J4"/>
    <mergeCell ref="K4:AH4"/>
    <mergeCell ref="B5:D5"/>
    <mergeCell ref="E5:G5"/>
    <mergeCell ref="H5:J5"/>
    <mergeCell ref="K5:AE5"/>
    <mergeCell ref="A4:A6"/>
    <mergeCell ref="AF5:AF6"/>
    <mergeCell ref="AG5:AG6"/>
    <mergeCell ref="AH5:AH6"/>
    <mergeCell ref="AI4:AI6"/>
  </mergeCells>
  <printOptions horizontalCentered="1"/>
  <pageMargins left="0.393055555555556" right="0.393055555555556" top="0.590277777777778" bottom="0.590277777777778" header="0.196527777777778" footer="0.196527777777778"/>
  <pageSetup paperSize="9" scale="44"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view="pageBreakPreview" zoomScaleNormal="100" workbookViewId="0">
      <pane ySplit="5" topLeftCell="A24" activePane="bottomLeft" state="frozen"/>
      <selection/>
      <selection pane="bottomLeft" activeCell="F10" sqref="F10"/>
    </sheetView>
  </sheetViews>
  <sheetFormatPr defaultColWidth="9" defaultRowHeight="14.25"/>
  <cols>
    <col min="1" max="1" width="50.625" style="2" customWidth="1"/>
    <col min="2" max="7" width="13.625" style="177" customWidth="1"/>
    <col min="8" max="9" width="13.625" style="274" customWidth="1"/>
    <col min="10" max="10" width="25.625" style="2" customWidth="1"/>
    <col min="11" max="11" width="10.5" style="2" customWidth="1"/>
    <col min="12" max="16384" width="9" style="2"/>
  </cols>
  <sheetData>
    <row r="1" s="168" customFormat="1" ht="20" customHeight="1" spans="1:10">
      <c r="A1" s="275" t="s">
        <v>1559</v>
      </c>
      <c r="B1" s="276"/>
      <c r="C1" s="276"/>
      <c r="D1" s="276"/>
      <c r="E1" s="277"/>
      <c r="F1" s="276"/>
      <c r="G1" s="276"/>
      <c r="H1" s="278"/>
      <c r="I1" s="278"/>
      <c r="J1" s="283"/>
    </row>
    <row r="2" s="167" customFormat="1" ht="30" customHeight="1" spans="1:11">
      <c r="A2" s="279" t="s">
        <v>1560</v>
      </c>
      <c r="B2" s="280"/>
      <c r="C2" s="280"/>
      <c r="D2" s="280"/>
      <c r="E2" s="281"/>
      <c r="F2" s="280"/>
      <c r="G2" s="280"/>
      <c r="H2" s="282"/>
      <c r="I2" s="282"/>
      <c r="J2" s="279"/>
      <c r="K2" s="2"/>
    </row>
    <row r="3" s="168" customFormat="1" ht="20" customHeight="1" spans="1:10">
      <c r="A3" s="283"/>
      <c r="B3" s="276"/>
      <c r="C3" s="276"/>
      <c r="D3" s="276"/>
      <c r="E3" s="277"/>
      <c r="F3" s="276"/>
      <c r="G3" s="276"/>
      <c r="H3" s="278"/>
      <c r="I3" s="278"/>
      <c r="J3" s="290" t="s">
        <v>24</v>
      </c>
    </row>
    <row r="4" s="5" customFormat="1" ht="30" customHeight="1" spans="1:10">
      <c r="A4" s="38" t="s">
        <v>1561</v>
      </c>
      <c r="B4" s="130" t="s">
        <v>26</v>
      </c>
      <c r="C4" s="130"/>
      <c r="D4" s="130" t="s">
        <v>27</v>
      </c>
      <c r="E4" s="130"/>
      <c r="F4" s="130" t="s">
        <v>28</v>
      </c>
      <c r="G4" s="130"/>
      <c r="H4" s="284" t="s">
        <v>1562</v>
      </c>
      <c r="I4" s="284"/>
      <c r="J4" s="38" t="s">
        <v>30</v>
      </c>
    </row>
    <row r="5" s="5" customFormat="1" ht="30" customHeight="1" spans="1:10">
      <c r="A5" s="38"/>
      <c r="B5" s="130" t="s">
        <v>31</v>
      </c>
      <c r="C5" s="285" t="s">
        <v>32</v>
      </c>
      <c r="D5" s="130" t="s">
        <v>31</v>
      </c>
      <c r="E5" s="285" t="s">
        <v>32</v>
      </c>
      <c r="F5" s="130" t="s">
        <v>31</v>
      </c>
      <c r="G5" s="285" t="s">
        <v>32</v>
      </c>
      <c r="H5" s="284" t="s">
        <v>31</v>
      </c>
      <c r="I5" s="291" t="s">
        <v>32</v>
      </c>
      <c r="J5" s="38"/>
    </row>
    <row r="6" s="36" customFormat="1" ht="30" customHeight="1" spans="1:10">
      <c r="A6" s="286" t="s">
        <v>1563</v>
      </c>
      <c r="B6" s="84">
        <f t="shared" ref="B6:G6" si="0">SUM(B7:B15)</f>
        <v>190614.9997</v>
      </c>
      <c r="C6" s="84">
        <f t="shared" si="0"/>
        <v>190614.9997</v>
      </c>
      <c r="D6" s="84">
        <f t="shared" si="0"/>
        <v>-136039.6797</v>
      </c>
      <c r="E6" s="84">
        <f t="shared" si="0"/>
        <v>-136039.6797</v>
      </c>
      <c r="F6" s="84">
        <f t="shared" si="0"/>
        <v>54575.32</v>
      </c>
      <c r="G6" s="84">
        <f t="shared" si="0"/>
        <v>54575.32</v>
      </c>
      <c r="H6" s="84">
        <f t="shared" ref="H6:H22" si="1">IF(B6=0,IF(F6=0,0,100),100*(F6/B6-1))</f>
        <v>-71.3688219259274</v>
      </c>
      <c r="I6" s="84">
        <f t="shared" ref="I6:I22" si="2">IF(C6=0,IF(G6=0,0,100),100*(G6/C6-1))</f>
        <v>-71.3688219259274</v>
      </c>
      <c r="J6" s="144"/>
    </row>
    <row r="7" s="2" customFormat="1" ht="30" customHeight="1" spans="1:10">
      <c r="A7" s="53" t="s">
        <v>1564</v>
      </c>
      <c r="B7" s="287">
        <v>9026.85</v>
      </c>
      <c r="C7" s="287">
        <v>9026.85</v>
      </c>
      <c r="D7" s="288">
        <f t="shared" ref="D7:D15" si="3">+F7-B7</f>
        <v>-6729.65</v>
      </c>
      <c r="E7" s="288">
        <f t="shared" ref="E7:E15" si="4">+G7-C7</f>
        <v>-6729.65</v>
      </c>
      <c r="F7" s="288">
        <v>2297.2</v>
      </c>
      <c r="G7" s="288">
        <v>2297.2</v>
      </c>
      <c r="H7" s="83">
        <f t="shared" si="1"/>
        <v>-74.5514769825576</v>
      </c>
      <c r="I7" s="83">
        <f t="shared" si="2"/>
        <v>-74.5514769825576</v>
      </c>
      <c r="J7" s="43"/>
    </row>
    <row r="8" s="2" customFormat="1" ht="30" customHeight="1" spans="1:10">
      <c r="A8" s="53" t="s">
        <v>1565</v>
      </c>
      <c r="B8" s="287">
        <v>1035.9197</v>
      </c>
      <c r="C8" s="287">
        <v>1035.9197</v>
      </c>
      <c r="D8" s="288">
        <f t="shared" si="3"/>
        <v>-778.274884</v>
      </c>
      <c r="E8" s="288">
        <f t="shared" si="4"/>
        <v>-778.274884</v>
      </c>
      <c r="F8" s="288">
        <v>257.644816</v>
      </c>
      <c r="G8" s="288">
        <v>257.644816</v>
      </c>
      <c r="H8" s="83">
        <f t="shared" si="1"/>
        <v>-75.1288815146579</v>
      </c>
      <c r="I8" s="83">
        <f t="shared" si="2"/>
        <v>-75.1288815146579</v>
      </c>
      <c r="J8" s="128"/>
    </row>
    <row r="9" s="2" customFormat="1" ht="30" customHeight="1" spans="1:10">
      <c r="A9" s="53" t="s">
        <v>1566</v>
      </c>
      <c r="B9" s="287">
        <v>170474.23</v>
      </c>
      <c r="C9" s="287">
        <v>170474.23</v>
      </c>
      <c r="D9" s="288">
        <f t="shared" si="3"/>
        <v>-144528.334816</v>
      </c>
      <c r="E9" s="288">
        <f t="shared" si="4"/>
        <v>-144528.334816</v>
      </c>
      <c r="F9" s="288">
        <f>45943.74-2554.844816-4600-12843</f>
        <v>25945.895184</v>
      </c>
      <c r="G9" s="288">
        <f>45943.74-2554.844816-4600-12843</f>
        <v>25945.895184</v>
      </c>
      <c r="H9" s="83">
        <f t="shared" si="1"/>
        <v>-84.7801657857613</v>
      </c>
      <c r="I9" s="83">
        <f t="shared" si="2"/>
        <v>-84.7801657857613</v>
      </c>
      <c r="J9" s="43"/>
    </row>
    <row r="10" s="2" customFormat="1" ht="30" customHeight="1" spans="1:10">
      <c r="A10" s="53" t="s">
        <v>1567</v>
      </c>
      <c r="B10" s="287">
        <v>1000</v>
      </c>
      <c r="C10" s="287">
        <v>1000</v>
      </c>
      <c r="D10" s="288">
        <f t="shared" si="3"/>
        <v>-211</v>
      </c>
      <c r="E10" s="288">
        <f t="shared" si="4"/>
        <v>-211</v>
      </c>
      <c r="F10" s="288">
        <v>789</v>
      </c>
      <c r="G10" s="288">
        <v>789</v>
      </c>
      <c r="H10" s="83">
        <f t="shared" si="1"/>
        <v>-21.1</v>
      </c>
      <c r="I10" s="83">
        <f t="shared" si="2"/>
        <v>-21.1</v>
      </c>
      <c r="J10" s="43"/>
    </row>
    <row r="11" s="2" customFormat="1" ht="30" customHeight="1" spans="1:10">
      <c r="A11" s="53" t="s">
        <v>1568</v>
      </c>
      <c r="B11" s="287">
        <v>675</v>
      </c>
      <c r="C11" s="287">
        <v>675</v>
      </c>
      <c r="D11" s="288">
        <f t="shared" si="3"/>
        <v>5070.49</v>
      </c>
      <c r="E11" s="288">
        <f t="shared" si="4"/>
        <v>5070.49</v>
      </c>
      <c r="F11" s="288">
        <v>5745.49</v>
      </c>
      <c r="G11" s="288">
        <f>1545.49+4200</f>
        <v>5745.49</v>
      </c>
      <c r="H11" s="83">
        <f t="shared" si="1"/>
        <v>751.183703703704</v>
      </c>
      <c r="I11" s="83">
        <f t="shared" si="2"/>
        <v>751.183703703704</v>
      </c>
      <c r="J11" s="43"/>
    </row>
    <row r="12" s="2" customFormat="1" ht="30" customHeight="1" spans="1:10">
      <c r="A12" s="53" t="s">
        <v>1569</v>
      </c>
      <c r="B12" s="287">
        <v>325</v>
      </c>
      <c r="C12" s="287">
        <v>325</v>
      </c>
      <c r="D12" s="288">
        <f t="shared" si="3"/>
        <v>1401.31</v>
      </c>
      <c r="E12" s="288">
        <f t="shared" si="4"/>
        <v>1401.31</v>
      </c>
      <c r="F12" s="288">
        <v>1726.31</v>
      </c>
      <c r="G12" s="288">
        <v>1726.31</v>
      </c>
      <c r="H12" s="83">
        <f t="shared" si="1"/>
        <v>431.172307692308</v>
      </c>
      <c r="I12" s="83">
        <f t="shared" si="2"/>
        <v>431.172307692308</v>
      </c>
      <c r="J12" s="43"/>
    </row>
    <row r="13" s="2" customFormat="1" ht="30" customHeight="1" spans="1:10">
      <c r="A13" s="53" t="s">
        <v>1570</v>
      </c>
      <c r="B13" s="287">
        <v>-10000</v>
      </c>
      <c r="C13" s="287">
        <v>-10000</v>
      </c>
      <c r="D13" s="288">
        <f t="shared" si="3"/>
        <v>8619.78</v>
      </c>
      <c r="E13" s="288">
        <f t="shared" si="4"/>
        <v>8619.78</v>
      </c>
      <c r="F13" s="287">
        <v>-1380.22</v>
      </c>
      <c r="G13" s="287">
        <f>-1243.22-137</f>
        <v>-1380.22</v>
      </c>
      <c r="H13" s="83">
        <f t="shared" si="1"/>
        <v>-86.1978</v>
      </c>
      <c r="I13" s="83">
        <f t="shared" si="2"/>
        <v>-86.1978</v>
      </c>
      <c r="J13" s="53"/>
    </row>
    <row r="14" s="2" customFormat="1" ht="30" customHeight="1" spans="1:10">
      <c r="A14" s="53" t="s">
        <v>1571</v>
      </c>
      <c r="B14" s="287">
        <v>78</v>
      </c>
      <c r="C14" s="287">
        <v>78</v>
      </c>
      <c r="D14" s="288">
        <f t="shared" si="3"/>
        <v>0</v>
      </c>
      <c r="E14" s="288">
        <f t="shared" si="4"/>
        <v>0</v>
      </c>
      <c r="F14" s="288">
        <v>78</v>
      </c>
      <c r="G14" s="288">
        <v>78</v>
      </c>
      <c r="H14" s="83">
        <f t="shared" si="1"/>
        <v>0</v>
      </c>
      <c r="I14" s="83">
        <f t="shared" si="2"/>
        <v>0</v>
      </c>
      <c r="J14" s="43"/>
    </row>
    <row r="15" s="2" customFormat="1" ht="30" customHeight="1" spans="1:10">
      <c r="A15" s="53" t="s">
        <v>1572</v>
      </c>
      <c r="B15" s="287">
        <v>18000</v>
      </c>
      <c r="C15" s="287">
        <v>18000</v>
      </c>
      <c r="D15" s="288">
        <f t="shared" si="3"/>
        <v>1116</v>
      </c>
      <c r="E15" s="288">
        <f t="shared" si="4"/>
        <v>1116</v>
      </c>
      <c r="F15" s="288">
        <v>19116</v>
      </c>
      <c r="G15" s="288">
        <v>19116</v>
      </c>
      <c r="H15" s="83">
        <f t="shared" si="1"/>
        <v>6.20000000000001</v>
      </c>
      <c r="I15" s="83">
        <f t="shared" si="2"/>
        <v>6.20000000000001</v>
      </c>
      <c r="J15" s="43"/>
    </row>
    <row r="16" s="273" customFormat="1" ht="30" customHeight="1" spans="1:10">
      <c r="A16" s="55" t="s">
        <v>69</v>
      </c>
      <c r="B16" s="289">
        <f t="shared" ref="B16:G16" si="5">SUM(B7:B15)</f>
        <v>190614.9997</v>
      </c>
      <c r="C16" s="289">
        <f>SUM(B7:B15)</f>
        <v>190614.9997</v>
      </c>
      <c r="D16" s="289">
        <f t="shared" si="5"/>
        <v>-136039.6797</v>
      </c>
      <c r="E16" s="289">
        <f t="shared" si="5"/>
        <v>-136039.6797</v>
      </c>
      <c r="F16" s="289">
        <f t="shared" si="5"/>
        <v>54575.32</v>
      </c>
      <c r="G16" s="289">
        <f t="shared" si="5"/>
        <v>54575.32</v>
      </c>
      <c r="H16" s="84">
        <f t="shared" si="1"/>
        <v>-71.3688219259274</v>
      </c>
      <c r="I16" s="84">
        <f t="shared" si="2"/>
        <v>-71.3688219259274</v>
      </c>
      <c r="J16" s="40"/>
    </row>
    <row r="17" s="273" customFormat="1" ht="30" customHeight="1" spans="1:10">
      <c r="A17" s="63" t="s">
        <v>1573</v>
      </c>
      <c r="B17" s="289">
        <f t="shared" ref="B17:G17" si="6">SUM(B18:B21)</f>
        <v>0</v>
      </c>
      <c r="C17" s="289">
        <f t="shared" si="6"/>
        <v>348144</v>
      </c>
      <c r="D17" s="289">
        <f>D18+D19+D20+D21</f>
        <v>0</v>
      </c>
      <c r="E17" s="289">
        <f>E18+E19+E20+E21</f>
        <v>-1673</v>
      </c>
      <c r="F17" s="289">
        <f t="shared" si="6"/>
        <v>0</v>
      </c>
      <c r="G17" s="289">
        <f t="shared" si="6"/>
        <v>346471</v>
      </c>
      <c r="H17" s="84">
        <f t="shared" si="1"/>
        <v>0</v>
      </c>
      <c r="I17" s="84">
        <f t="shared" si="2"/>
        <v>-0.480548278873105</v>
      </c>
      <c r="J17" s="40"/>
    </row>
    <row r="18" s="2" customFormat="1" ht="30" customHeight="1" spans="1:10">
      <c r="A18" s="53" t="s">
        <v>1574</v>
      </c>
      <c r="B18" s="287"/>
      <c r="C18" s="288">
        <v>7342</v>
      </c>
      <c r="D18" s="288">
        <f t="shared" ref="D18:D21" si="7">+F18-B18</f>
        <v>0</v>
      </c>
      <c r="E18" s="288">
        <f t="shared" ref="E18:E21" si="8">+G18-C18</f>
        <v>-1673</v>
      </c>
      <c r="F18" s="288"/>
      <c r="G18" s="288">
        <v>5669</v>
      </c>
      <c r="H18" s="83">
        <f t="shared" si="1"/>
        <v>0</v>
      </c>
      <c r="I18" s="83">
        <f t="shared" si="2"/>
        <v>-22.7867066194497</v>
      </c>
      <c r="J18" s="43"/>
    </row>
    <row r="19" s="2" customFormat="1" ht="30" customHeight="1" spans="1:10">
      <c r="A19" s="53" t="s">
        <v>1575</v>
      </c>
      <c r="B19" s="287"/>
      <c r="C19" s="288">
        <v>20702</v>
      </c>
      <c r="D19" s="288">
        <f t="shared" si="7"/>
        <v>0</v>
      </c>
      <c r="E19" s="288">
        <f t="shared" si="8"/>
        <v>0</v>
      </c>
      <c r="F19" s="288"/>
      <c r="G19" s="288">
        <v>20702</v>
      </c>
      <c r="H19" s="83">
        <f t="shared" si="1"/>
        <v>0</v>
      </c>
      <c r="I19" s="83">
        <f t="shared" si="2"/>
        <v>0</v>
      </c>
      <c r="J19" s="43"/>
    </row>
    <row r="20" s="2" customFormat="1" ht="30" customHeight="1" spans="1:10">
      <c r="A20" s="53" t="s">
        <v>1576</v>
      </c>
      <c r="B20" s="287"/>
      <c r="C20" s="288">
        <v>295000</v>
      </c>
      <c r="D20" s="288">
        <f t="shared" si="7"/>
        <v>0</v>
      </c>
      <c r="E20" s="288">
        <f t="shared" si="8"/>
        <v>0</v>
      </c>
      <c r="F20" s="288"/>
      <c r="G20" s="288">
        <v>295000</v>
      </c>
      <c r="H20" s="83">
        <f t="shared" si="1"/>
        <v>0</v>
      </c>
      <c r="I20" s="83">
        <f t="shared" si="2"/>
        <v>0</v>
      </c>
      <c r="J20" s="43"/>
    </row>
    <row r="21" s="2" customFormat="1" ht="30" customHeight="1" spans="1:10">
      <c r="A21" s="53" t="s">
        <v>1577</v>
      </c>
      <c r="B21" s="288"/>
      <c r="C21" s="288">
        <v>25100</v>
      </c>
      <c r="D21" s="288">
        <f t="shared" si="7"/>
        <v>0</v>
      </c>
      <c r="E21" s="288">
        <f t="shared" si="8"/>
        <v>0</v>
      </c>
      <c r="F21" s="288"/>
      <c r="G21" s="288">
        <v>25100</v>
      </c>
      <c r="H21" s="83">
        <f t="shared" si="1"/>
        <v>0</v>
      </c>
      <c r="I21" s="83">
        <f t="shared" si="2"/>
        <v>0</v>
      </c>
      <c r="J21" s="43"/>
    </row>
    <row r="22" s="273" customFormat="1" ht="30" customHeight="1" spans="1:10">
      <c r="A22" s="55" t="s">
        <v>1578</v>
      </c>
      <c r="B22" s="289">
        <f t="shared" ref="B22:G22" si="9">B16+B17</f>
        <v>190614.9997</v>
      </c>
      <c r="C22" s="289">
        <f t="shared" si="9"/>
        <v>538758.9997</v>
      </c>
      <c r="D22" s="289">
        <f t="shared" si="9"/>
        <v>-136039.6797</v>
      </c>
      <c r="E22" s="289">
        <f t="shared" si="9"/>
        <v>-137712.6797</v>
      </c>
      <c r="F22" s="289">
        <f t="shared" si="9"/>
        <v>54575.32</v>
      </c>
      <c r="G22" s="289">
        <f t="shared" si="9"/>
        <v>401046.32</v>
      </c>
      <c r="H22" s="84">
        <f t="shared" si="1"/>
        <v>-71.3688219259274</v>
      </c>
      <c r="I22" s="84">
        <f t="shared" si="2"/>
        <v>-25.5610912813862</v>
      </c>
      <c r="J22" s="40"/>
    </row>
  </sheetData>
  <mergeCells count="7">
    <mergeCell ref="A2:J2"/>
    <mergeCell ref="B4:C4"/>
    <mergeCell ref="D4:E4"/>
    <mergeCell ref="F4:G4"/>
    <mergeCell ref="H4:I4"/>
    <mergeCell ref="A4:A5"/>
    <mergeCell ref="J4:J5"/>
  </mergeCells>
  <printOptions horizontalCentered="1"/>
  <pageMargins left="0.393055555555556" right="0.393055555555556" top="0.590277777777778" bottom="0.590277777777778" header="0.196527777777778" footer="0.196527777777778"/>
  <pageSetup paperSize="9" scale="70" fitToHeight="0" orientation="landscape" horizont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view="pageBreakPreview" zoomScaleNormal="90" workbookViewId="0">
      <pane ySplit="4" topLeftCell="A31" activePane="bottomLeft" state="frozen"/>
      <selection/>
      <selection pane="bottomLeft" activeCell="M9" sqref="M9"/>
    </sheetView>
  </sheetViews>
  <sheetFormatPr defaultColWidth="9" defaultRowHeight="30" customHeight="1"/>
  <cols>
    <col min="1" max="1" width="8.625" style="229" customWidth="1"/>
    <col min="2" max="2" width="15.625" style="229" customWidth="1"/>
    <col min="3" max="3" width="15.625" style="230" customWidth="1"/>
    <col min="4" max="4" width="30.625" style="231" customWidth="1"/>
    <col min="5" max="5" width="15.625" style="232" customWidth="1"/>
    <col min="6" max="8" width="15.625" style="233" hidden="1" customWidth="1"/>
    <col min="9" max="11" width="15.625" style="233" customWidth="1"/>
    <col min="12" max="12" width="15.625" style="101" customWidth="1"/>
    <col min="13" max="13" width="65.625" style="234" customWidth="1"/>
    <col min="14" max="16384" width="9" style="95"/>
  </cols>
  <sheetData>
    <row r="1" s="77" customFormat="1" ht="20" customHeight="1" spans="1:11">
      <c r="A1" s="179" t="s">
        <v>1579</v>
      </c>
      <c r="B1" s="180"/>
      <c r="C1" s="181"/>
      <c r="D1" s="181"/>
      <c r="E1" s="181"/>
      <c r="F1" s="181"/>
      <c r="G1" s="181"/>
      <c r="H1" s="181"/>
      <c r="I1" s="181"/>
      <c r="J1" s="181"/>
      <c r="K1" s="74"/>
    </row>
    <row r="2" customHeight="1" spans="1:13">
      <c r="A2" s="235" t="s">
        <v>1580</v>
      </c>
      <c r="B2" s="235"/>
      <c r="C2" s="235"/>
      <c r="D2" s="235"/>
      <c r="E2" s="236"/>
      <c r="F2" s="237"/>
      <c r="G2" s="237"/>
      <c r="H2" s="237"/>
      <c r="I2" s="237"/>
      <c r="J2" s="237"/>
      <c r="K2" s="237"/>
      <c r="L2" s="235"/>
      <c r="M2" s="257"/>
    </row>
    <row r="3" ht="20" customHeight="1" spans="6:13">
      <c r="F3" s="238"/>
      <c r="G3" s="238"/>
      <c r="H3" s="238"/>
      <c r="I3" s="238"/>
      <c r="J3" s="238"/>
      <c r="K3" s="238"/>
      <c r="L3" s="238"/>
      <c r="M3" s="258" t="s">
        <v>24</v>
      </c>
    </row>
    <row r="4" s="227" customFormat="1" ht="40" customHeight="1" spans="1:13">
      <c r="A4" s="38" t="s">
        <v>588</v>
      </c>
      <c r="B4" s="38" t="s">
        <v>1581</v>
      </c>
      <c r="C4" s="38" t="s">
        <v>1582</v>
      </c>
      <c r="D4" s="38" t="s">
        <v>1583</v>
      </c>
      <c r="E4" s="38" t="s">
        <v>1584</v>
      </c>
      <c r="F4" s="134" t="s">
        <v>1585</v>
      </c>
      <c r="G4" s="134" t="s">
        <v>1586</v>
      </c>
      <c r="H4" s="134" t="s">
        <v>1587</v>
      </c>
      <c r="I4" s="134" t="s">
        <v>592</v>
      </c>
      <c r="J4" s="134" t="s">
        <v>1587</v>
      </c>
      <c r="K4" s="134" t="s">
        <v>28</v>
      </c>
      <c r="L4" s="38" t="s">
        <v>1588</v>
      </c>
      <c r="M4" s="38" t="s">
        <v>30</v>
      </c>
    </row>
    <row r="5" s="228" customFormat="1" ht="40" customHeight="1" spans="1:13">
      <c r="A5" s="239">
        <v>1</v>
      </c>
      <c r="B5" s="239" t="s">
        <v>1589</v>
      </c>
      <c r="C5" s="239" t="s">
        <v>1590</v>
      </c>
      <c r="D5" s="239" t="s">
        <v>1591</v>
      </c>
      <c r="E5" s="240">
        <v>39.19</v>
      </c>
      <c r="F5" s="241">
        <v>9350</v>
      </c>
      <c r="G5" s="241">
        <v>0</v>
      </c>
      <c r="H5" s="241">
        <v>10650</v>
      </c>
      <c r="I5" s="259">
        <v>20000</v>
      </c>
      <c r="J5" s="259">
        <f t="shared" ref="J5:J8" si="0">K5-I5</f>
        <v>-20000</v>
      </c>
      <c r="K5" s="259">
        <v>0</v>
      </c>
      <c r="L5" s="260" t="s">
        <v>1592</v>
      </c>
      <c r="M5" s="261" t="s">
        <v>1593</v>
      </c>
    </row>
    <row r="6" s="228" customFormat="1" ht="40" customHeight="1" spans="1:13">
      <c r="A6" s="239">
        <v>2</v>
      </c>
      <c r="B6" s="239" t="s">
        <v>1589</v>
      </c>
      <c r="C6" s="239" t="s">
        <v>1590</v>
      </c>
      <c r="D6" s="239" t="s">
        <v>1594</v>
      </c>
      <c r="E6" s="240">
        <v>181.96</v>
      </c>
      <c r="F6" s="241">
        <v>47150</v>
      </c>
      <c r="G6" s="241">
        <v>0</v>
      </c>
      <c r="H6" s="241">
        <v>0</v>
      </c>
      <c r="I6" s="259">
        <v>47150</v>
      </c>
      <c r="J6" s="259">
        <f t="shared" si="0"/>
        <v>-47150</v>
      </c>
      <c r="K6" s="259">
        <v>0</v>
      </c>
      <c r="L6" s="260" t="s">
        <v>1592</v>
      </c>
      <c r="M6" s="261" t="s">
        <v>1595</v>
      </c>
    </row>
    <row r="7" s="228" customFormat="1" ht="40" customHeight="1" spans="1:13">
      <c r="A7" s="242" t="s">
        <v>1596</v>
      </c>
      <c r="B7" s="242"/>
      <c r="C7" s="242"/>
      <c r="D7" s="242"/>
      <c r="E7" s="243">
        <f t="shared" ref="E7:G7" si="1">SUM(E5:E6)</f>
        <v>221.15</v>
      </c>
      <c r="F7" s="244">
        <f t="shared" si="1"/>
        <v>56500</v>
      </c>
      <c r="G7" s="245">
        <f t="shared" si="1"/>
        <v>0</v>
      </c>
      <c r="H7" s="244">
        <v>-23056</v>
      </c>
      <c r="I7" s="262">
        <v>67150</v>
      </c>
      <c r="J7" s="262">
        <f>SUM(J5:J6)</f>
        <v>-67150</v>
      </c>
      <c r="K7" s="263">
        <f>I7+J7</f>
        <v>0</v>
      </c>
      <c r="L7" s="264"/>
      <c r="M7" s="264"/>
    </row>
    <row r="8" s="228" customFormat="1" ht="40" customHeight="1" spans="1:13">
      <c r="A8" s="239">
        <v>3</v>
      </c>
      <c r="B8" s="239" t="s">
        <v>1597</v>
      </c>
      <c r="C8" s="239" t="s">
        <v>1590</v>
      </c>
      <c r="D8" s="239" t="s">
        <v>1598</v>
      </c>
      <c r="E8" s="240">
        <v>73.46</v>
      </c>
      <c r="F8" s="246">
        <v>21150</v>
      </c>
      <c r="G8" s="246">
        <v>0</v>
      </c>
      <c r="H8" s="246"/>
      <c r="I8" s="259">
        <v>21150</v>
      </c>
      <c r="J8" s="259">
        <f t="shared" si="0"/>
        <v>-21150</v>
      </c>
      <c r="K8" s="259">
        <v>0</v>
      </c>
      <c r="L8" s="239" t="s">
        <v>1592</v>
      </c>
      <c r="M8" s="261" t="s">
        <v>1599</v>
      </c>
    </row>
    <row r="9" s="228" customFormat="1" ht="40" customHeight="1" spans="1:13">
      <c r="A9" s="239">
        <v>4</v>
      </c>
      <c r="B9" s="239" t="s">
        <v>1597</v>
      </c>
      <c r="C9" s="239" t="s">
        <v>1590</v>
      </c>
      <c r="D9" s="239" t="s">
        <v>1600</v>
      </c>
      <c r="E9" s="240">
        <v>78.79</v>
      </c>
      <c r="F9" s="246">
        <v>14343</v>
      </c>
      <c r="G9" s="246">
        <v>14342.5</v>
      </c>
      <c r="H9" s="246">
        <v>14342</v>
      </c>
      <c r="I9" s="259">
        <v>28685</v>
      </c>
      <c r="J9" s="259">
        <v>-12842.5</v>
      </c>
      <c r="K9" s="259">
        <f>I9+J9-0.5</f>
        <v>15842</v>
      </c>
      <c r="L9" s="239" t="s">
        <v>1592</v>
      </c>
      <c r="M9" s="261" t="s">
        <v>1601</v>
      </c>
    </row>
    <row r="10" s="95" customFormat="1" ht="40" customHeight="1" spans="1:13">
      <c r="A10" s="239">
        <v>5</v>
      </c>
      <c r="B10" s="239" t="s">
        <v>1597</v>
      </c>
      <c r="C10" s="239" t="s">
        <v>1602</v>
      </c>
      <c r="D10" s="239" t="s">
        <v>1603</v>
      </c>
      <c r="E10" s="240">
        <v>130.56</v>
      </c>
      <c r="F10" s="246">
        <v>34779.2554</v>
      </c>
      <c r="G10" s="246">
        <v>0</v>
      </c>
      <c r="H10" s="246">
        <v>-8848</v>
      </c>
      <c r="I10" s="259">
        <v>25931.2554</v>
      </c>
      <c r="J10" s="259">
        <f>K10-I10</f>
        <v>-25931.2554</v>
      </c>
      <c r="K10" s="259"/>
      <c r="L10" s="239" t="s">
        <v>1592</v>
      </c>
      <c r="M10" s="261" t="s">
        <v>1604</v>
      </c>
    </row>
    <row r="11" s="95" customFormat="1" ht="40" customHeight="1" spans="1:13">
      <c r="A11" s="239">
        <v>6</v>
      </c>
      <c r="B11" s="239" t="s">
        <v>1597</v>
      </c>
      <c r="C11" s="239" t="s">
        <v>1602</v>
      </c>
      <c r="D11" s="239" t="s">
        <v>1605</v>
      </c>
      <c r="E11" s="240">
        <v>26.44</v>
      </c>
      <c r="F11" s="246">
        <v>7420.7446</v>
      </c>
      <c r="G11" s="246">
        <v>7420.7446</v>
      </c>
      <c r="H11" s="246">
        <v>0</v>
      </c>
      <c r="I11" s="259">
        <v>7420.7446</v>
      </c>
      <c r="J11" s="259"/>
      <c r="K11" s="259">
        <v>7420.7446</v>
      </c>
      <c r="L11" s="239" t="s">
        <v>1592</v>
      </c>
      <c r="M11" s="261" t="s">
        <v>1606</v>
      </c>
    </row>
    <row r="12" s="95" customFormat="1" ht="40" customHeight="1" spans="1:13">
      <c r="A12" s="239">
        <v>7</v>
      </c>
      <c r="B12" s="239" t="s">
        <v>1597</v>
      </c>
      <c r="C12" s="239" t="s">
        <v>1607</v>
      </c>
      <c r="D12" s="239" t="s">
        <v>1608</v>
      </c>
      <c r="E12" s="240">
        <v>8.08</v>
      </c>
      <c r="F12" s="246">
        <v>2029</v>
      </c>
      <c r="G12" s="246">
        <v>0</v>
      </c>
      <c r="H12" s="246">
        <v>0</v>
      </c>
      <c r="I12" s="259">
        <v>2029</v>
      </c>
      <c r="J12" s="259">
        <f t="shared" ref="J12:J19" si="2">K12-I12</f>
        <v>-2029</v>
      </c>
      <c r="K12" s="259">
        <v>0</v>
      </c>
      <c r="L12" s="239" t="s">
        <v>1592</v>
      </c>
      <c r="M12" s="261" t="s">
        <v>1609</v>
      </c>
    </row>
    <row r="13" s="95" customFormat="1" ht="45" customHeight="1" spans="1:13">
      <c r="A13" s="239">
        <v>8</v>
      </c>
      <c r="B13" s="239" t="s">
        <v>1610</v>
      </c>
      <c r="C13" s="239" t="s">
        <v>1611</v>
      </c>
      <c r="D13" s="239" t="s">
        <v>1612</v>
      </c>
      <c r="E13" s="240">
        <v>37.98</v>
      </c>
      <c r="F13" s="246">
        <v>2500</v>
      </c>
      <c r="G13" s="246">
        <v>0</v>
      </c>
      <c r="H13" s="246">
        <v>0</v>
      </c>
      <c r="I13" s="259">
        <v>2500</v>
      </c>
      <c r="J13" s="259">
        <f t="shared" si="2"/>
        <v>-2500</v>
      </c>
      <c r="K13" s="259">
        <v>0</v>
      </c>
      <c r="L13" s="239" t="s">
        <v>1592</v>
      </c>
      <c r="M13" s="261" t="s">
        <v>1613</v>
      </c>
    </row>
    <row r="14" s="95" customFormat="1" ht="45" customHeight="1" spans="1:13">
      <c r="A14" s="239">
        <v>9</v>
      </c>
      <c r="B14" s="239" t="s">
        <v>1610</v>
      </c>
      <c r="C14" s="239" t="s">
        <v>1611</v>
      </c>
      <c r="D14" s="239" t="s">
        <v>1614</v>
      </c>
      <c r="E14" s="240">
        <v>33.596</v>
      </c>
      <c r="F14" s="246">
        <v>5278</v>
      </c>
      <c r="G14" s="246">
        <v>0</v>
      </c>
      <c r="H14" s="246">
        <v>-3708</v>
      </c>
      <c r="I14" s="259">
        <v>1570</v>
      </c>
      <c r="J14" s="259"/>
      <c r="K14" s="259">
        <v>1570</v>
      </c>
      <c r="L14" s="239" t="s">
        <v>1592</v>
      </c>
      <c r="M14" s="261" t="s">
        <v>1615</v>
      </c>
    </row>
    <row r="15" s="95" customFormat="1" ht="45" customHeight="1" spans="1:13">
      <c r="A15" s="239">
        <v>10</v>
      </c>
      <c r="B15" s="239" t="s">
        <v>1610</v>
      </c>
      <c r="C15" s="239" t="s">
        <v>1611</v>
      </c>
      <c r="D15" s="239" t="s">
        <v>1616</v>
      </c>
      <c r="E15" s="240">
        <v>16.992</v>
      </c>
      <c r="F15" s="246">
        <v>5100</v>
      </c>
      <c r="G15" s="246">
        <v>0</v>
      </c>
      <c r="H15" s="246">
        <v>-3950</v>
      </c>
      <c r="I15" s="259">
        <v>1150</v>
      </c>
      <c r="J15" s="259"/>
      <c r="K15" s="259">
        <v>1150</v>
      </c>
      <c r="L15" s="239" t="s">
        <v>1592</v>
      </c>
      <c r="M15" s="261" t="s">
        <v>1615</v>
      </c>
    </row>
    <row r="16" s="95" customFormat="1" ht="45" customHeight="1" spans="1:13">
      <c r="A16" s="239">
        <v>11</v>
      </c>
      <c r="B16" s="239" t="s">
        <v>1610</v>
      </c>
      <c r="C16" s="239" t="s">
        <v>1611</v>
      </c>
      <c r="D16" s="239" t="s">
        <v>1617</v>
      </c>
      <c r="E16" s="240">
        <v>16.008</v>
      </c>
      <c r="F16" s="246">
        <v>0</v>
      </c>
      <c r="G16" s="246">
        <v>0</v>
      </c>
      <c r="H16" s="246">
        <v>1070</v>
      </c>
      <c r="I16" s="259">
        <v>1070</v>
      </c>
      <c r="J16" s="259"/>
      <c r="K16" s="259">
        <v>1070</v>
      </c>
      <c r="L16" s="239" t="s">
        <v>1592</v>
      </c>
      <c r="M16" s="261" t="s">
        <v>1615</v>
      </c>
    </row>
    <row r="17" s="95" customFormat="1" ht="45" customHeight="1" spans="1:13">
      <c r="A17" s="239">
        <v>12</v>
      </c>
      <c r="B17" s="239" t="s">
        <v>1610</v>
      </c>
      <c r="C17" s="239" t="s">
        <v>1611</v>
      </c>
      <c r="D17" s="239" t="s">
        <v>1618</v>
      </c>
      <c r="E17" s="240">
        <v>281.514</v>
      </c>
      <c r="F17" s="246">
        <v>8400</v>
      </c>
      <c r="G17" s="246">
        <v>0</v>
      </c>
      <c r="H17" s="246"/>
      <c r="I17" s="259">
        <v>8400</v>
      </c>
      <c r="J17" s="259">
        <f t="shared" si="2"/>
        <v>-8400</v>
      </c>
      <c r="K17" s="259">
        <v>0</v>
      </c>
      <c r="L17" s="239" t="s">
        <v>1592</v>
      </c>
      <c r="M17" s="261" t="s">
        <v>1619</v>
      </c>
    </row>
    <row r="18" s="95" customFormat="1" ht="45" customHeight="1" spans="1:13">
      <c r="A18" s="239">
        <v>13</v>
      </c>
      <c r="B18" s="239" t="s">
        <v>1610</v>
      </c>
      <c r="C18" s="239" t="s">
        <v>1611</v>
      </c>
      <c r="D18" s="239" t="s">
        <v>1620</v>
      </c>
      <c r="E18" s="240">
        <v>145.261</v>
      </c>
      <c r="F18" s="246">
        <v>0</v>
      </c>
      <c r="G18" s="246">
        <v>0</v>
      </c>
      <c r="H18" s="246">
        <v>9006</v>
      </c>
      <c r="I18" s="259">
        <v>9006</v>
      </c>
      <c r="J18" s="259">
        <f t="shared" si="2"/>
        <v>-9006</v>
      </c>
      <c r="K18" s="259">
        <v>0</v>
      </c>
      <c r="L18" s="239" t="s">
        <v>1592</v>
      </c>
      <c r="M18" s="261" t="s">
        <v>1621</v>
      </c>
    </row>
    <row r="19" s="95" customFormat="1" ht="45" customHeight="1" spans="1:13">
      <c r="A19" s="239">
        <v>14</v>
      </c>
      <c r="B19" s="239" t="s">
        <v>1610</v>
      </c>
      <c r="C19" s="239" t="s">
        <v>1622</v>
      </c>
      <c r="D19" s="239" t="s">
        <v>1623</v>
      </c>
      <c r="E19" s="240">
        <v>30</v>
      </c>
      <c r="F19" s="246">
        <v>0</v>
      </c>
      <c r="G19" s="246">
        <v>0</v>
      </c>
      <c r="H19" s="246">
        <v>1350</v>
      </c>
      <c r="I19" s="259">
        <v>1350</v>
      </c>
      <c r="J19" s="259">
        <f t="shared" si="2"/>
        <v>1573</v>
      </c>
      <c r="K19" s="259">
        <v>2923</v>
      </c>
      <c r="L19" s="239" t="s">
        <v>1624</v>
      </c>
      <c r="M19" s="261" t="s">
        <v>1625</v>
      </c>
    </row>
    <row r="20" s="95" customFormat="1" ht="40" customHeight="1" spans="1:13">
      <c r="A20" s="239">
        <v>15</v>
      </c>
      <c r="B20" s="239" t="s">
        <v>1039</v>
      </c>
      <c r="C20" s="239" t="s">
        <v>1611</v>
      </c>
      <c r="D20" s="239" t="s">
        <v>1626</v>
      </c>
      <c r="E20" s="240">
        <v>95.455</v>
      </c>
      <c r="F20" s="246">
        <v>0</v>
      </c>
      <c r="G20" s="246">
        <v>0</v>
      </c>
      <c r="H20" s="246">
        <v>3125</v>
      </c>
      <c r="I20" s="259">
        <v>3125</v>
      </c>
      <c r="J20" s="259"/>
      <c r="K20" s="259">
        <v>3125</v>
      </c>
      <c r="L20" s="239" t="s">
        <v>1592</v>
      </c>
      <c r="M20" s="261" t="s">
        <v>1615</v>
      </c>
    </row>
    <row r="21" s="95" customFormat="1" ht="40" customHeight="1" spans="1:13">
      <c r="A21" s="239">
        <v>16</v>
      </c>
      <c r="B21" s="239" t="s">
        <v>1039</v>
      </c>
      <c r="C21" s="239" t="s">
        <v>1627</v>
      </c>
      <c r="D21" s="239"/>
      <c r="E21" s="240"/>
      <c r="F21" s="246">
        <v>6198</v>
      </c>
      <c r="G21" s="246">
        <v>730.6517</v>
      </c>
      <c r="H21" s="246">
        <v>-5198</v>
      </c>
      <c r="I21" s="259">
        <v>1000</v>
      </c>
      <c r="J21" s="259">
        <f>K21-I21</f>
        <v>6471.49</v>
      </c>
      <c r="K21" s="259">
        <v>7471.49</v>
      </c>
      <c r="L21" s="239" t="s">
        <v>1628</v>
      </c>
      <c r="M21" s="261" t="s">
        <v>1629</v>
      </c>
    </row>
    <row r="22" s="95" customFormat="1" ht="40" customHeight="1" spans="1:13">
      <c r="A22" s="239">
        <v>17</v>
      </c>
      <c r="B22" s="239" t="s">
        <v>1039</v>
      </c>
      <c r="C22" s="239" t="s">
        <v>1630</v>
      </c>
      <c r="D22" s="239"/>
      <c r="E22" s="240"/>
      <c r="F22" s="246">
        <v>1000</v>
      </c>
      <c r="G22" s="246">
        <v>466.092</v>
      </c>
      <c r="H22" s="246">
        <v>0</v>
      </c>
      <c r="I22" s="259">
        <v>1000</v>
      </c>
      <c r="J22" s="259">
        <f>K22-I22</f>
        <v>-211</v>
      </c>
      <c r="K22" s="259">
        <v>789</v>
      </c>
      <c r="L22" s="239" t="s">
        <v>1631</v>
      </c>
      <c r="M22" s="261" t="s">
        <v>1632</v>
      </c>
    </row>
    <row r="23" s="95" customFormat="1" ht="40" customHeight="1" spans="1:13">
      <c r="A23" s="239">
        <v>18</v>
      </c>
      <c r="B23" s="239" t="s">
        <v>1476</v>
      </c>
      <c r="C23" s="239" t="s">
        <v>1633</v>
      </c>
      <c r="D23" s="239"/>
      <c r="E23" s="240"/>
      <c r="F23" s="246"/>
      <c r="G23" s="246"/>
      <c r="H23" s="246"/>
      <c r="I23" s="259"/>
      <c r="J23" s="259">
        <v>-4600</v>
      </c>
      <c r="K23" s="259">
        <v>-4600</v>
      </c>
      <c r="L23" s="239"/>
      <c r="M23" s="261"/>
    </row>
    <row r="24" s="95" customFormat="1" ht="40" customHeight="1" spans="1:13">
      <c r="A24" s="239">
        <v>19</v>
      </c>
      <c r="B24" s="239" t="s">
        <v>1476</v>
      </c>
      <c r="C24" s="247" t="s">
        <v>1634</v>
      </c>
      <c r="D24" s="248"/>
      <c r="E24" s="240"/>
      <c r="F24" s="246">
        <v>-10000</v>
      </c>
      <c r="G24" s="246">
        <v>-577.2984</v>
      </c>
      <c r="H24" s="246"/>
      <c r="I24" s="259">
        <v>-10000</v>
      </c>
      <c r="J24" s="259">
        <f>K24-I24</f>
        <v>8620</v>
      </c>
      <c r="K24" s="259">
        <v>-1380</v>
      </c>
      <c r="L24" s="239"/>
      <c r="M24" s="261" t="s">
        <v>1635</v>
      </c>
    </row>
    <row r="25" s="228" customFormat="1" ht="40" customHeight="1" spans="1:13">
      <c r="A25" s="242" t="s">
        <v>1636</v>
      </c>
      <c r="B25" s="242"/>
      <c r="C25" s="242"/>
      <c r="D25" s="242"/>
      <c r="E25" s="243">
        <f>SUM(E8:E24)</f>
        <v>974.136</v>
      </c>
      <c r="F25" s="244">
        <f t="shared" ref="F25:K25" si="3">SUM(F8:F24)</f>
        <v>98198</v>
      </c>
      <c r="G25" s="244">
        <f t="shared" si="3"/>
        <v>22382.6899</v>
      </c>
      <c r="H25" s="244">
        <f t="shared" si="3"/>
        <v>7189</v>
      </c>
      <c r="I25" s="262">
        <f t="shared" si="3"/>
        <v>105387</v>
      </c>
      <c r="J25" s="262">
        <f t="shared" si="3"/>
        <v>-70005.2654</v>
      </c>
      <c r="K25" s="262">
        <f t="shared" si="3"/>
        <v>35381.2346</v>
      </c>
      <c r="L25" s="264"/>
      <c r="M25" s="264"/>
    </row>
    <row r="26" s="107" customFormat="1" ht="40" customHeight="1" spans="1:13">
      <c r="A26" s="144" t="s">
        <v>1637</v>
      </c>
      <c r="B26" s="144"/>
      <c r="C26" s="144"/>
      <c r="D26" s="144"/>
      <c r="E26" s="249">
        <f>E7+E25</f>
        <v>1195.286</v>
      </c>
      <c r="F26" s="250">
        <f t="shared" ref="F26:K26" si="4">F7+F25</f>
        <v>154698</v>
      </c>
      <c r="G26" s="250">
        <f t="shared" si="4"/>
        <v>22382.6899</v>
      </c>
      <c r="H26" s="250">
        <f t="shared" si="4"/>
        <v>-15867</v>
      </c>
      <c r="I26" s="84">
        <f t="shared" si="4"/>
        <v>172537</v>
      </c>
      <c r="J26" s="84">
        <f t="shared" si="4"/>
        <v>-137155.2654</v>
      </c>
      <c r="K26" s="84">
        <f t="shared" si="4"/>
        <v>35381.2346</v>
      </c>
      <c r="L26" s="265"/>
      <c r="M26" s="266"/>
    </row>
    <row r="27" s="101" customFormat="1" ht="40" customHeight="1" spans="1:13">
      <c r="A27" s="144" t="s">
        <v>1638</v>
      </c>
      <c r="B27" s="144"/>
      <c r="C27" s="144"/>
      <c r="D27" s="144"/>
      <c r="E27" s="249"/>
      <c r="F27" s="251">
        <v>5000</v>
      </c>
      <c r="G27" s="251">
        <v>15937.7561</v>
      </c>
      <c r="H27" s="251">
        <v>13000</v>
      </c>
      <c r="I27" s="267">
        <v>18000</v>
      </c>
      <c r="J27" s="267">
        <v>1116</v>
      </c>
      <c r="K27" s="268">
        <v>19116</v>
      </c>
      <c r="L27" s="269"/>
      <c r="M27" s="270"/>
    </row>
    <row r="28" s="101" customFormat="1" ht="40" customHeight="1" spans="1:13">
      <c r="A28" s="144" t="s">
        <v>1639</v>
      </c>
      <c r="B28" s="144"/>
      <c r="C28" s="144"/>
      <c r="D28" s="144"/>
      <c r="E28" s="252"/>
      <c r="F28" s="251">
        <v>60</v>
      </c>
      <c r="G28" s="251">
        <v>77.924318</v>
      </c>
      <c r="H28" s="251">
        <v>18</v>
      </c>
      <c r="I28" s="267">
        <v>78</v>
      </c>
      <c r="J28" s="267"/>
      <c r="K28" s="268">
        <v>78</v>
      </c>
      <c r="L28" s="269"/>
      <c r="M28" s="271"/>
    </row>
    <row r="29" ht="40" customHeight="1" spans="1:13">
      <c r="A29" s="144" t="s">
        <v>1640</v>
      </c>
      <c r="B29" s="144"/>
      <c r="C29" s="144"/>
      <c r="D29" s="144"/>
      <c r="E29" s="253"/>
      <c r="F29" s="251">
        <f t="shared" ref="F29:K29" si="5">SUM(F26:F28)</f>
        <v>159758</v>
      </c>
      <c r="G29" s="251">
        <f t="shared" si="5"/>
        <v>38398.370318</v>
      </c>
      <c r="H29" s="251">
        <f t="shared" si="5"/>
        <v>-2849</v>
      </c>
      <c r="I29" s="267">
        <f t="shared" si="5"/>
        <v>190615</v>
      </c>
      <c r="J29" s="267">
        <f t="shared" si="5"/>
        <v>-136039.2654</v>
      </c>
      <c r="K29" s="267">
        <f t="shared" si="5"/>
        <v>54575.2346</v>
      </c>
      <c r="L29" s="269"/>
      <c r="M29" s="272"/>
    </row>
    <row r="30" ht="40" customHeight="1" spans="1:13">
      <c r="A30" s="144" t="s">
        <v>1641</v>
      </c>
      <c r="B30" s="144"/>
      <c r="C30" s="144"/>
      <c r="D30" s="144"/>
      <c r="E30" s="249"/>
      <c r="F30" s="250">
        <f t="shared" ref="F30:K30" si="6">F25+F28+F27</f>
        <v>103258</v>
      </c>
      <c r="G30" s="250">
        <f t="shared" si="6"/>
        <v>38398.370318</v>
      </c>
      <c r="H30" s="250">
        <f t="shared" si="6"/>
        <v>20207</v>
      </c>
      <c r="I30" s="84">
        <f t="shared" si="6"/>
        <v>123465</v>
      </c>
      <c r="J30" s="84">
        <f t="shared" si="6"/>
        <v>-68889.2654</v>
      </c>
      <c r="K30" s="84">
        <f t="shared" si="6"/>
        <v>54575.2346</v>
      </c>
      <c r="L30" s="265"/>
      <c r="M30" s="266"/>
    </row>
    <row r="31" customHeight="1" spans="1:4">
      <c r="A31" s="254"/>
      <c r="B31" s="254"/>
      <c r="C31" s="255"/>
      <c r="D31" s="256"/>
    </row>
  </sheetData>
  <mergeCells count="12">
    <mergeCell ref="A2:M2"/>
    <mergeCell ref="A7:D7"/>
    <mergeCell ref="C21:D21"/>
    <mergeCell ref="C22:D22"/>
    <mergeCell ref="C23:D23"/>
    <mergeCell ref="C24:D24"/>
    <mergeCell ref="A25:D25"/>
    <mergeCell ref="A26:D26"/>
    <mergeCell ref="A27:D27"/>
    <mergeCell ref="A28:D28"/>
    <mergeCell ref="A29:D29"/>
    <mergeCell ref="A30:D30"/>
  </mergeCells>
  <printOptions horizontalCentered="1"/>
  <pageMargins left="0.393055555555556" right="0.393055555555556" top="0.590277777777778" bottom="0.590277777777778" header="0.196527777777778" footer="0.196527777777778"/>
  <pageSetup paperSize="9" scale="61" fitToHeight="0"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J111"/>
  <sheetViews>
    <sheetView view="pageBreakPreview" zoomScaleNormal="115" workbookViewId="0">
      <pane ySplit="5" topLeftCell="A114" activePane="bottomLeft" state="frozen"/>
      <selection/>
      <selection pane="bottomLeft" activeCell="G5" sqref="G5"/>
    </sheetView>
  </sheetViews>
  <sheetFormatPr defaultColWidth="9" defaultRowHeight="23.1" customHeight="1"/>
  <cols>
    <col min="1" max="1" width="10.625" style="175" customWidth="1"/>
    <col min="2" max="2" width="6" style="176" hidden="1" customWidth="1"/>
    <col min="3" max="3" width="50.625" style="4" customWidth="1"/>
    <col min="4" max="11" width="10.625" style="177" customWidth="1"/>
    <col min="12" max="12" width="10.625" style="178" customWidth="1"/>
    <col min="13" max="13" width="20.625" style="2" customWidth="1"/>
    <col min="14" max="14" width="10.5" style="2" customWidth="1"/>
    <col min="15" max="16384" width="9" style="2"/>
  </cols>
  <sheetData>
    <row r="1" s="77" customFormat="1" ht="20" customHeight="1" spans="1:12">
      <c r="A1" s="179" t="s">
        <v>1642</v>
      </c>
      <c r="B1" s="180"/>
      <c r="C1" s="180"/>
      <c r="D1" s="181"/>
      <c r="E1" s="181"/>
      <c r="F1" s="181"/>
      <c r="G1" s="181"/>
      <c r="H1" s="181"/>
      <c r="I1" s="181"/>
      <c r="J1" s="181"/>
      <c r="K1" s="181"/>
      <c r="L1" s="74"/>
    </row>
    <row r="2" s="167" customFormat="1" ht="30" customHeight="1" spans="1:13">
      <c r="A2" s="182" t="s">
        <v>1643</v>
      </c>
      <c r="B2" s="182"/>
      <c r="C2" s="182"/>
      <c r="D2" s="183"/>
      <c r="E2" s="183"/>
      <c r="F2" s="183"/>
      <c r="G2" s="183"/>
      <c r="H2" s="183"/>
      <c r="I2" s="183"/>
      <c r="J2" s="183"/>
      <c r="K2" s="183"/>
      <c r="L2" s="206"/>
      <c r="M2" s="182"/>
    </row>
    <row r="3" s="168" customFormat="1" ht="20" customHeight="1" spans="1:13">
      <c r="A3" s="107"/>
      <c r="B3" s="184"/>
      <c r="C3" s="107"/>
      <c r="D3" s="185"/>
      <c r="E3" s="185"/>
      <c r="F3" s="185"/>
      <c r="G3" s="185"/>
      <c r="H3" s="185"/>
      <c r="I3" s="185"/>
      <c r="J3" s="185"/>
      <c r="K3" s="185"/>
      <c r="L3" s="207"/>
      <c r="M3" s="208" t="s">
        <v>24</v>
      </c>
    </row>
    <row r="4" s="169" customFormat="1" ht="30" customHeight="1" spans="1:13">
      <c r="A4" s="186" t="s">
        <v>1644</v>
      </c>
      <c r="B4" s="187"/>
      <c r="C4" s="188" t="s">
        <v>1645</v>
      </c>
      <c r="D4" s="189" t="s">
        <v>26</v>
      </c>
      <c r="E4" s="189"/>
      <c r="F4" s="190"/>
      <c r="G4" s="189" t="s">
        <v>27</v>
      </c>
      <c r="H4" s="189"/>
      <c r="I4" s="189" t="s">
        <v>28</v>
      </c>
      <c r="J4" s="189"/>
      <c r="K4" s="189"/>
      <c r="L4" s="209" t="s">
        <v>29</v>
      </c>
      <c r="M4" s="188" t="s">
        <v>30</v>
      </c>
    </row>
    <row r="5" s="169" customFormat="1" ht="30" customHeight="1" spans="1:13">
      <c r="A5" s="186"/>
      <c r="B5" s="187"/>
      <c r="C5" s="188"/>
      <c r="D5" s="189" t="s">
        <v>85</v>
      </c>
      <c r="E5" s="189" t="s">
        <v>86</v>
      </c>
      <c r="F5" s="189" t="s">
        <v>87</v>
      </c>
      <c r="G5" s="189" t="s">
        <v>1646</v>
      </c>
      <c r="H5" s="189" t="s">
        <v>86</v>
      </c>
      <c r="I5" s="189" t="s">
        <v>85</v>
      </c>
      <c r="J5" s="189" t="s">
        <v>86</v>
      </c>
      <c r="K5" s="189" t="s">
        <v>87</v>
      </c>
      <c r="L5" s="209"/>
      <c r="M5" s="188"/>
    </row>
    <row r="6" s="170" customFormat="1" hidden="1" customHeight="1" spans="1:13">
      <c r="A6" s="191" t="s">
        <v>1647</v>
      </c>
      <c r="B6" s="192"/>
      <c r="C6" s="191" t="s">
        <v>1648</v>
      </c>
      <c r="D6" s="193"/>
      <c r="E6" s="193"/>
      <c r="F6" s="193"/>
      <c r="G6" s="193"/>
      <c r="H6" s="193"/>
      <c r="I6" s="193" t="e">
        <f>D6+G6+#REF!+#REF!+#REF!+#REF!</f>
        <v>#REF!</v>
      </c>
      <c r="J6" s="193"/>
      <c r="K6" s="193"/>
      <c r="L6" s="210">
        <f t="shared" ref="L6:L69" si="0">IF(F6=0,IF(K6=0,0,100),100*(K6/F6-1))</f>
        <v>0</v>
      </c>
      <c r="M6" s="211" t="s">
        <v>1649</v>
      </c>
    </row>
    <row r="7" s="170" customFormat="1" hidden="1" customHeight="1" spans="1:13">
      <c r="A7" s="191" t="s">
        <v>1650</v>
      </c>
      <c r="B7" s="192"/>
      <c r="C7" s="191" t="s">
        <v>1651</v>
      </c>
      <c r="D7" s="193"/>
      <c r="E7" s="193"/>
      <c r="F7" s="193"/>
      <c r="G7" s="193"/>
      <c r="H7" s="193"/>
      <c r="I7" s="193" t="e">
        <f>D7+G7+#REF!+#REF!+#REF!+#REF!</f>
        <v>#REF!</v>
      </c>
      <c r="J7" s="193"/>
      <c r="K7" s="193"/>
      <c r="L7" s="210">
        <f t="shared" si="0"/>
        <v>0</v>
      </c>
      <c r="M7" s="211" t="s">
        <v>1649</v>
      </c>
    </row>
    <row r="8" s="170" customFormat="1" hidden="1" customHeight="1" spans="1:13">
      <c r="A8" s="191" t="s">
        <v>1652</v>
      </c>
      <c r="B8" s="192"/>
      <c r="C8" s="191" t="s">
        <v>1653</v>
      </c>
      <c r="D8" s="193"/>
      <c r="E8" s="193"/>
      <c r="F8" s="193"/>
      <c r="G8" s="193"/>
      <c r="H8" s="193"/>
      <c r="I8" s="193" t="e">
        <f>D8+G8+#REF!+#REF!+#REF!+#REF!</f>
        <v>#REF!</v>
      </c>
      <c r="J8" s="193"/>
      <c r="K8" s="193"/>
      <c r="L8" s="210">
        <f t="shared" si="0"/>
        <v>0</v>
      </c>
      <c r="M8" s="211" t="s">
        <v>1649</v>
      </c>
    </row>
    <row r="9" s="170" customFormat="1" hidden="1" customHeight="1" spans="1:13">
      <c r="A9" s="191" t="s">
        <v>1654</v>
      </c>
      <c r="B9" s="192"/>
      <c r="C9" s="191" t="s">
        <v>1655</v>
      </c>
      <c r="D9" s="193"/>
      <c r="E9" s="193"/>
      <c r="F9" s="193"/>
      <c r="G9" s="193"/>
      <c r="H9" s="193"/>
      <c r="I9" s="193" t="e">
        <f>D9+G9+#REF!+#REF!+#REF!+#REF!</f>
        <v>#REF!</v>
      </c>
      <c r="J9" s="193"/>
      <c r="K9" s="193"/>
      <c r="L9" s="210">
        <f t="shared" si="0"/>
        <v>0</v>
      </c>
      <c r="M9" s="211" t="s">
        <v>1649</v>
      </c>
    </row>
    <row r="10" s="171" customFormat="1" customHeight="1" spans="1:13">
      <c r="A10" s="194" t="s">
        <v>1656</v>
      </c>
      <c r="B10" s="195"/>
      <c r="C10" s="196" t="s">
        <v>1657</v>
      </c>
      <c r="D10" s="197">
        <v>0</v>
      </c>
      <c r="E10" s="197">
        <v>3</v>
      </c>
      <c r="F10" s="197">
        <v>3</v>
      </c>
      <c r="G10" s="197"/>
      <c r="H10" s="197">
        <f t="shared" ref="H10:H12" si="1">J10-E10</f>
        <v>-3</v>
      </c>
      <c r="I10" s="197">
        <v>0</v>
      </c>
      <c r="J10" s="197">
        <f>+J11</f>
        <v>0</v>
      </c>
      <c r="K10" s="197">
        <f t="shared" ref="K10:K73" si="2">I10+J10</f>
        <v>0</v>
      </c>
      <c r="L10" s="212">
        <f t="shared" si="0"/>
        <v>-100</v>
      </c>
      <c r="M10" s="213"/>
    </row>
    <row r="11" s="171" customFormat="1" customHeight="1" spans="1:13">
      <c r="A11" s="194" t="s">
        <v>1658</v>
      </c>
      <c r="B11" s="195"/>
      <c r="C11" s="196" t="s">
        <v>1659</v>
      </c>
      <c r="D11" s="197">
        <v>0</v>
      </c>
      <c r="E11" s="197">
        <v>3</v>
      </c>
      <c r="F11" s="197">
        <v>3</v>
      </c>
      <c r="G11" s="197"/>
      <c r="H11" s="197">
        <f t="shared" si="1"/>
        <v>-3</v>
      </c>
      <c r="I11" s="197"/>
      <c r="J11" s="197">
        <f>+J12</f>
        <v>0</v>
      </c>
      <c r="K11" s="197">
        <f t="shared" si="2"/>
        <v>0</v>
      </c>
      <c r="L11" s="212">
        <f t="shared" si="0"/>
        <v>-100</v>
      </c>
      <c r="M11" s="213"/>
    </row>
    <row r="12" s="171" customFormat="1" customHeight="1" spans="1:13">
      <c r="A12" s="194" t="s">
        <v>1660</v>
      </c>
      <c r="B12" s="195"/>
      <c r="C12" s="196" t="s">
        <v>1661</v>
      </c>
      <c r="D12" s="197">
        <v>0</v>
      </c>
      <c r="E12" s="197">
        <v>3</v>
      </c>
      <c r="F12" s="197">
        <v>3</v>
      </c>
      <c r="G12" s="197"/>
      <c r="H12" s="197">
        <f t="shared" si="1"/>
        <v>-3</v>
      </c>
      <c r="I12" s="197"/>
      <c r="J12" s="197"/>
      <c r="K12" s="197">
        <f t="shared" si="2"/>
        <v>0</v>
      </c>
      <c r="L12" s="212">
        <f t="shared" si="0"/>
        <v>-100</v>
      </c>
      <c r="M12" s="213"/>
    </row>
    <row r="13" s="172" customFormat="1" hidden="1" customHeight="1" spans="1:13">
      <c r="A13" s="191" t="s">
        <v>1662</v>
      </c>
      <c r="B13" s="198"/>
      <c r="C13" s="199" t="s">
        <v>1663</v>
      </c>
      <c r="D13" s="193">
        <f>D14</f>
        <v>0</v>
      </c>
      <c r="E13" s="193"/>
      <c r="F13" s="193">
        <f t="shared" ref="F13:F20" si="3">D13+E13</f>
        <v>0</v>
      </c>
      <c r="G13" s="193"/>
      <c r="H13" s="193"/>
      <c r="I13" s="193" t="e">
        <f>D13+G13+#REF!+#REF!+#REF!+#REF!</f>
        <v>#REF!</v>
      </c>
      <c r="J13" s="193"/>
      <c r="K13" s="193" t="e">
        <f t="shared" si="2"/>
        <v>#REF!</v>
      </c>
      <c r="L13" s="210" t="e">
        <f t="shared" si="0"/>
        <v>#REF!</v>
      </c>
      <c r="M13" s="211" t="s">
        <v>1649</v>
      </c>
    </row>
    <row r="14" s="172" customFormat="1" hidden="1" customHeight="1" spans="1:13">
      <c r="A14" s="191">
        <v>2079901</v>
      </c>
      <c r="B14" s="198"/>
      <c r="C14" s="199" t="s">
        <v>1664</v>
      </c>
      <c r="D14" s="193"/>
      <c r="E14" s="193"/>
      <c r="F14" s="193">
        <f t="shared" si="3"/>
        <v>0</v>
      </c>
      <c r="G14" s="193"/>
      <c r="H14" s="193"/>
      <c r="I14" s="193" t="e">
        <f>D14+G14+#REF!+#REF!+#REF!+#REF!</f>
        <v>#REF!</v>
      </c>
      <c r="J14" s="193"/>
      <c r="K14" s="193" t="e">
        <f t="shared" si="2"/>
        <v>#REF!</v>
      </c>
      <c r="L14" s="210" t="e">
        <f t="shared" si="0"/>
        <v>#REF!</v>
      </c>
      <c r="M14" s="211" t="s">
        <v>1649</v>
      </c>
    </row>
    <row r="15" s="172" customFormat="1" hidden="1" customHeight="1" spans="1:13">
      <c r="A15" s="191" t="s">
        <v>1665</v>
      </c>
      <c r="B15" s="198"/>
      <c r="C15" s="199" t="s">
        <v>1666</v>
      </c>
      <c r="D15" s="193"/>
      <c r="E15" s="193"/>
      <c r="F15" s="193">
        <f t="shared" si="3"/>
        <v>0</v>
      </c>
      <c r="G15" s="193"/>
      <c r="H15" s="193"/>
      <c r="I15" s="193" t="e">
        <f>D15+G15+#REF!+#REF!+#REF!+#REF!</f>
        <v>#REF!</v>
      </c>
      <c r="J15" s="193"/>
      <c r="K15" s="193" t="e">
        <f t="shared" si="2"/>
        <v>#REF!</v>
      </c>
      <c r="L15" s="210" t="e">
        <f t="shared" si="0"/>
        <v>#REF!</v>
      </c>
      <c r="M15" s="211" t="s">
        <v>1649</v>
      </c>
    </row>
    <row r="16" s="172" customFormat="1" hidden="1" customHeight="1" spans="1:13">
      <c r="A16" s="191" t="s">
        <v>1667</v>
      </c>
      <c r="B16" s="198"/>
      <c r="C16" s="199" t="s">
        <v>1668</v>
      </c>
      <c r="D16" s="193"/>
      <c r="E16" s="193"/>
      <c r="F16" s="193">
        <f t="shared" si="3"/>
        <v>0</v>
      </c>
      <c r="G16" s="193"/>
      <c r="H16" s="193"/>
      <c r="I16" s="193" t="e">
        <f>D16+G16+#REF!+#REF!+#REF!+#REF!</f>
        <v>#REF!</v>
      </c>
      <c r="J16" s="193"/>
      <c r="K16" s="193" t="e">
        <f t="shared" si="2"/>
        <v>#REF!</v>
      </c>
      <c r="L16" s="210" t="e">
        <f t="shared" si="0"/>
        <v>#REF!</v>
      </c>
      <c r="M16" s="211" t="s">
        <v>1649</v>
      </c>
    </row>
    <row r="17" s="172" customFormat="1" hidden="1" customHeight="1" spans="1:13">
      <c r="A17" s="191">
        <v>2081107</v>
      </c>
      <c r="B17" s="198"/>
      <c r="C17" s="199" t="s">
        <v>1669</v>
      </c>
      <c r="D17" s="193"/>
      <c r="E17" s="193"/>
      <c r="F17" s="193">
        <f t="shared" si="3"/>
        <v>0</v>
      </c>
      <c r="G17" s="193"/>
      <c r="H17" s="193"/>
      <c r="I17" s="193" t="e">
        <f>D17+G17+#REF!+#REF!+#REF!+#REF!</f>
        <v>#REF!</v>
      </c>
      <c r="J17" s="193"/>
      <c r="K17" s="193" t="e">
        <f t="shared" si="2"/>
        <v>#REF!</v>
      </c>
      <c r="L17" s="210" t="e">
        <f t="shared" si="0"/>
        <v>#REF!</v>
      </c>
      <c r="M17" s="211" t="s">
        <v>1649</v>
      </c>
    </row>
    <row r="18" s="172" customFormat="1" hidden="1" customHeight="1" spans="1:13">
      <c r="A18" s="191">
        <v>2081199</v>
      </c>
      <c r="B18" s="198"/>
      <c r="C18" s="199" t="s">
        <v>1670</v>
      </c>
      <c r="D18" s="193"/>
      <c r="E18" s="193"/>
      <c r="F18" s="193">
        <f t="shared" si="3"/>
        <v>0</v>
      </c>
      <c r="G18" s="193"/>
      <c r="H18" s="193"/>
      <c r="I18" s="193" t="e">
        <f>D18+G18+#REF!+#REF!+#REF!+#REF!</f>
        <v>#REF!</v>
      </c>
      <c r="J18" s="193"/>
      <c r="K18" s="193" t="e">
        <f t="shared" si="2"/>
        <v>#REF!</v>
      </c>
      <c r="L18" s="210" t="e">
        <f t="shared" si="0"/>
        <v>#REF!</v>
      </c>
      <c r="M18" s="211" t="s">
        <v>1649</v>
      </c>
    </row>
    <row r="19" s="172" customFormat="1" hidden="1" customHeight="1" spans="1:13">
      <c r="A19" s="191" t="s">
        <v>1671</v>
      </c>
      <c r="B19" s="198"/>
      <c r="C19" s="199" t="s">
        <v>1672</v>
      </c>
      <c r="D19" s="193"/>
      <c r="E19" s="193"/>
      <c r="F19" s="193">
        <f t="shared" si="3"/>
        <v>0</v>
      </c>
      <c r="G19" s="193"/>
      <c r="H19" s="193"/>
      <c r="I19" s="193" t="e">
        <f>D19+G19+#REF!+#REF!+#REF!+#REF!</f>
        <v>#REF!</v>
      </c>
      <c r="J19" s="193"/>
      <c r="K19" s="193" t="e">
        <f t="shared" si="2"/>
        <v>#REF!</v>
      </c>
      <c r="L19" s="210" t="e">
        <f t="shared" si="0"/>
        <v>#REF!</v>
      </c>
      <c r="M19" s="211" t="s">
        <v>1649</v>
      </c>
    </row>
    <row r="20" s="172" customFormat="1" hidden="1" customHeight="1" spans="1:13">
      <c r="A20" s="191">
        <v>2086099</v>
      </c>
      <c r="B20" s="198"/>
      <c r="C20" s="199" t="s">
        <v>1673</v>
      </c>
      <c r="D20" s="193"/>
      <c r="E20" s="193"/>
      <c r="F20" s="193">
        <f t="shared" si="3"/>
        <v>0</v>
      </c>
      <c r="G20" s="193"/>
      <c r="H20" s="193"/>
      <c r="I20" s="193" t="e">
        <f>D20+G20+#REF!+#REF!+#REF!+#REF!</f>
        <v>#REF!</v>
      </c>
      <c r="J20" s="193"/>
      <c r="K20" s="193" t="e">
        <f t="shared" si="2"/>
        <v>#REF!</v>
      </c>
      <c r="L20" s="210" t="e">
        <f t="shared" si="0"/>
        <v>#REF!</v>
      </c>
      <c r="M20" s="211" t="s">
        <v>1649</v>
      </c>
    </row>
    <row r="21" s="171" customFormat="1" customHeight="1" spans="1:13">
      <c r="A21" s="194" t="s">
        <v>1674</v>
      </c>
      <c r="B21" s="195"/>
      <c r="C21" s="196" t="s">
        <v>1675</v>
      </c>
      <c r="D21" s="197">
        <v>79126.443</v>
      </c>
      <c r="E21" s="197">
        <v>6671</v>
      </c>
      <c r="F21" s="197">
        <v>85797.443</v>
      </c>
      <c r="G21" s="197">
        <f t="shared" ref="G21:G84" si="4">I21-D21</f>
        <v>-67871.773</v>
      </c>
      <c r="H21" s="197">
        <f t="shared" ref="H21:H75" si="5">J21-E21</f>
        <v>-6004.08</v>
      </c>
      <c r="I21" s="197">
        <f>I24+I45+I49</f>
        <v>11254.67</v>
      </c>
      <c r="J21" s="197">
        <f>+J22+J24+J37+J41+J45+J46+J49</f>
        <v>666.92</v>
      </c>
      <c r="K21" s="197">
        <f t="shared" si="2"/>
        <v>11921.59</v>
      </c>
      <c r="L21" s="212">
        <f t="shared" si="0"/>
        <v>-86.1049588622356</v>
      </c>
      <c r="M21" s="214"/>
    </row>
    <row r="22" s="172" customFormat="1" hidden="1" customHeight="1" spans="1:13">
      <c r="A22" s="191" t="s">
        <v>1676</v>
      </c>
      <c r="B22" s="198"/>
      <c r="C22" s="199" t="s">
        <v>1677</v>
      </c>
      <c r="D22" s="193"/>
      <c r="E22" s="193"/>
      <c r="F22" s="193">
        <f>D22+E22</f>
        <v>0</v>
      </c>
      <c r="G22" s="193" t="e">
        <f t="shared" si="4"/>
        <v>#REF!</v>
      </c>
      <c r="H22" s="193">
        <f t="shared" si="5"/>
        <v>0</v>
      </c>
      <c r="I22" s="193" t="e">
        <f>#REF!+#REF!</f>
        <v>#REF!</v>
      </c>
      <c r="J22" s="193"/>
      <c r="K22" s="193" t="e">
        <f t="shared" si="2"/>
        <v>#REF!</v>
      </c>
      <c r="L22" s="210" t="e">
        <f t="shared" si="0"/>
        <v>#REF!</v>
      </c>
      <c r="M22" s="211" t="s">
        <v>1649</v>
      </c>
    </row>
    <row r="23" s="172" customFormat="1" hidden="1" customHeight="1" spans="1:13">
      <c r="A23" s="191">
        <v>2120705</v>
      </c>
      <c r="B23" s="198"/>
      <c r="C23" s="199" t="s">
        <v>1678</v>
      </c>
      <c r="D23" s="193"/>
      <c r="E23" s="193"/>
      <c r="F23" s="193">
        <f>D23+E23</f>
        <v>0</v>
      </c>
      <c r="G23" s="193" t="e">
        <f t="shared" si="4"/>
        <v>#REF!</v>
      </c>
      <c r="H23" s="193">
        <f t="shared" si="5"/>
        <v>0</v>
      </c>
      <c r="I23" s="193" t="e">
        <f>#REF!+#REF!</f>
        <v>#REF!</v>
      </c>
      <c r="J23" s="193"/>
      <c r="K23" s="193" t="e">
        <f t="shared" si="2"/>
        <v>#REF!</v>
      </c>
      <c r="L23" s="210" t="e">
        <f t="shared" si="0"/>
        <v>#REF!</v>
      </c>
      <c r="M23" s="211" t="s">
        <v>1649</v>
      </c>
    </row>
    <row r="24" s="171" customFormat="1" customHeight="1" spans="1:13">
      <c r="A24" s="194" t="s">
        <v>1679</v>
      </c>
      <c r="B24" s="195"/>
      <c r="C24" s="196" t="s">
        <v>1680</v>
      </c>
      <c r="D24" s="197">
        <v>68961.403</v>
      </c>
      <c r="E24" s="197">
        <v>6671</v>
      </c>
      <c r="F24" s="197">
        <v>75632.403</v>
      </c>
      <c r="G24" s="197">
        <f t="shared" si="4"/>
        <v>-61130.093</v>
      </c>
      <c r="H24" s="197">
        <f t="shared" si="5"/>
        <v>-6004.08</v>
      </c>
      <c r="I24" s="197">
        <f>I25+I26+I27+I28+I30+I34+I36</f>
        <v>7831.31</v>
      </c>
      <c r="J24" s="197">
        <f>+J25+J26+J27+J28+J29+J30+J31+J32+J33+J34+J35+J36</f>
        <v>666.92</v>
      </c>
      <c r="K24" s="197">
        <f t="shared" si="2"/>
        <v>8498.23</v>
      </c>
      <c r="L24" s="212">
        <f t="shared" si="0"/>
        <v>-88.7637709990518</v>
      </c>
      <c r="M24" s="215"/>
    </row>
    <row r="25" s="171" customFormat="1" ht="21" customHeight="1" spans="1:13">
      <c r="A25" s="194">
        <v>2120801</v>
      </c>
      <c r="B25" s="195"/>
      <c r="C25" s="200" t="s">
        <v>1681</v>
      </c>
      <c r="D25" s="201">
        <v>8089.3</v>
      </c>
      <c r="E25" s="202"/>
      <c r="F25" s="197">
        <v>8089.3</v>
      </c>
      <c r="G25" s="197">
        <f t="shared" si="4"/>
        <v>-7290.2</v>
      </c>
      <c r="H25" s="197">
        <f t="shared" si="5"/>
        <v>0</v>
      </c>
      <c r="I25" s="197">
        <f>1509.1-710</f>
        <v>799.1</v>
      </c>
      <c r="J25" s="197"/>
      <c r="K25" s="197">
        <f t="shared" si="2"/>
        <v>799.1</v>
      </c>
      <c r="L25" s="212">
        <f t="shared" si="0"/>
        <v>-90.1215185491946</v>
      </c>
      <c r="M25" s="214"/>
    </row>
    <row r="26" s="171" customFormat="1" customHeight="1" spans="1:13">
      <c r="A26" s="194">
        <v>2120802</v>
      </c>
      <c r="B26" s="195"/>
      <c r="C26" s="200" t="s">
        <v>1682</v>
      </c>
      <c r="D26" s="201">
        <v>12903.519</v>
      </c>
      <c r="E26" s="202"/>
      <c r="F26" s="197">
        <v>12903.519</v>
      </c>
      <c r="G26" s="197">
        <f t="shared" si="4"/>
        <v>-12381.519</v>
      </c>
      <c r="H26" s="197">
        <f t="shared" si="5"/>
        <v>0</v>
      </c>
      <c r="I26" s="197">
        <f>2062+40+236-1816</f>
        <v>522</v>
      </c>
      <c r="J26" s="197"/>
      <c r="K26" s="197">
        <f t="shared" si="2"/>
        <v>522</v>
      </c>
      <c r="L26" s="212">
        <f t="shared" si="0"/>
        <v>-95.9545919217851</v>
      </c>
      <c r="M26" s="214"/>
    </row>
    <row r="27" s="171" customFormat="1" customHeight="1" spans="1:13">
      <c r="A27" s="194">
        <v>2120803</v>
      </c>
      <c r="B27" s="195"/>
      <c r="C27" s="196" t="s">
        <v>1683</v>
      </c>
      <c r="D27" s="201">
        <v>22795.42</v>
      </c>
      <c r="E27" s="202"/>
      <c r="F27" s="197">
        <v>22795.42</v>
      </c>
      <c r="G27" s="197">
        <f t="shared" si="4"/>
        <v>-20677.24</v>
      </c>
      <c r="H27" s="197">
        <f t="shared" si="5"/>
        <v>666.92</v>
      </c>
      <c r="I27" s="197">
        <f>6545.18+164-4591</f>
        <v>2118.18</v>
      </c>
      <c r="J27" s="197">
        <v>666.92</v>
      </c>
      <c r="K27" s="197">
        <f t="shared" si="2"/>
        <v>2785.1</v>
      </c>
      <c r="L27" s="212">
        <f t="shared" si="0"/>
        <v>-87.782194844403</v>
      </c>
      <c r="M27" s="214"/>
    </row>
    <row r="28" s="171" customFormat="1" customHeight="1" spans="1:13">
      <c r="A28" s="194" t="s">
        <v>1684</v>
      </c>
      <c r="B28" s="195"/>
      <c r="C28" s="200" t="s">
        <v>1685</v>
      </c>
      <c r="D28" s="201">
        <v>5893.17</v>
      </c>
      <c r="E28" s="201">
        <v>1570</v>
      </c>
      <c r="F28" s="197">
        <v>7463.17</v>
      </c>
      <c r="G28" s="197">
        <f t="shared" si="4"/>
        <v>-3081.32</v>
      </c>
      <c r="H28" s="197">
        <f t="shared" si="5"/>
        <v>-1570</v>
      </c>
      <c r="I28" s="197">
        <f>3589.85-778</f>
        <v>2811.85</v>
      </c>
      <c r="J28" s="197"/>
      <c r="K28" s="197">
        <f t="shared" si="2"/>
        <v>2811.85</v>
      </c>
      <c r="L28" s="212">
        <f t="shared" si="0"/>
        <v>-62.3236506739093</v>
      </c>
      <c r="M28" s="214"/>
    </row>
    <row r="29" s="172" customFormat="1" hidden="1" customHeight="1" spans="1:13">
      <c r="A29" s="191">
        <v>2120805</v>
      </c>
      <c r="B29" s="198"/>
      <c r="C29" s="199" t="s">
        <v>1686</v>
      </c>
      <c r="D29" s="203"/>
      <c r="E29" s="204"/>
      <c r="F29" s="193">
        <f t="shared" ref="F29:F33" si="6">D29+E29</f>
        <v>0</v>
      </c>
      <c r="G29" s="193" t="e">
        <f t="shared" si="4"/>
        <v>#REF!</v>
      </c>
      <c r="H29" s="193">
        <f t="shared" si="5"/>
        <v>0</v>
      </c>
      <c r="I29" s="193" t="e">
        <f>#REF!+#REF!</f>
        <v>#REF!</v>
      </c>
      <c r="J29" s="193"/>
      <c r="K29" s="193" t="e">
        <f t="shared" si="2"/>
        <v>#REF!</v>
      </c>
      <c r="L29" s="210" t="e">
        <f t="shared" si="0"/>
        <v>#REF!</v>
      </c>
      <c r="M29" s="211" t="s">
        <v>1649</v>
      </c>
    </row>
    <row r="30" s="171" customFormat="1" customHeight="1" spans="1:13">
      <c r="A30" s="194">
        <v>2120806</v>
      </c>
      <c r="B30" s="195"/>
      <c r="C30" s="200" t="s">
        <v>1687</v>
      </c>
      <c r="D30" s="201">
        <v>1665.244</v>
      </c>
      <c r="E30" s="202"/>
      <c r="F30" s="197">
        <v>1665.244</v>
      </c>
      <c r="G30" s="197">
        <f t="shared" si="4"/>
        <v>-627.654</v>
      </c>
      <c r="H30" s="197">
        <f t="shared" si="5"/>
        <v>0</v>
      </c>
      <c r="I30" s="197">
        <v>1037.59</v>
      </c>
      <c r="J30" s="197"/>
      <c r="K30" s="197">
        <f t="shared" si="2"/>
        <v>1037.59</v>
      </c>
      <c r="L30" s="212">
        <f t="shared" si="0"/>
        <v>-37.6914133904701</v>
      </c>
      <c r="M30" s="214"/>
    </row>
    <row r="31" s="172" customFormat="1" hidden="1" customHeight="1" spans="1:13">
      <c r="A31" s="191">
        <v>2120807</v>
      </c>
      <c r="B31" s="198"/>
      <c r="C31" s="205" t="s">
        <v>1688</v>
      </c>
      <c r="D31" s="204"/>
      <c r="E31" s="204"/>
      <c r="F31" s="193">
        <f t="shared" si="6"/>
        <v>0</v>
      </c>
      <c r="G31" s="193" t="e">
        <f t="shared" si="4"/>
        <v>#REF!</v>
      </c>
      <c r="H31" s="193">
        <f t="shared" si="5"/>
        <v>0</v>
      </c>
      <c r="I31" s="193" t="e">
        <f>#REF!+#REF!</f>
        <v>#REF!</v>
      </c>
      <c r="J31" s="193"/>
      <c r="K31" s="193" t="e">
        <f t="shared" si="2"/>
        <v>#REF!</v>
      </c>
      <c r="L31" s="210" t="e">
        <f t="shared" si="0"/>
        <v>#REF!</v>
      </c>
      <c r="M31" s="211" t="s">
        <v>1649</v>
      </c>
    </row>
    <row r="32" s="172" customFormat="1" hidden="1" customHeight="1" spans="1:13">
      <c r="A32" s="191">
        <v>2120808</v>
      </c>
      <c r="B32" s="198"/>
      <c r="C32" s="199" t="s">
        <v>1689</v>
      </c>
      <c r="D32" s="204"/>
      <c r="E32" s="204"/>
      <c r="F32" s="193">
        <f t="shared" si="6"/>
        <v>0</v>
      </c>
      <c r="G32" s="193" t="e">
        <f t="shared" si="4"/>
        <v>#REF!</v>
      </c>
      <c r="H32" s="193">
        <f t="shared" si="5"/>
        <v>0</v>
      </c>
      <c r="I32" s="193" t="e">
        <f>#REF!+#REF!</f>
        <v>#REF!</v>
      </c>
      <c r="J32" s="193"/>
      <c r="K32" s="193" t="e">
        <f t="shared" si="2"/>
        <v>#REF!</v>
      </c>
      <c r="L32" s="210" t="e">
        <f t="shared" si="0"/>
        <v>#REF!</v>
      </c>
      <c r="M32" s="211" t="s">
        <v>1649</v>
      </c>
    </row>
    <row r="33" s="172" customFormat="1" hidden="1" customHeight="1" spans="1:13">
      <c r="A33" s="191" t="s">
        <v>1690</v>
      </c>
      <c r="B33" s="198"/>
      <c r="C33" s="199" t="s">
        <v>1691</v>
      </c>
      <c r="D33" s="204"/>
      <c r="E33" s="204"/>
      <c r="F33" s="193">
        <f t="shared" si="6"/>
        <v>0</v>
      </c>
      <c r="G33" s="193" t="e">
        <f t="shared" si="4"/>
        <v>#REF!</v>
      </c>
      <c r="H33" s="193">
        <f t="shared" si="5"/>
        <v>0</v>
      </c>
      <c r="I33" s="193" t="e">
        <f>#REF!+#REF!</f>
        <v>#REF!</v>
      </c>
      <c r="J33" s="193"/>
      <c r="K33" s="193" t="e">
        <f t="shared" si="2"/>
        <v>#REF!</v>
      </c>
      <c r="L33" s="210" t="e">
        <f t="shared" si="0"/>
        <v>#REF!</v>
      </c>
      <c r="M33" s="211" t="s">
        <v>1649</v>
      </c>
    </row>
    <row r="34" s="171" customFormat="1" customHeight="1" spans="1:13">
      <c r="A34" s="194">
        <v>2120811</v>
      </c>
      <c r="B34" s="195"/>
      <c r="C34" s="196" t="s">
        <v>1692</v>
      </c>
      <c r="D34" s="201">
        <v>192.02</v>
      </c>
      <c r="E34" s="202"/>
      <c r="F34" s="197">
        <v>192.02</v>
      </c>
      <c r="G34" s="197">
        <f t="shared" si="4"/>
        <v>-139.02</v>
      </c>
      <c r="H34" s="197">
        <f t="shared" si="5"/>
        <v>0</v>
      </c>
      <c r="I34" s="197">
        <v>53</v>
      </c>
      <c r="J34" s="197"/>
      <c r="K34" s="197">
        <f t="shared" si="2"/>
        <v>53</v>
      </c>
      <c r="L34" s="212">
        <f t="shared" si="0"/>
        <v>-72.3987084678679</v>
      </c>
      <c r="M34" s="214"/>
    </row>
    <row r="35" s="172" customFormat="1" hidden="1" customHeight="1" spans="1:13">
      <c r="A35" s="191">
        <v>2120812</v>
      </c>
      <c r="B35" s="198"/>
      <c r="C35" s="199" t="s">
        <v>1693</v>
      </c>
      <c r="D35" s="204"/>
      <c r="E35" s="204"/>
      <c r="F35" s="193">
        <f t="shared" ref="F35:F44" si="7">D35+E35</f>
        <v>0</v>
      </c>
      <c r="G35" s="193" t="e">
        <f t="shared" si="4"/>
        <v>#REF!</v>
      </c>
      <c r="H35" s="193">
        <f t="shared" si="5"/>
        <v>0</v>
      </c>
      <c r="I35" s="193" t="e">
        <f>#REF!+#REF!</f>
        <v>#REF!</v>
      </c>
      <c r="J35" s="193"/>
      <c r="K35" s="193" t="e">
        <f t="shared" si="2"/>
        <v>#REF!</v>
      </c>
      <c r="L35" s="210" t="e">
        <f t="shared" si="0"/>
        <v>#REF!</v>
      </c>
      <c r="M35" s="211" t="s">
        <v>1649</v>
      </c>
    </row>
    <row r="36" s="171" customFormat="1" customHeight="1" spans="1:13">
      <c r="A36" s="194">
        <v>2120899</v>
      </c>
      <c r="B36" s="195"/>
      <c r="C36" s="196" t="s">
        <v>1694</v>
      </c>
      <c r="D36" s="201">
        <v>17422.73</v>
      </c>
      <c r="E36" s="201">
        <v>5101</v>
      </c>
      <c r="F36" s="197">
        <v>22523.73</v>
      </c>
      <c r="G36" s="197">
        <f t="shared" si="4"/>
        <v>-16933.14</v>
      </c>
      <c r="H36" s="197">
        <f t="shared" si="5"/>
        <v>-5101</v>
      </c>
      <c r="I36" s="197">
        <f>1337.59-848</f>
        <v>489.59</v>
      </c>
      <c r="J36" s="197"/>
      <c r="K36" s="197">
        <f t="shared" si="2"/>
        <v>489.59</v>
      </c>
      <c r="L36" s="212">
        <f t="shared" si="0"/>
        <v>-97.8263369344243</v>
      </c>
      <c r="M36" s="214"/>
    </row>
    <row r="37" s="172" customFormat="1" hidden="1" customHeight="1" spans="1:13">
      <c r="A37" s="191" t="s">
        <v>1695</v>
      </c>
      <c r="B37" s="198"/>
      <c r="C37" s="199" t="s">
        <v>1696</v>
      </c>
      <c r="D37" s="193"/>
      <c r="E37" s="193"/>
      <c r="F37" s="193">
        <f t="shared" si="7"/>
        <v>0</v>
      </c>
      <c r="G37" s="193" t="e">
        <f t="shared" si="4"/>
        <v>#REF!</v>
      </c>
      <c r="H37" s="193">
        <f t="shared" si="5"/>
        <v>0</v>
      </c>
      <c r="I37" s="193" t="e">
        <f>#REF!+#REF!</f>
        <v>#REF!</v>
      </c>
      <c r="J37" s="193"/>
      <c r="K37" s="193" t="e">
        <f t="shared" si="2"/>
        <v>#REF!</v>
      </c>
      <c r="L37" s="210" t="e">
        <f t="shared" si="0"/>
        <v>#REF!</v>
      </c>
      <c r="M37" s="211" t="s">
        <v>1649</v>
      </c>
    </row>
    <row r="38" s="172" customFormat="1" hidden="1" customHeight="1" spans="1:13">
      <c r="A38" s="191" t="s">
        <v>1697</v>
      </c>
      <c r="B38" s="198"/>
      <c r="C38" s="199" t="s">
        <v>1698</v>
      </c>
      <c r="D38" s="204"/>
      <c r="E38" s="204"/>
      <c r="F38" s="193">
        <f t="shared" si="7"/>
        <v>0</v>
      </c>
      <c r="G38" s="193" t="e">
        <f t="shared" si="4"/>
        <v>#REF!</v>
      </c>
      <c r="H38" s="193">
        <f t="shared" si="5"/>
        <v>0</v>
      </c>
      <c r="I38" s="193" t="e">
        <f>#REF!+#REF!</f>
        <v>#REF!</v>
      </c>
      <c r="J38" s="193"/>
      <c r="K38" s="193" t="e">
        <f t="shared" si="2"/>
        <v>#REF!</v>
      </c>
      <c r="L38" s="210" t="e">
        <f t="shared" si="0"/>
        <v>#REF!</v>
      </c>
      <c r="M38" s="211" t="s">
        <v>1649</v>
      </c>
    </row>
    <row r="39" s="172" customFormat="1" hidden="1" customHeight="1" spans="1:13">
      <c r="A39" s="191" t="s">
        <v>1699</v>
      </c>
      <c r="B39" s="198"/>
      <c r="C39" s="199" t="s">
        <v>1700</v>
      </c>
      <c r="D39" s="204"/>
      <c r="E39" s="204"/>
      <c r="F39" s="193">
        <f t="shared" si="7"/>
        <v>0</v>
      </c>
      <c r="G39" s="193" t="e">
        <f t="shared" si="4"/>
        <v>#REF!</v>
      </c>
      <c r="H39" s="193">
        <f t="shared" si="5"/>
        <v>0</v>
      </c>
      <c r="I39" s="193" t="e">
        <f>#REF!+#REF!</f>
        <v>#REF!</v>
      </c>
      <c r="J39" s="193"/>
      <c r="K39" s="193" t="e">
        <f t="shared" si="2"/>
        <v>#REF!</v>
      </c>
      <c r="L39" s="210" t="e">
        <f t="shared" si="0"/>
        <v>#REF!</v>
      </c>
      <c r="M39" s="211" t="s">
        <v>1649</v>
      </c>
    </row>
    <row r="40" s="172" customFormat="1" hidden="1" customHeight="1" spans="1:13">
      <c r="A40" s="191">
        <v>2120999</v>
      </c>
      <c r="B40" s="198"/>
      <c r="C40" s="199" t="s">
        <v>1701</v>
      </c>
      <c r="D40" s="204"/>
      <c r="E40" s="204"/>
      <c r="F40" s="193">
        <f t="shared" si="7"/>
        <v>0</v>
      </c>
      <c r="G40" s="193" t="e">
        <f t="shared" si="4"/>
        <v>#REF!</v>
      </c>
      <c r="H40" s="193">
        <f t="shared" si="5"/>
        <v>0</v>
      </c>
      <c r="I40" s="193" t="e">
        <f>#REF!+#REF!</f>
        <v>#REF!</v>
      </c>
      <c r="J40" s="193"/>
      <c r="K40" s="193" t="e">
        <f t="shared" si="2"/>
        <v>#REF!</v>
      </c>
      <c r="L40" s="210" t="e">
        <f t="shared" si="0"/>
        <v>#REF!</v>
      </c>
      <c r="M40" s="211" t="s">
        <v>1649</v>
      </c>
    </row>
    <row r="41" s="172" customFormat="1" hidden="1" customHeight="1" spans="1:13">
      <c r="A41" s="191" t="s">
        <v>1702</v>
      </c>
      <c r="B41" s="198"/>
      <c r="C41" s="199" t="s">
        <v>1703</v>
      </c>
      <c r="D41" s="203"/>
      <c r="E41" s="193"/>
      <c r="F41" s="193">
        <f t="shared" si="7"/>
        <v>0</v>
      </c>
      <c r="G41" s="193" t="e">
        <f t="shared" si="4"/>
        <v>#REF!</v>
      </c>
      <c r="H41" s="193">
        <f t="shared" si="5"/>
        <v>0</v>
      </c>
      <c r="I41" s="193" t="e">
        <f>#REF!+#REF!</f>
        <v>#REF!</v>
      </c>
      <c r="J41" s="193"/>
      <c r="K41" s="193" t="e">
        <f t="shared" si="2"/>
        <v>#REF!</v>
      </c>
      <c r="L41" s="210" t="e">
        <f t="shared" si="0"/>
        <v>#REF!</v>
      </c>
      <c r="M41" s="211" t="s">
        <v>1649</v>
      </c>
    </row>
    <row r="42" s="172" customFormat="1" hidden="1" customHeight="1" spans="1:13">
      <c r="A42" s="191">
        <v>2121001</v>
      </c>
      <c r="B42" s="198"/>
      <c r="C42" s="199" t="s">
        <v>1704</v>
      </c>
      <c r="D42" s="204"/>
      <c r="E42" s="204"/>
      <c r="F42" s="193">
        <f t="shared" si="7"/>
        <v>0</v>
      </c>
      <c r="G42" s="193" t="e">
        <f t="shared" si="4"/>
        <v>#REF!</v>
      </c>
      <c r="H42" s="193">
        <f t="shared" si="5"/>
        <v>0</v>
      </c>
      <c r="I42" s="193" t="e">
        <f>#REF!+#REF!</f>
        <v>#REF!</v>
      </c>
      <c r="J42" s="193"/>
      <c r="K42" s="193" t="e">
        <f t="shared" si="2"/>
        <v>#REF!</v>
      </c>
      <c r="L42" s="210" t="e">
        <f t="shared" si="0"/>
        <v>#REF!</v>
      </c>
      <c r="M42" s="211" t="s">
        <v>1649</v>
      </c>
    </row>
    <row r="43" s="172" customFormat="1" hidden="1" customHeight="1" spans="1:13">
      <c r="A43" s="191">
        <v>2121002</v>
      </c>
      <c r="B43" s="198"/>
      <c r="C43" s="199" t="s">
        <v>1705</v>
      </c>
      <c r="D43" s="203"/>
      <c r="E43" s="204"/>
      <c r="F43" s="193">
        <f t="shared" si="7"/>
        <v>0</v>
      </c>
      <c r="G43" s="193" t="e">
        <f t="shared" si="4"/>
        <v>#REF!</v>
      </c>
      <c r="H43" s="193">
        <f t="shared" si="5"/>
        <v>0</v>
      </c>
      <c r="I43" s="193" t="e">
        <f>#REF!+#REF!</f>
        <v>#REF!</v>
      </c>
      <c r="J43" s="193"/>
      <c r="K43" s="193" t="e">
        <f t="shared" si="2"/>
        <v>#REF!</v>
      </c>
      <c r="L43" s="210" t="e">
        <f t="shared" si="0"/>
        <v>#REF!</v>
      </c>
      <c r="M43" s="211" t="s">
        <v>1649</v>
      </c>
    </row>
    <row r="44" s="172" customFormat="1" hidden="1" customHeight="1" spans="1:13">
      <c r="A44" s="191">
        <v>2121099</v>
      </c>
      <c r="B44" s="198"/>
      <c r="C44" s="199" t="s">
        <v>1706</v>
      </c>
      <c r="D44" s="204"/>
      <c r="E44" s="204"/>
      <c r="F44" s="193">
        <f t="shared" si="7"/>
        <v>0</v>
      </c>
      <c r="G44" s="193" t="e">
        <f t="shared" si="4"/>
        <v>#REF!</v>
      </c>
      <c r="H44" s="193">
        <f t="shared" si="5"/>
        <v>0</v>
      </c>
      <c r="I44" s="193" t="e">
        <f>#REF!+#REF!</f>
        <v>#REF!</v>
      </c>
      <c r="J44" s="193"/>
      <c r="K44" s="193" t="e">
        <f t="shared" si="2"/>
        <v>#REF!</v>
      </c>
      <c r="L44" s="210" t="e">
        <f t="shared" si="0"/>
        <v>#REF!</v>
      </c>
      <c r="M44" s="211" t="s">
        <v>1649</v>
      </c>
    </row>
    <row r="45" s="171" customFormat="1" customHeight="1" spans="1:13">
      <c r="A45" s="194" t="s">
        <v>1707</v>
      </c>
      <c r="B45" s="195"/>
      <c r="C45" s="196" t="s">
        <v>1708</v>
      </c>
      <c r="D45" s="201">
        <v>219.08</v>
      </c>
      <c r="E45" s="202"/>
      <c r="F45" s="197">
        <v>219.08</v>
      </c>
      <c r="G45" s="197">
        <f t="shared" si="4"/>
        <v>-162.84</v>
      </c>
      <c r="H45" s="197">
        <f t="shared" si="5"/>
        <v>0</v>
      </c>
      <c r="I45" s="197">
        <v>56.24</v>
      </c>
      <c r="J45" s="197"/>
      <c r="K45" s="197">
        <f t="shared" si="2"/>
        <v>56.24</v>
      </c>
      <c r="L45" s="212">
        <f t="shared" si="0"/>
        <v>-74.3290122329743</v>
      </c>
      <c r="M45" s="214"/>
    </row>
    <row r="46" s="172" customFormat="1" hidden="1" customHeight="1" spans="1:13">
      <c r="A46" s="191" t="s">
        <v>1709</v>
      </c>
      <c r="B46" s="198"/>
      <c r="C46" s="199" t="s">
        <v>1710</v>
      </c>
      <c r="D46" s="204"/>
      <c r="E46" s="193"/>
      <c r="F46" s="193">
        <f t="shared" ref="F46:F48" si="8">D46+E46</f>
        <v>0</v>
      </c>
      <c r="G46" s="193" t="e">
        <f t="shared" si="4"/>
        <v>#REF!</v>
      </c>
      <c r="H46" s="193">
        <f t="shared" si="5"/>
        <v>0</v>
      </c>
      <c r="I46" s="193" t="e">
        <f>#REF!+#REF!</f>
        <v>#REF!</v>
      </c>
      <c r="J46" s="193"/>
      <c r="K46" s="193" t="e">
        <f t="shared" si="2"/>
        <v>#REF!</v>
      </c>
      <c r="L46" s="210" t="e">
        <f t="shared" si="0"/>
        <v>#REF!</v>
      </c>
      <c r="M46" s="211" t="s">
        <v>1649</v>
      </c>
    </row>
    <row r="47" s="172" customFormat="1" hidden="1" customHeight="1" spans="1:13">
      <c r="A47" s="191">
        <v>2121202</v>
      </c>
      <c r="B47" s="198"/>
      <c r="C47" s="199" t="s">
        <v>1711</v>
      </c>
      <c r="D47" s="204"/>
      <c r="E47" s="204"/>
      <c r="F47" s="193">
        <f t="shared" si="8"/>
        <v>0</v>
      </c>
      <c r="G47" s="193" t="e">
        <f t="shared" si="4"/>
        <v>#REF!</v>
      </c>
      <c r="H47" s="193">
        <f t="shared" si="5"/>
        <v>0</v>
      </c>
      <c r="I47" s="193" t="e">
        <f>#REF!+#REF!</f>
        <v>#REF!</v>
      </c>
      <c r="J47" s="193"/>
      <c r="K47" s="193" t="e">
        <f t="shared" si="2"/>
        <v>#REF!</v>
      </c>
      <c r="L47" s="210" t="e">
        <f t="shared" si="0"/>
        <v>#REF!</v>
      </c>
      <c r="M47" s="211" t="s">
        <v>1649</v>
      </c>
    </row>
    <row r="48" s="172" customFormat="1" hidden="1" customHeight="1" spans="1:13">
      <c r="A48" s="191">
        <v>2121203</v>
      </c>
      <c r="B48" s="198"/>
      <c r="C48" s="199" t="s">
        <v>1712</v>
      </c>
      <c r="D48" s="204"/>
      <c r="E48" s="193"/>
      <c r="F48" s="193">
        <f t="shared" si="8"/>
        <v>0</v>
      </c>
      <c r="G48" s="193" t="e">
        <f t="shared" si="4"/>
        <v>#REF!</v>
      </c>
      <c r="H48" s="193">
        <f t="shared" si="5"/>
        <v>0</v>
      </c>
      <c r="I48" s="193" t="e">
        <f>#REF!+#REF!</f>
        <v>#REF!</v>
      </c>
      <c r="J48" s="193"/>
      <c r="K48" s="193" t="e">
        <f t="shared" si="2"/>
        <v>#REF!</v>
      </c>
      <c r="L48" s="210" t="e">
        <f t="shared" si="0"/>
        <v>#REF!</v>
      </c>
      <c r="M48" s="211" t="s">
        <v>1649</v>
      </c>
    </row>
    <row r="49" s="171" customFormat="1" customHeight="1" spans="1:13">
      <c r="A49" s="194" t="s">
        <v>1713</v>
      </c>
      <c r="B49" s="195"/>
      <c r="C49" s="196" t="s">
        <v>1714</v>
      </c>
      <c r="D49" s="201">
        <v>9945.96</v>
      </c>
      <c r="E49" s="197"/>
      <c r="F49" s="197">
        <v>9945.96</v>
      </c>
      <c r="G49" s="197">
        <f t="shared" si="4"/>
        <v>-6578.84</v>
      </c>
      <c r="H49" s="197">
        <f t="shared" si="5"/>
        <v>0</v>
      </c>
      <c r="I49" s="197">
        <f>I50+I51+I52</f>
        <v>3367.12</v>
      </c>
      <c r="J49" s="197"/>
      <c r="K49" s="197">
        <f t="shared" si="2"/>
        <v>3367.12</v>
      </c>
      <c r="L49" s="212">
        <f t="shared" si="0"/>
        <v>-66.1458521852089</v>
      </c>
      <c r="M49" s="214"/>
    </row>
    <row r="50" s="171" customFormat="1" customHeight="1" spans="1:16">
      <c r="A50" s="194" t="s">
        <v>1715</v>
      </c>
      <c r="B50" s="195"/>
      <c r="C50" s="196" t="s">
        <v>1698</v>
      </c>
      <c r="D50" s="201">
        <v>712</v>
      </c>
      <c r="E50" s="202"/>
      <c r="F50" s="197">
        <v>712</v>
      </c>
      <c r="G50" s="197">
        <f t="shared" si="4"/>
        <v>-689.16</v>
      </c>
      <c r="H50" s="197">
        <f t="shared" si="5"/>
        <v>0</v>
      </c>
      <c r="I50" s="197">
        <f>3682.84-3660</f>
        <v>22.8400000000001</v>
      </c>
      <c r="J50" s="197"/>
      <c r="K50" s="197">
        <f t="shared" si="2"/>
        <v>22.8400000000001</v>
      </c>
      <c r="L50" s="212">
        <f t="shared" si="0"/>
        <v>-96.7921348314607</v>
      </c>
      <c r="M50" s="214"/>
      <c r="P50" s="171" t="s">
        <v>1716</v>
      </c>
    </row>
    <row r="51" s="171" customFormat="1" customHeight="1" spans="1:13">
      <c r="A51" s="194" t="s">
        <v>1717</v>
      </c>
      <c r="B51" s="195"/>
      <c r="C51" s="196" t="s">
        <v>1718</v>
      </c>
      <c r="D51" s="201">
        <v>8717.96</v>
      </c>
      <c r="E51" s="202"/>
      <c r="F51" s="197">
        <v>8717.96</v>
      </c>
      <c r="G51" s="197">
        <f t="shared" si="4"/>
        <v>-5460.46</v>
      </c>
      <c r="H51" s="197">
        <f t="shared" si="5"/>
        <v>0</v>
      </c>
      <c r="I51" s="197">
        <f>3697.5-440</f>
        <v>3257.5</v>
      </c>
      <c r="J51" s="197"/>
      <c r="K51" s="197">
        <f t="shared" si="2"/>
        <v>3257.5</v>
      </c>
      <c r="L51" s="212">
        <f t="shared" si="0"/>
        <v>-62.6346071787437</v>
      </c>
      <c r="M51" s="214"/>
    </row>
    <row r="52" s="171" customFormat="1" customHeight="1" spans="1:13">
      <c r="A52" s="194">
        <v>2121399</v>
      </c>
      <c r="B52" s="195"/>
      <c r="C52" s="196" t="s">
        <v>1719</v>
      </c>
      <c r="D52" s="201">
        <v>516</v>
      </c>
      <c r="E52" s="202"/>
      <c r="F52" s="197">
        <v>516</v>
      </c>
      <c r="G52" s="197">
        <f t="shared" si="4"/>
        <v>-429.22</v>
      </c>
      <c r="H52" s="197">
        <f t="shared" si="5"/>
        <v>0</v>
      </c>
      <c r="I52" s="197">
        <v>86.78</v>
      </c>
      <c r="J52" s="197"/>
      <c r="K52" s="197">
        <f t="shared" si="2"/>
        <v>86.78</v>
      </c>
      <c r="L52" s="212">
        <f t="shared" si="0"/>
        <v>-83.1821705426357</v>
      </c>
      <c r="M52" s="214"/>
    </row>
    <row r="53" s="172" customFormat="1" hidden="1" customHeight="1" spans="1:36">
      <c r="A53" s="191" t="s">
        <v>1720</v>
      </c>
      <c r="B53" s="198"/>
      <c r="C53" s="199" t="s">
        <v>1721</v>
      </c>
      <c r="D53" s="193"/>
      <c r="E53" s="193"/>
      <c r="F53" s="193">
        <f t="shared" ref="F53:F75" si="9">D53+E53</f>
        <v>0</v>
      </c>
      <c r="G53" s="193" t="e">
        <f t="shared" si="4"/>
        <v>#REF!</v>
      </c>
      <c r="H53" s="193">
        <f t="shared" si="5"/>
        <v>0</v>
      </c>
      <c r="I53" s="193" t="e">
        <f>#REF!+#REF!</f>
        <v>#REF!</v>
      </c>
      <c r="J53" s="193"/>
      <c r="K53" s="193" t="e">
        <f t="shared" si="2"/>
        <v>#REF!</v>
      </c>
      <c r="L53" s="210" t="e">
        <f t="shared" si="0"/>
        <v>#REF!</v>
      </c>
      <c r="M53" s="211" t="s">
        <v>1649</v>
      </c>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row>
    <row r="54" s="172" customFormat="1" hidden="1" customHeight="1" spans="1:36">
      <c r="A54" s="191" t="s">
        <v>1722</v>
      </c>
      <c r="B54" s="198"/>
      <c r="C54" s="199" t="s">
        <v>1723</v>
      </c>
      <c r="D54" s="193"/>
      <c r="E54" s="193"/>
      <c r="F54" s="193">
        <f t="shared" si="9"/>
        <v>0</v>
      </c>
      <c r="G54" s="193" t="e">
        <f t="shared" si="4"/>
        <v>#REF!</v>
      </c>
      <c r="H54" s="193">
        <f t="shared" si="5"/>
        <v>0</v>
      </c>
      <c r="I54" s="193" t="e">
        <f>#REF!+#REF!</f>
        <v>#REF!</v>
      </c>
      <c r="J54" s="193"/>
      <c r="K54" s="193" t="e">
        <f t="shared" si="2"/>
        <v>#REF!</v>
      </c>
      <c r="L54" s="210" t="e">
        <f t="shared" si="0"/>
        <v>#REF!</v>
      </c>
      <c r="M54" s="211" t="s">
        <v>1649</v>
      </c>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row>
    <row r="55" s="172" customFormat="1" hidden="1" customHeight="1" spans="1:36">
      <c r="A55" s="191">
        <v>2136203</v>
      </c>
      <c r="B55" s="198"/>
      <c r="C55" s="199" t="s">
        <v>1724</v>
      </c>
      <c r="D55" s="193"/>
      <c r="E55" s="193"/>
      <c r="F55" s="193">
        <f t="shared" si="9"/>
        <v>0</v>
      </c>
      <c r="G55" s="193" t="e">
        <f t="shared" si="4"/>
        <v>#REF!</v>
      </c>
      <c r="H55" s="193">
        <f t="shared" si="5"/>
        <v>0</v>
      </c>
      <c r="I55" s="193" t="e">
        <f>#REF!+#REF!</f>
        <v>#REF!</v>
      </c>
      <c r="J55" s="193"/>
      <c r="K55" s="193" t="e">
        <f t="shared" si="2"/>
        <v>#REF!</v>
      </c>
      <c r="L55" s="210" t="e">
        <f t="shared" si="0"/>
        <v>#REF!</v>
      </c>
      <c r="M55" s="211" t="s">
        <v>1649</v>
      </c>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row>
    <row r="56" s="172" customFormat="1" hidden="1" customHeight="1" spans="1:36">
      <c r="A56" s="191">
        <v>2136299</v>
      </c>
      <c r="B56" s="198"/>
      <c r="C56" s="199" t="s">
        <v>1725</v>
      </c>
      <c r="D56" s="193"/>
      <c r="E56" s="193"/>
      <c r="F56" s="193">
        <f t="shared" si="9"/>
        <v>0</v>
      </c>
      <c r="G56" s="193" t="e">
        <f t="shared" si="4"/>
        <v>#REF!</v>
      </c>
      <c r="H56" s="193">
        <f t="shared" si="5"/>
        <v>0</v>
      </c>
      <c r="I56" s="193" t="e">
        <f>#REF!+#REF!</f>
        <v>#REF!</v>
      </c>
      <c r="J56" s="193"/>
      <c r="K56" s="193" t="e">
        <f t="shared" si="2"/>
        <v>#REF!</v>
      </c>
      <c r="L56" s="210" t="e">
        <f t="shared" si="0"/>
        <v>#REF!</v>
      </c>
      <c r="M56" s="211" t="s">
        <v>1649</v>
      </c>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row>
    <row r="57" s="172" customFormat="1" hidden="1" customHeight="1" spans="1:36">
      <c r="A57" s="191" t="s">
        <v>1726</v>
      </c>
      <c r="B57" s="198"/>
      <c r="C57" s="199" t="s">
        <v>1727</v>
      </c>
      <c r="D57" s="193"/>
      <c r="E57" s="193"/>
      <c r="F57" s="193">
        <f t="shared" si="9"/>
        <v>0</v>
      </c>
      <c r="G57" s="193" t="e">
        <f t="shared" si="4"/>
        <v>#REF!</v>
      </c>
      <c r="H57" s="193">
        <f t="shared" si="5"/>
        <v>0</v>
      </c>
      <c r="I57" s="193" t="e">
        <f>#REF!+#REF!</f>
        <v>#REF!</v>
      </c>
      <c r="J57" s="193"/>
      <c r="K57" s="193" t="e">
        <f t="shared" si="2"/>
        <v>#REF!</v>
      </c>
      <c r="L57" s="210" t="e">
        <f t="shared" si="0"/>
        <v>#REF!</v>
      </c>
      <c r="M57" s="211" t="s">
        <v>1649</v>
      </c>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row>
    <row r="58" s="172" customFormat="1" hidden="1" customHeight="1" spans="1:36">
      <c r="A58" s="191">
        <v>2136499</v>
      </c>
      <c r="B58" s="198"/>
      <c r="C58" s="199" t="s">
        <v>1728</v>
      </c>
      <c r="D58" s="193"/>
      <c r="E58" s="193"/>
      <c r="F58" s="193">
        <f t="shared" si="9"/>
        <v>0</v>
      </c>
      <c r="G58" s="193" t="e">
        <f t="shared" si="4"/>
        <v>#REF!</v>
      </c>
      <c r="H58" s="193">
        <f t="shared" si="5"/>
        <v>0</v>
      </c>
      <c r="I58" s="193" t="e">
        <f>#REF!+#REF!</f>
        <v>#REF!</v>
      </c>
      <c r="J58" s="193"/>
      <c r="K58" s="193" t="e">
        <f t="shared" si="2"/>
        <v>#REF!</v>
      </c>
      <c r="L58" s="210" t="e">
        <f t="shared" si="0"/>
        <v>#REF!</v>
      </c>
      <c r="M58" s="211" t="s">
        <v>1649</v>
      </c>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row>
    <row r="59" s="172" customFormat="1" hidden="1" customHeight="1" spans="1:36">
      <c r="A59" s="191" t="s">
        <v>1729</v>
      </c>
      <c r="B59" s="198"/>
      <c r="C59" s="199" t="s">
        <v>1730</v>
      </c>
      <c r="D59" s="193"/>
      <c r="E59" s="193"/>
      <c r="F59" s="193">
        <f t="shared" si="9"/>
        <v>0</v>
      </c>
      <c r="G59" s="193" t="e">
        <f t="shared" si="4"/>
        <v>#REF!</v>
      </c>
      <c r="H59" s="193">
        <f t="shared" si="5"/>
        <v>0</v>
      </c>
      <c r="I59" s="193" t="e">
        <f>#REF!+#REF!</f>
        <v>#REF!</v>
      </c>
      <c r="J59" s="193"/>
      <c r="K59" s="193" t="e">
        <f t="shared" si="2"/>
        <v>#REF!</v>
      </c>
      <c r="L59" s="210" t="e">
        <f t="shared" si="0"/>
        <v>#REF!</v>
      </c>
      <c r="M59" s="211" t="s">
        <v>1649</v>
      </c>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row>
    <row r="60" s="172" customFormat="1" hidden="1" customHeight="1" spans="1:36">
      <c r="A60" s="191" t="s">
        <v>1731</v>
      </c>
      <c r="B60" s="198"/>
      <c r="C60" s="199" t="s">
        <v>1732</v>
      </c>
      <c r="D60" s="193"/>
      <c r="E60" s="193"/>
      <c r="F60" s="193">
        <f t="shared" si="9"/>
        <v>0</v>
      </c>
      <c r="G60" s="193" t="e">
        <f t="shared" si="4"/>
        <v>#REF!</v>
      </c>
      <c r="H60" s="193">
        <f t="shared" si="5"/>
        <v>0</v>
      </c>
      <c r="I60" s="193" t="e">
        <f>#REF!+#REF!</f>
        <v>#REF!</v>
      </c>
      <c r="J60" s="193"/>
      <c r="K60" s="193" t="e">
        <f t="shared" si="2"/>
        <v>#REF!</v>
      </c>
      <c r="L60" s="210" t="e">
        <f t="shared" si="0"/>
        <v>#REF!</v>
      </c>
      <c r="M60" s="211" t="s">
        <v>1649</v>
      </c>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row>
    <row r="61" s="172" customFormat="1" hidden="1" customHeight="1" spans="1:36">
      <c r="A61" s="191" t="s">
        <v>1733</v>
      </c>
      <c r="B61" s="198"/>
      <c r="C61" s="199"/>
      <c r="D61" s="193"/>
      <c r="E61" s="193"/>
      <c r="F61" s="193">
        <f t="shared" si="9"/>
        <v>0</v>
      </c>
      <c r="G61" s="193" t="e">
        <f t="shared" si="4"/>
        <v>#REF!</v>
      </c>
      <c r="H61" s="193">
        <f t="shared" si="5"/>
        <v>0</v>
      </c>
      <c r="I61" s="193" t="e">
        <f>#REF!+#REF!</f>
        <v>#REF!</v>
      </c>
      <c r="J61" s="193"/>
      <c r="K61" s="193" t="e">
        <f t="shared" si="2"/>
        <v>#REF!</v>
      </c>
      <c r="L61" s="210" t="e">
        <f t="shared" si="0"/>
        <v>#REF!</v>
      </c>
      <c r="M61" s="211" t="s">
        <v>1649</v>
      </c>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row>
    <row r="62" s="172" customFormat="1" hidden="1" customHeight="1" spans="1:36">
      <c r="A62" s="191" t="s">
        <v>1734</v>
      </c>
      <c r="B62" s="198"/>
      <c r="C62" s="199"/>
      <c r="D62" s="193"/>
      <c r="E62" s="193"/>
      <c r="F62" s="193">
        <f t="shared" si="9"/>
        <v>0</v>
      </c>
      <c r="G62" s="193" t="e">
        <f t="shared" si="4"/>
        <v>#REF!</v>
      </c>
      <c r="H62" s="193">
        <f t="shared" si="5"/>
        <v>0</v>
      </c>
      <c r="I62" s="193" t="e">
        <f>#REF!+#REF!</f>
        <v>#REF!</v>
      </c>
      <c r="J62" s="193"/>
      <c r="K62" s="193" t="e">
        <f t="shared" si="2"/>
        <v>#REF!</v>
      </c>
      <c r="L62" s="210" t="e">
        <f t="shared" si="0"/>
        <v>#REF!</v>
      </c>
      <c r="M62" s="211" t="s">
        <v>1649</v>
      </c>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row>
    <row r="63" s="172" customFormat="1" hidden="1" customHeight="1" spans="1:36">
      <c r="A63" s="191" t="s">
        <v>1735</v>
      </c>
      <c r="B63" s="198"/>
      <c r="C63" s="199" t="s">
        <v>1736</v>
      </c>
      <c r="D63" s="193"/>
      <c r="E63" s="193"/>
      <c r="F63" s="193">
        <f t="shared" si="9"/>
        <v>0</v>
      </c>
      <c r="G63" s="193" t="e">
        <f t="shared" si="4"/>
        <v>#REF!</v>
      </c>
      <c r="H63" s="193">
        <f t="shared" si="5"/>
        <v>0</v>
      </c>
      <c r="I63" s="193" t="e">
        <f>#REF!+#REF!</f>
        <v>#REF!</v>
      </c>
      <c r="J63" s="193"/>
      <c r="K63" s="193" t="e">
        <f t="shared" si="2"/>
        <v>#REF!</v>
      </c>
      <c r="L63" s="210" t="e">
        <f t="shared" si="0"/>
        <v>#REF!</v>
      </c>
      <c r="M63" s="211" t="s">
        <v>1649</v>
      </c>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row>
    <row r="64" s="172" customFormat="1" hidden="1" customHeight="1" spans="1:36">
      <c r="A64" s="191" t="s">
        <v>1737</v>
      </c>
      <c r="B64" s="198"/>
      <c r="C64" s="199" t="s">
        <v>1738</v>
      </c>
      <c r="D64" s="193"/>
      <c r="E64" s="193"/>
      <c r="F64" s="193">
        <f t="shared" si="9"/>
        <v>0</v>
      </c>
      <c r="G64" s="193" t="e">
        <f t="shared" si="4"/>
        <v>#REF!</v>
      </c>
      <c r="H64" s="193">
        <f t="shared" si="5"/>
        <v>0</v>
      </c>
      <c r="I64" s="193" t="e">
        <f>#REF!+#REF!</f>
        <v>#REF!</v>
      </c>
      <c r="J64" s="193"/>
      <c r="K64" s="193" t="e">
        <f t="shared" si="2"/>
        <v>#REF!</v>
      </c>
      <c r="L64" s="210" t="e">
        <f t="shared" si="0"/>
        <v>#REF!</v>
      </c>
      <c r="M64" s="211" t="s">
        <v>1649</v>
      </c>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row>
    <row r="65" s="172" customFormat="1" hidden="1" customHeight="1" spans="1:36">
      <c r="A65" s="191">
        <v>2140190</v>
      </c>
      <c r="B65" s="198"/>
      <c r="C65" s="199" t="s">
        <v>1739</v>
      </c>
      <c r="D65" s="193"/>
      <c r="E65" s="193"/>
      <c r="F65" s="193">
        <f t="shared" si="9"/>
        <v>0</v>
      </c>
      <c r="G65" s="193" t="e">
        <f t="shared" si="4"/>
        <v>#REF!</v>
      </c>
      <c r="H65" s="193">
        <f t="shared" si="5"/>
        <v>0</v>
      </c>
      <c r="I65" s="193" t="e">
        <f>#REF!+#REF!</f>
        <v>#REF!</v>
      </c>
      <c r="J65" s="193"/>
      <c r="K65" s="193" t="e">
        <f t="shared" si="2"/>
        <v>#REF!</v>
      </c>
      <c r="L65" s="210" t="e">
        <f t="shared" si="0"/>
        <v>#REF!</v>
      </c>
      <c r="M65" s="211" t="s">
        <v>1649</v>
      </c>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row>
    <row r="66" s="172" customFormat="1" hidden="1" customHeight="1" spans="1:36">
      <c r="A66" s="191" t="s">
        <v>1740</v>
      </c>
      <c r="B66" s="198"/>
      <c r="C66" s="199" t="s">
        <v>1741</v>
      </c>
      <c r="D66" s="193"/>
      <c r="E66" s="193"/>
      <c r="F66" s="193">
        <f t="shared" si="9"/>
        <v>0</v>
      </c>
      <c r="G66" s="193" t="e">
        <f t="shared" si="4"/>
        <v>#REF!</v>
      </c>
      <c r="H66" s="193">
        <f t="shared" si="5"/>
        <v>0</v>
      </c>
      <c r="I66" s="193" t="e">
        <f>#REF!+#REF!</f>
        <v>#REF!</v>
      </c>
      <c r="J66" s="193"/>
      <c r="K66" s="193" t="e">
        <f t="shared" si="2"/>
        <v>#REF!</v>
      </c>
      <c r="L66" s="210" t="e">
        <f t="shared" si="0"/>
        <v>#REF!</v>
      </c>
      <c r="M66" s="211" t="s">
        <v>1649</v>
      </c>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row>
    <row r="67" s="172" customFormat="1" hidden="1" customHeight="1" spans="1:36">
      <c r="A67" s="191" t="s">
        <v>1742</v>
      </c>
      <c r="B67" s="198"/>
      <c r="C67" s="199" t="s">
        <v>1743</v>
      </c>
      <c r="D67" s="193"/>
      <c r="E67" s="193"/>
      <c r="F67" s="193">
        <f t="shared" si="9"/>
        <v>0</v>
      </c>
      <c r="G67" s="193" t="e">
        <f t="shared" si="4"/>
        <v>#REF!</v>
      </c>
      <c r="H67" s="193">
        <f t="shared" si="5"/>
        <v>0</v>
      </c>
      <c r="I67" s="193" t="e">
        <f>#REF!+#REF!</f>
        <v>#REF!</v>
      </c>
      <c r="J67" s="193"/>
      <c r="K67" s="193" t="e">
        <f t="shared" si="2"/>
        <v>#REF!</v>
      </c>
      <c r="L67" s="210" t="e">
        <f t="shared" si="0"/>
        <v>#REF!</v>
      </c>
      <c r="M67" s="211" t="s">
        <v>1649</v>
      </c>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row>
    <row r="68" s="172" customFormat="1" hidden="1" customHeight="1" spans="1:36">
      <c r="A68" s="199" t="s">
        <v>1744</v>
      </c>
      <c r="B68" s="199"/>
      <c r="C68" s="199" t="s">
        <v>1745</v>
      </c>
      <c r="D68" s="193"/>
      <c r="E68" s="193"/>
      <c r="F68" s="193">
        <f t="shared" si="9"/>
        <v>0</v>
      </c>
      <c r="G68" s="193" t="e">
        <f t="shared" si="4"/>
        <v>#REF!</v>
      </c>
      <c r="H68" s="193">
        <f t="shared" si="5"/>
        <v>0</v>
      </c>
      <c r="I68" s="193" t="e">
        <f>#REF!+#REF!</f>
        <v>#REF!</v>
      </c>
      <c r="J68" s="193"/>
      <c r="K68" s="193" t="e">
        <f t="shared" si="2"/>
        <v>#REF!</v>
      </c>
      <c r="L68" s="210" t="e">
        <f t="shared" si="0"/>
        <v>#REF!</v>
      </c>
      <c r="M68" s="211" t="s">
        <v>1649</v>
      </c>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row>
    <row r="69" s="172" customFormat="1" hidden="1" customHeight="1" spans="1:36">
      <c r="A69" s="199" t="s">
        <v>1746</v>
      </c>
      <c r="B69" s="199"/>
      <c r="C69" s="199" t="s">
        <v>1747</v>
      </c>
      <c r="D69" s="193"/>
      <c r="E69" s="193"/>
      <c r="F69" s="193">
        <f t="shared" si="9"/>
        <v>0</v>
      </c>
      <c r="G69" s="193" t="e">
        <f t="shared" si="4"/>
        <v>#REF!</v>
      </c>
      <c r="H69" s="193">
        <f t="shared" si="5"/>
        <v>0</v>
      </c>
      <c r="I69" s="193" t="e">
        <f>#REF!+#REF!</f>
        <v>#REF!</v>
      </c>
      <c r="J69" s="193"/>
      <c r="K69" s="193" t="e">
        <f t="shared" si="2"/>
        <v>#REF!</v>
      </c>
      <c r="L69" s="210" t="e">
        <f t="shared" si="0"/>
        <v>#REF!</v>
      </c>
      <c r="M69" s="211" t="s">
        <v>1649</v>
      </c>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row>
    <row r="70" s="172" customFormat="1" hidden="1" customHeight="1" spans="1:36">
      <c r="A70" s="199" t="s">
        <v>1748</v>
      </c>
      <c r="B70" s="199"/>
      <c r="C70" s="199" t="s">
        <v>1749</v>
      </c>
      <c r="D70" s="193"/>
      <c r="E70" s="193"/>
      <c r="F70" s="193">
        <f t="shared" si="9"/>
        <v>0</v>
      </c>
      <c r="G70" s="193" t="e">
        <f t="shared" si="4"/>
        <v>#REF!</v>
      </c>
      <c r="H70" s="193">
        <f t="shared" si="5"/>
        <v>0</v>
      </c>
      <c r="I70" s="193" t="e">
        <f>#REF!+#REF!</f>
        <v>#REF!</v>
      </c>
      <c r="J70" s="193"/>
      <c r="K70" s="193" t="e">
        <f t="shared" si="2"/>
        <v>#REF!</v>
      </c>
      <c r="L70" s="210" t="e">
        <f t="shared" ref="L70:L111" si="10">IF(F70=0,IF(K70=0,0,100),100*(K70/F70-1))</f>
        <v>#REF!</v>
      </c>
      <c r="M70" s="211" t="s">
        <v>1649</v>
      </c>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row>
    <row r="71" s="172" customFormat="1" hidden="1" customHeight="1" spans="1:36">
      <c r="A71" s="199" t="s">
        <v>1750</v>
      </c>
      <c r="B71" s="199"/>
      <c r="C71" s="199" t="s">
        <v>1751</v>
      </c>
      <c r="D71" s="193"/>
      <c r="E71" s="193"/>
      <c r="F71" s="193">
        <f t="shared" si="9"/>
        <v>0</v>
      </c>
      <c r="G71" s="193" t="e">
        <f t="shared" si="4"/>
        <v>#REF!</v>
      </c>
      <c r="H71" s="193">
        <f t="shared" si="5"/>
        <v>0</v>
      </c>
      <c r="I71" s="193" t="e">
        <f>#REF!+#REF!</f>
        <v>#REF!</v>
      </c>
      <c r="J71" s="193"/>
      <c r="K71" s="193" t="e">
        <f t="shared" si="2"/>
        <v>#REF!</v>
      </c>
      <c r="L71" s="210" t="e">
        <f t="shared" si="10"/>
        <v>#REF!</v>
      </c>
      <c r="M71" s="211" t="s">
        <v>1649</v>
      </c>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row>
    <row r="72" s="172" customFormat="1" hidden="1" customHeight="1" spans="1:36">
      <c r="A72" s="199" t="s">
        <v>1752</v>
      </c>
      <c r="B72" s="199"/>
      <c r="C72" s="199" t="s">
        <v>1753</v>
      </c>
      <c r="D72" s="193"/>
      <c r="E72" s="193"/>
      <c r="F72" s="193">
        <f t="shared" si="9"/>
        <v>0</v>
      </c>
      <c r="G72" s="193" t="e">
        <f t="shared" si="4"/>
        <v>#REF!</v>
      </c>
      <c r="H72" s="193">
        <f t="shared" si="5"/>
        <v>0</v>
      </c>
      <c r="I72" s="193" t="e">
        <f>#REF!+#REF!</f>
        <v>#REF!</v>
      </c>
      <c r="J72" s="193"/>
      <c r="K72" s="193" t="e">
        <f t="shared" si="2"/>
        <v>#REF!</v>
      </c>
      <c r="L72" s="210" t="e">
        <f t="shared" si="10"/>
        <v>#REF!</v>
      </c>
      <c r="M72" s="211" t="s">
        <v>1649</v>
      </c>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row>
    <row r="73" s="173" customFormat="1" hidden="1" customHeight="1" spans="1:36">
      <c r="A73" s="199" t="s">
        <v>1754</v>
      </c>
      <c r="B73" s="199"/>
      <c r="C73" s="199" t="s">
        <v>513</v>
      </c>
      <c r="D73" s="193"/>
      <c r="E73" s="193"/>
      <c r="F73" s="193">
        <f t="shared" si="9"/>
        <v>0</v>
      </c>
      <c r="G73" s="193" t="e">
        <f t="shared" si="4"/>
        <v>#REF!</v>
      </c>
      <c r="H73" s="193">
        <f t="shared" si="5"/>
        <v>0</v>
      </c>
      <c r="I73" s="193" t="e">
        <f>#REF!+#REF!</f>
        <v>#REF!</v>
      </c>
      <c r="J73" s="193"/>
      <c r="K73" s="193" t="e">
        <f t="shared" si="2"/>
        <v>#REF!</v>
      </c>
      <c r="L73" s="210" t="e">
        <f t="shared" si="10"/>
        <v>#REF!</v>
      </c>
      <c r="M73" s="211" t="s">
        <v>1649</v>
      </c>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row>
    <row r="74" s="173" customFormat="1" hidden="1" customHeight="1" spans="1:36">
      <c r="A74" s="199" t="s">
        <v>1755</v>
      </c>
      <c r="B74" s="199"/>
      <c r="C74" s="199" t="s">
        <v>1756</v>
      </c>
      <c r="D74" s="193"/>
      <c r="E74" s="193"/>
      <c r="F74" s="193">
        <f t="shared" si="9"/>
        <v>0</v>
      </c>
      <c r="G74" s="193" t="e">
        <f t="shared" si="4"/>
        <v>#REF!</v>
      </c>
      <c r="H74" s="193">
        <f t="shared" si="5"/>
        <v>0</v>
      </c>
      <c r="I74" s="193" t="e">
        <f>#REF!+#REF!</f>
        <v>#REF!</v>
      </c>
      <c r="J74" s="193"/>
      <c r="K74" s="193" t="e">
        <f t="shared" ref="K74:K97" si="11">I74+J74</f>
        <v>#REF!</v>
      </c>
      <c r="L74" s="210" t="e">
        <f t="shared" si="10"/>
        <v>#REF!</v>
      </c>
      <c r="M74" s="211" t="s">
        <v>1649</v>
      </c>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row>
    <row r="75" s="173" customFormat="1" hidden="1" customHeight="1" spans="1:36">
      <c r="A75" s="199" t="s">
        <v>1757</v>
      </c>
      <c r="B75" s="199"/>
      <c r="C75" s="199" t="s">
        <v>1758</v>
      </c>
      <c r="D75" s="193"/>
      <c r="E75" s="193"/>
      <c r="F75" s="193">
        <f t="shared" si="9"/>
        <v>0</v>
      </c>
      <c r="G75" s="193" t="e">
        <f t="shared" si="4"/>
        <v>#REF!</v>
      </c>
      <c r="H75" s="193">
        <f t="shared" si="5"/>
        <v>0</v>
      </c>
      <c r="I75" s="193" t="e">
        <f>#REF!+#REF!</f>
        <v>#REF!</v>
      </c>
      <c r="J75" s="193"/>
      <c r="K75" s="193" t="e">
        <f t="shared" si="11"/>
        <v>#REF!</v>
      </c>
      <c r="L75" s="210" t="e">
        <f t="shared" si="10"/>
        <v>#REF!</v>
      </c>
      <c r="M75" s="211" t="s">
        <v>1649</v>
      </c>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row>
    <row r="76" s="169" customFormat="1" customHeight="1" spans="1:36">
      <c r="A76" s="194" t="s">
        <v>1759</v>
      </c>
      <c r="B76" s="217"/>
      <c r="C76" s="194" t="s">
        <v>573</v>
      </c>
      <c r="D76" s="201">
        <v>309344.24</v>
      </c>
      <c r="E76" s="197">
        <v>667.49</v>
      </c>
      <c r="F76" s="197">
        <v>310011.73</v>
      </c>
      <c r="G76" s="197">
        <f t="shared" si="4"/>
        <v>-94.5599999999977</v>
      </c>
      <c r="H76" s="197">
        <f>J76-E76+1</f>
        <v>-471.98</v>
      </c>
      <c r="I76" s="197">
        <f>I77+I80+I82</f>
        <v>309249.68</v>
      </c>
      <c r="J76" s="197">
        <f>+J77+J82+J80</f>
        <v>194.51</v>
      </c>
      <c r="K76" s="197">
        <f t="shared" si="11"/>
        <v>309444.19</v>
      </c>
      <c r="L76" s="212">
        <f t="shared" si="10"/>
        <v>-0.18307049220363</v>
      </c>
      <c r="M76" s="213"/>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row>
    <row r="77" s="169" customFormat="1" customHeight="1" spans="1:36">
      <c r="A77" s="194" t="s">
        <v>1760</v>
      </c>
      <c r="B77" s="217"/>
      <c r="C77" s="194" t="s">
        <v>1761</v>
      </c>
      <c r="D77" s="197">
        <v>309156</v>
      </c>
      <c r="E77" s="197">
        <v>500</v>
      </c>
      <c r="F77" s="197">
        <v>309656</v>
      </c>
      <c r="G77" s="197">
        <f t="shared" si="4"/>
        <v>-0.179999999993015</v>
      </c>
      <c r="H77" s="197">
        <f t="shared" ref="H77:H110" si="12">J77-E77</f>
        <v>-500</v>
      </c>
      <c r="I77" s="197">
        <f>I79</f>
        <v>309155.82</v>
      </c>
      <c r="J77" s="197">
        <f>+J79+J78</f>
        <v>0</v>
      </c>
      <c r="K77" s="197">
        <f t="shared" si="11"/>
        <v>309155.82</v>
      </c>
      <c r="L77" s="212">
        <f t="shared" si="10"/>
        <v>-0.161527630661118</v>
      </c>
      <c r="M77" s="213"/>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row>
    <row r="78" s="169" customFormat="1" customHeight="1" spans="1:36">
      <c r="A78" s="194" t="s">
        <v>1762</v>
      </c>
      <c r="B78" s="217"/>
      <c r="C78" s="194" t="s">
        <v>1763</v>
      </c>
      <c r="D78" s="197"/>
      <c r="E78" s="197">
        <v>500</v>
      </c>
      <c r="F78" s="197">
        <v>500</v>
      </c>
      <c r="G78" s="197">
        <f t="shared" si="4"/>
        <v>0</v>
      </c>
      <c r="H78" s="197"/>
      <c r="I78" s="197"/>
      <c r="J78" s="197"/>
      <c r="K78" s="197">
        <f t="shared" si="11"/>
        <v>0</v>
      </c>
      <c r="L78" s="212">
        <f t="shared" si="10"/>
        <v>-100</v>
      </c>
      <c r="M78" s="213"/>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row>
    <row r="79" s="169" customFormat="1" customHeight="1" spans="1:36">
      <c r="A79" s="194" t="s">
        <v>1764</v>
      </c>
      <c r="B79" s="217"/>
      <c r="C79" s="194" t="s">
        <v>1765</v>
      </c>
      <c r="D79" s="197">
        <v>309156</v>
      </c>
      <c r="E79" s="197"/>
      <c r="F79" s="197">
        <v>309156</v>
      </c>
      <c r="G79" s="197">
        <f t="shared" si="4"/>
        <v>-0.179999999993015</v>
      </c>
      <c r="H79" s="197">
        <f t="shared" si="12"/>
        <v>0</v>
      </c>
      <c r="I79" s="197">
        <f>295000+14155.82</f>
        <v>309155.82</v>
      </c>
      <c r="J79" s="197"/>
      <c r="K79" s="197">
        <f t="shared" si="11"/>
        <v>309155.82</v>
      </c>
      <c r="L79" s="212">
        <f t="shared" si="10"/>
        <v>-5.82230330281597e-5</v>
      </c>
      <c r="M79" s="213"/>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row>
    <row r="80" s="169" customFormat="1" customHeight="1" spans="1:36">
      <c r="A80" s="194" t="s">
        <v>1766</v>
      </c>
      <c r="B80" s="217"/>
      <c r="C80" s="194" t="s">
        <v>1767</v>
      </c>
      <c r="D80" s="197">
        <v>3</v>
      </c>
      <c r="E80" s="197">
        <v>8.78</v>
      </c>
      <c r="F80" s="197">
        <v>11.78</v>
      </c>
      <c r="G80" s="197">
        <f t="shared" si="4"/>
        <v>-0.02</v>
      </c>
      <c r="H80" s="197">
        <f t="shared" si="12"/>
        <v>-5.56</v>
      </c>
      <c r="I80" s="197">
        <v>2.98</v>
      </c>
      <c r="J80" s="197">
        <v>3.22</v>
      </c>
      <c r="K80" s="197">
        <f t="shared" si="11"/>
        <v>6.2</v>
      </c>
      <c r="L80" s="212">
        <f t="shared" si="10"/>
        <v>-47.3684210526316</v>
      </c>
      <c r="M80" s="213"/>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row>
    <row r="81" s="169" customFormat="1" customHeight="1" spans="1:36">
      <c r="A81" s="194" t="s">
        <v>1768</v>
      </c>
      <c r="B81" s="217"/>
      <c r="C81" s="194" t="s">
        <v>1769</v>
      </c>
      <c r="D81" s="197">
        <v>3</v>
      </c>
      <c r="E81" s="197">
        <v>8.78</v>
      </c>
      <c r="F81" s="197">
        <v>11.78</v>
      </c>
      <c r="G81" s="197">
        <f t="shared" si="4"/>
        <v>-0.02</v>
      </c>
      <c r="H81" s="197">
        <f t="shared" si="12"/>
        <v>-5.56</v>
      </c>
      <c r="I81" s="197">
        <v>2.98</v>
      </c>
      <c r="J81" s="197">
        <v>3.22</v>
      </c>
      <c r="K81" s="197">
        <f t="shared" si="11"/>
        <v>6.2</v>
      </c>
      <c r="L81" s="212">
        <f t="shared" si="10"/>
        <v>-47.3684210526316</v>
      </c>
      <c r="M81" s="213"/>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row>
    <row r="82" s="169" customFormat="1" customHeight="1" spans="1:36">
      <c r="A82" s="194" t="s">
        <v>1770</v>
      </c>
      <c r="B82" s="187"/>
      <c r="C82" s="218" t="s">
        <v>1771</v>
      </c>
      <c r="D82" s="201">
        <v>185.24</v>
      </c>
      <c r="E82" s="197">
        <v>158.71</v>
      </c>
      <c r="F82" s="197">
        <v>343.95</v>
      </c>
      <c r="G82" s="197">
        <f t="shared" si="4"/>
        <v>-94.36</v>
      </c>
      <c r="H82" s="197">
        <f t="shared" si="12"/>
        <v>32.58</v>
      </c>
      <c r="I82" s="197">
        <f>I84+I85+I87+I91+I92</f>
        <v>90.88</v>
      </c>
      <c r="J82" s="197">
        <f>+J83+J84+J85+J86+J87+J88+J89+J90+J91+J92</f>
        <v>191.29</v>
      </c>
      <c r="K82" s="197">
        <f t="shared" si="11"/>
        <v>282.17</v>
      </c>
      <c r="L82" s="212">
        <f t="shared" si="10"/>
        <v>-17.96191306876</v>
      </c>
      <c r="M82" s="214"/>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row>
    <row r="83" s="170" customFormat="1" hidden="1" customHeight="1" spans="1:36">
      <c r="A83" s="191" t="s">
        <v>1772</v>
      </c>
      <c r="B83" s="192"/>
      <c r="C83" s="219" t="s">
        <v>1773</v>
      </c>
      <c r="D83" s="204"/>
      <c r="E83" s="204"/>
      <c r="F83" s="193">
        <f t="shared" ref="F83:F90" si="13">D83+E83</f>
        <v>0</v>
      </c>
      <c r="G83" s="193" t="e">
        <f t="shared" si="4"/>
        <v>#REF!</v>
      </c>
      <c r="H83" s="193">
        <f t="shared" si="12"/>
        <v>0</v>
      </c>
      <c r="I83" s="193" t="e">
        <f>#REF!+#REF!</f>
        <v>#REF!</v>
      </c>
      <c r="J83" s="193"/>
      <c r="K83" s="193" t="e">
        <f t="shared" si="11"/>
        <v>#REF!</v>
      </c>
      <c r="L83" s="210" t="e">
        <f t="shared" si="10"/>
        <v>#REF!</v>
      </c>
      <c r="M83" s="211" t="s">
        <v>1649</v>
      </c>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row>
    <row r="84" s="169" customFormat="1" customHeight="1" spans="1:36">
      <c r="A84" s="194" t="s">
        <v>1774</v>
      </c>
      <c r="B84" s="187"/>
      <c r="C84" s="218" t="s">
        <v>1775</v>
      </c>
      <c r="D84" s="202">
        <v>71</v>
      </c>
      <c r="E84" s="202">
        <v>68.68</v>
      </c>
      <c r="F84" s="197">
        <v>139.68</v>
      </c>
      <c r="G84" s="197">
        <f t="shared" si="4"/>
        <v>-39.47</v>
      </c>
      <c r="H84" s="197">
        <f t="shared" si="12"/>
        <v>58.58</v>
      </c>
      <c r="I84" s="197">
        <v>31.53</v>
      </c>
      <c r="J84" s="197">
        <v>127.26</v>
      </c>
      <c r="K84" s="197">
        <f t="shared" si="11"/>
        <v>158.79</v>
      </c>
      <c r="L84" s="212">
        <f t="shared" si="10"/>
        <v>13.6812714776632</v>
      </c>
      <c r="M84" s="214"/>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row>
    <row r="85" s="169" customFormat="1" customHeight="1" spans="1:36">
      <c r="A85" s="194" t="s">
        <v>1776</v>
      </c>
      <c r="B85" s="187"/>
      <c r="C85" s="218" t="s">
        <v>1777</v>
      </c>
      <c r="D85" s="202">
        <v>0</v>
      </c>
      <c r="E85" s="202">
        <v>1</v>
      </c>
      <c r="F85" s="197">
        <v>1</v>
      </c>
      <c r="G85" s="197">
        <f t="shared" ref="G85:G110" si="14">I85-D85</f>
        <v>0</v>
      </c>
      <c r="H85" s="197">
        <f t="shared" si="12"/>
        <v>-1</v>
      </c>
      <c r="I85" s="197"/>
      <c r="J85" s="197"/>
      <c r="K85" s="197">
        <f t="shared" si="11"/>
        <v>0</v>
      </c>
      <c r="L85" s="212">
        <f t="shared" si="10"/>
        <v>-100</v>
      </c>
      <c r="M85" s="214"/>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row>
    <row r="86" s="170" customFormat="1" hidden="1" customHeight="1" spans="1:36">
      <c r="A86" s="191" t="s">
        <v>1778</v>
      </c>
      <c r="B86" s="192"/>
      <c r="C86" s="219" t="s">
        <v>1779</v>
      </c>
      <c r="D86" s="204"/>
      <c r="E86" s="204"/>
      <c r="F86" s="193">
        <f t="shared" si="13"/>
        <v>0</v>
      </c>
      <c r="G86" s="193" t="e">
        <f t="shared" si="14"/>
        <v>#REF!</v>
      </c>
      <c r="H86" s="193">
        <f t="shared" si="12"/>
        <v>0</v>
      </c>
      <c r="I86" s="193" t="e">
        <f>#REF!+#REF!</f>
        <v>#REF!</v>
      </c>
      <c r="J86" s="193"/>
      <c r="K86" s="193" t="e">
        <f t="shared" si="11"/>
        <v>#REF!</v>
      </c>
      <c r="L86" s="210" t="e">
        <f t="shared" si="10"/>
        <v>#REF!</v>
      </c>
      <c r="M86" s="211" t="s">
        <v>1649</v>
      </c>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row>
    <row r="87" s="169" customFormat="1" customHeight="1" spans="1:36">
      <c r="A87" s="194" t="s">
        <v>1780</v>
      </c>
      <c r="B87" s="187"/>
      <c r="C87" s="218" t="s">
        <v>1781</v>
      </c>
      <c r="D87" s="202">
        <v>69.24</v>
      </c>
      <c r="E87" s="202">
        <v>89.03</v>
      </c>
      <c r="F87" s="197">
        <v>158.27</v>
      </c>
      <c r="G87" s="197">
        <f t="shared" si="14"/>
        <v>-9.88999999999999</v>
      </c>
      <c r="H87" s="197">
        <f t="shared" si="12"/>
        <v>-25</v>
      </c>
      <c r="I87" s="197">
        <v>59.35</v>
      </c>
      <c r="J87" s="197">
        <v>64.03</v>
      </c>
      <c r="K87" s="197">
        <f t="shared" si="11"/>
        <v>123.38</v>
      </c>
      <c r="L87" s="212">
        <f t="shared" si="10"/>
        <v>-22.0446073166109</v>
      </c>
      <c r="M87" s="214"/>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row>
    <row r="88" s="170" customFormat="1" hidden="1" customHeight="1" spans="1:36">
      <c r="A88" s="191" t="s">
        <v>1782</v>
      </c>
      <c r="B88" s="192"/>
      <c r="C88" s="219" t="s">
        <v>1783</v>
      </c>
      <c r="D88" s="204"/>
      <c r="E88" s="204"/>
      <c r="F88" s="193">
        <f t="shared" si="13"/>
        <v>0</v>
      </c>
      <c r="G88" s="193" t="e">
        <f t="shared" si="14"/>
        <v>#REF!</v>
      </c>
      <c r="H88" s="193">
        <f t="shared" si="12"/>
        <v>0</v>
      </c>
      <c r="I88" s="193" t="e">
        <f>#REF!+#REF!</f>
        <v>#REF!</v>
      </c>
      <c r="J88" s="193"/>
      <c r="K88" s="193" t="e">
        <f t="shared" si="11"/>
        <v>#REF!</v>
      </c>
      <c r="L88" s="210" t="e">
        <f t="shared" si="10"/>
        <v>#REF!</v>
      </c>
      <c r="M88" s="211" t="s">
        <v>1649</v>
      </c>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row>
    <row r="89" s="170" customFormat="1" hidden="1" customHeight="1" spans="1:36">
      <c r="A89" s="191" t="s">
        <v>1784</v>
      </c>
      <c r="B89" s="192"/>
      <c r="C89" s="219" t="s">
        <v>1785</v>
      </c>
      <c r="D89" s="204"/>
      <c r="E89" s="204"/>
      <c r="F89" s="193">
        <f t="shared" si="13"/>
        <v>0</v>
      </c>
      <c r="G89" s="193" t="e">
        <f t="shared" si="14"/>
        <v>#REF!</v>
      </c>
      <c r="H89" s="193">
        <f t="shared" si="12"/>
        <v>0</v>
      </c>
      <c r="I89" s="193" t="e">
        <f>#REF!+#REF!</f>
        <v>#REF!</v>
      </c>
      <c r="J89" s="193"/>
      <c r="K89" s="193" t="e">
        <f t="shared" si="11"/>
        <v>#REF!</v>
      </c>
      <c r="L89" s="210" t="e">
        <f t="shared" si="10"/>
        <v>#REF!</v>
      </c>
      <c r="M89" s="211" t="s">
        <v>1649</v>
      </c>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row>
    <row r="90" s="170" customFormat="1" hidden="1" customHeight="1" spans="1:36">
      <c r="A90" s="191" t="s">
        <v>1786</v>
      </c>
      <c r="B90" s="192"/>
      <c r="C90" s="219" t="s">
        <v>1787</v>
      </c>
      <c r="D90" s="204"/>
      <c r="E90" s="204"/>
      <c r="F90" s="193">
        <f t="shared" si="13"/>
        <v>0</v>
      </c>
      <c r="G90" s="193" t="e">
        <f t="shared" si="14"/>
        <v>#REF!</v>
      </c>
      <c r="H90" s="193">
        <f t="shared" si="12"/>
        <v>0</v>
      </c>
      <c r="I90" s="193" t="e">
        <f>#REF!+#REF!</f>
        <v>#REF!</v>
      </c>
      <c r="J90" s="193"/>
      <c r="K90" s="193" t="e">
        <f t="shared" si="11"/>
        <v>#REF!</v>
      </c>
      <c r="L90" s="210" t="e">
        <f t="shared" si="10"/>
        <v>#REF!</v>
      </c>
      <c r="M90" s="211" t="s">
        <v>1649</v>
      </c>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row>
    <row r="91" s="169" customFormat="1" customHeight="1" spans="1:36">
      <c r="A91" s="194" t="s">
        <v>1788</v>
      </c>
      <c r="B91" s="187"/>
      <c r="C91" s="218" t="s">
        <v>1789</v>
      </c>
      <c r="D91" s="202">
        <v>12</v>
      </c>
      <c r="E91" s="202"/>
      <c r="F91" s="197">
        <v>12</v>
      </c>
      <c r="G91" s="197">
        <f t="shared" si="14"/>
        <v>-12</v>
      </c>
      <c r="H91" s="197">
        <f t="shared" si="12"/>
        <v>0</v>
      </c>
      <c r="I91" s="197"/>
      <c r="J91" s="197"/>
      <c r="K91" s="197">
        <f t="shared" si="11"/>
        <v>0</v>
      </c>
      <c r="L91" s="212">
        <f t="shared" si="10"/>
        <v>-100</v>
      </c>
      <c r="M91" s="214"/>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row>
    <row r="92" s="169" customFormat="1" customHeight="1" spans="1:36">
      <c r="A92" s="194" t="s">
        <v>1790</v>
      </c>
      <c r="B92" s="187"/>
      <c r="C92" s="218" t="s">
        <v>1791</v>
      </c>
      <c r="D92" s="201">
        <v>33</v>
      </c>
      <c r="E92" s="202"/>
      <c r="F92" s="197">
        <v>33</v>
      </c>
      <c r="G92" s="197">
        <f t="shared" si="14"/>
        <v>-33</v>
      </c>
      <c r="H92" s="197">
        <f t="shared" si="12"/>
        <v>0</v>
      </c>
      <c r="I92" s="197"/>
      <c r="J92" s="197"/>
      <c r="K92" s="197">
        <f t="shared" si="11"/>
        <v>0</v>
      </c>
      <c r="L92" s="212">
        <f t="shared" si="10"/>
        <v>-100</v>
      </c>
      <c r="M92" s="214"/>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row>
    <row r="93" s="171" customFormat="1" customHeight="1" spans="1:13">
      <c r="A93" s="194" t="s">
        <v>1792</v>
      </c>
      <c r="B93" s="195"/>
      <c r="C93" s="220" t="s">
        <v>575</v>
      </c>
      <c r="D93" s="197">
        <v>96402</v>
      </c>
      <c r="E93" s="197"/>
      <c r="F93" s="197">
        <v>96402</v>
      </c>
      <c r="G93" s="197">
        <f t="shared" si="14"/>
        <v>-68140</v>
      </c>
      <c r="H93" s="197">
        <f t="shared" si="12"/>
        <v>0</v>
      </c>
      <c r="I93" s="197">
        <f>I96</f>
        <v>28262</v>
      </c>
      <c r="J93" s="197"/>
      <c r="K93" s="197">
        <f t="shared" si="11"/>
        <v>28262</v>
      </c>
      <c r="L93" s="212">
        <f t="shared" si="10"/>
        <v>-70.6831808468704</v>
      </c>
      <c r="M93" s="214"/>
    </row>
    <row r="94" s="172" customFormat="1" hidden="1" customHeight="1" spans="1:13">
      <c r="A94" s="191" t="s">
        <v>1793</v>
      </c>
      <c r="B94" s="198"/>
      <c r="C94" s="433" t="s">
        <v>1794</v>
      </c>
      <c r="D94" s="204"/>
      <c r="E94" s="204"/>
      <c r="F94" s="193">
        <f>D94+E94</f>
        <v>0</v>
      </c>
      <c r="G94" s="193" t="e">
        <f t="shared" si="14"/>
        <v>#REF!</v>
      </c>
      <c r="H94" s="193">
        <f t="shared" si="12"/>
        <v>0</v>
      </c>
      <c r="I94" s="193" t="e">
        <f>#REF!+#REF!</f>
        <v>#REF!</v>
      </c>
      <c r="J94" s="193"/>
      <c r="K94" s="193" t="e">
        <f t="shared" si="11"/>
        <v>#REF!</v>
      </c>
      <c r="L94" s="210" t="e">
        <f t="shared" si="10"/>
        <v>#REF!</v>
      </c>
      <c r="M94" s="211" t="s">
        <v>1649</v>
      </c>
    </row>
    <row r="95" s="172" customFormat="1" hidden="1" customHeight="1" spans="1:15">
      <c r="A95" s="222">
        <v>2300401</v>
      </c>
      <c r="B95" s="222"/>
      <c r="C95" s="221" t="s">
        <v>1795</v>
      </c>
      <c r="D95" s="204"/>
      <c r="E95" s="204"/>
      <c r="F95" s="193">
        <f>D95+E95</f>
        <v>0</v>
      </c>
      <c r="G95" s="193" t="e">
        <f t="shared" si="14"/>
        <v>#REF!</v>
      </c>
      <c r="H95" s="193">
        <f t="shared" si="12"/>
        <v>0</v>
      </c>
      <c r="I95" s="193" t="e">
        <f>#REF!+#REF!</f>
        <v>#REF!</v>
      </c>
      <c r="J95" s="193"/>
      <c r="K95" s="193" t="e">
        <f t="shared" si="11"/>
        <v>#REF!</v>
      </c>
      <c r="L95" s="210" t="e">
        <f t="shared" si="10"/>
        <v>#REF!</v>
      </c>
      <c r="M95" s="211" t="s">
        <v>1649</v>
      </c>
      <c r="O95" s="216"/>
    </row>
    <row r="96" s="171" customFormat="1" customHeight="1" spans="1:13">
      <c r="A96" s="194" t="s">
        <v>1796</v>
      </c>
      <c r="B96" s="195"/>
      <c r="C96" s="434" t="s">
        <v>1797</v>
      </c>
      <c r="D96" s="201">
        <v>96402</v>
      </c>
      <c r="E96" s="202"/>
      <c r="F96" s="197">
        <v>96402</v>
      </c>
      <c r="G96" s="197">
        <f t="shared" si="14"/>
        <v>-68140</v>
      </c>
      <c r="H96" s="197">
        <f t="shared" si="12"/>
        <v>0</v>
      </c>
      <c r="I96" s="197">
        <f>33262-4600-400</f>
        <v>28262</v>
      </c>
      <c r="J96" s="197"/>
      <c r="K96" s="197">
        <f t="shared" si="11"/>
        <v>28262</v>
      </c>
      <c r="L96" s="212">
        <f t="shared" si="10"/>
        <v>-70.6831808468704</v>
      </c>
      <c r="M96" s="214"/>
    </row>
    <row r="97" s="171" customFormat="1" customHeight="1" spans="1:13">
      <c r="A97" s="194" t="s">
        <v>1798</v>
      </c>
      <c r="B97" s="195"/>
      <c r="C97" s="434" t="s">
        <v>578</v>
      </c>
      <c r="D97" s="201">
        <v>25100</v>
      </c>
      <c r="E97" s="197"/>
      <c r="F97" s="197">
        <v>25100</v>
      </c>
      <c r="G97" s="197">
        <f t="shared" si="14"/>
        <v>0</v>
      </c>
      <c r="H97" s="197">
        <f t="shared" si="12"/>
        <v>0</v>
      </c>
      <c r="I97" s="197">
        <v>25100</v>
      </c>
      <c r="J97" s="197"/>
      <c r="K97" s="197">
        <f t="shared" si="11"/>
        <v>25100</v>
      </c>
      <c r="L97" s="212">
        <f t="shared" si="10"/>
        <v>0</v>
      </c>
      <c r="M97" s="214"/>
    </row>
    <row r="98" s="171" customFormat="1" customHeight="1" spans="1:13">
      <c r="A98" s="194" t="s">
        <v>1799</v>
      </c>
      <c r="B98" s="195"/>
      <c r="C98" s="220" t="s">
        <v>1800</v>
      </c>
      <c r="D98" s="201">
        <v>25100</v>
      </c>
      <c r="E98" s="197"/>
      <c r="F98" s="197">
        <v>19900</v>
      </c>
      <c r="G98" s="197">
        <f t="shared" si="14"/>
        <v>0</v>
      </c>
      <c r="H98" s="197">
        <f t="shared" si="12"/>
        <v>0</v>
      </c>
      <c r="I98" s="197">
        <v>25100</v>
      </c>
      <c r="J98" s="197"/>
      <c r="K98" s="197">
        <f>+K99</f>
        <v>19900</v>
      </c>
      <c r="L98" s="212">
        <f t="shared" si="10"/>
        <v>0</v>
      </c>
      <c r="M98" s="214"/>
    </row>
    <row r="99" s="171" customFormat="1" customHeight="1" spans="1:13">
      <c r="A99" s="194" t="s">
        <v>1801</v>
      </c>
      <c r="B99" s="195"/>
      <c r="C99" s="220" t="s">
        <v>1802</v>
      </c>
      <c r="D99" s="201">
        <v>19900</v>
      </c>
      <c r="E99" s="197"/>
      <c r="F99" s="197">
        <v>19900</v>
      </c>
      <c r="G99" s="197">
        <f t="shared" si="14"/>
        <v>0</v>
      </c>
      <c r="H99" s="197">
        <f t="shared" si="12"/>
        <v>0</v>
      </c>
      <c r="I99" s="197">
        <v>19900</v>
      </c>
      <c r="J99" s="197"/>
      <c r="K99" s="197">
        <f>+I99</f>
        <v>19900</v>
      </c>
      <c r="L99" s="212">
        <f t="shared" si="10"/>
        <v>0</v>
      </c>
      <c r="M99" s="214"/>
    </row>
    <row r="100" s="171" customFormat="1" customHeight="1" spans="1:13">
      <c r="A100" s="194" t="s">
        <v>1803</v>
      </c>
      <c r="B100" s="195"/>
      <c r="C100" s="220" t="s">
        <v>1804</v>
      </c>
      <c r="D100" s="201">
        <v>5200</v>
      </c>
      <c r="E100" s="197"/>
      <c r="F100" s="197">
        <v>5200</v>
      </c>
      <c r="G100" s="197">
        <f t="shared" si="14"/>
        <v>0</v>
      </c>
      <c r="H100" s="197">
        <f t="shared" si="12"/>
        <v>0</v>
      </c>
      <c r="I100" s="197">
        <v>5200</v>
      </c>
      <c r="J100" s="197"/>
      <c r="K100" s="197">
        <f>+I100</f>
        <v>5200</v>
      </c>
      <c r="L100" s="212">
        <f t="shared" si="10"/>
        <v>0</v>
      </c>
      <c r="M100" s="214"/>
    </row>
    <row r="101" s="171" customFormat="1" customHeight="1" spans="1:13">
      <c r="A101" s="194" t="s">
        <v>1805</v>
      </c>
      <c r="B101" s="195"/>
      <c r="C101" s="220" t="s">
        <v>581</v>
      </c>
      <c r="D101" s="201">
        <v>21001.26</v>
      </c>
      <c r="E101" s="197"/>
      <c r="F101" s="197">
        <v>21001.26</v>
      </c>
      <c r="G101" s="197">
        <f t="shared" si="14"/>
        <v>0.259999999998399</v>
      </c>
      <c r="H101" s="197">
        <f t="shared" si="12"/>
        <v>0</v>
      </c>
      <c r="I101" s="197">
        <f>I102</f>
        <v>21001.52</v>
      </c>
      <c r="J101" s="197"/>
      <c r="K101" s="197">
        <f>+K102</f>
        <v>21001.52</v>
      </c>
      <c r="L101" s="212">
        <f t="shared" si="10"/>
        <v>0.00123802095683967</v>
      </c>
      <c r="M101" s="214"/>
    </row>
    <row r="102" s="171" customFormat="1" customHeight="1" spans="1:13">
      <c r="A102" s="194" t="s">
        <v>1806</v>
      </c>
      <c r="B102" s="195"/>
      <c r="C102" s="220" t="s">
        <v>1807</v>
      </c>
      <c r="D102" s="201">
        <v>21001.26</v>
      </c>
      <c r="E102" s="197"/>
      <c r="F102" s="197">
        <v>21001.26</v>
      </c>
      <c r="G102" s="197">
        <f t="shared" si="14"/>
        <v>0.259999999998399</v>
      </c>
      <c r="H102" s="197">
        <f t="shared" si="12"/>
        <v>0</v>
      </c>
      <c r="I102" s="197">
        <f>I103+I104+I105</f>
        <v>21001.52</v>
      </c>
      <c r="J102" s="197"/>
      <c r="K102" s="197">
        <f t="shared" ref="K102:K110" si="15">I102+J102</f>
        <v>21001.52</v>
      </c>
      <c r="L102" s="212">
        <f t="shared" si="10"/>
        <v>0.00123802095683967</v>
      </c>
      <c r="M102" s="214"/>
    </row>
    <row r="103" s="171" customFormat="1" customHeight="1" spans="1:13">
      <c r="A103" s="194" t="s">
        <v>1808</v>
      </c>
      <c r="B103" s="195"/>
      <c r="C103" s="220" t="s">
        <v>1809</v>
      </c>
      <c r="D103" s="201">
        <v>3330.41</v>
      </c>
      <c r="E103" s="202"/>
      <c r="F103" s="197">
        <v>3330.41</v>
      </c>
      <c r="G103" s="197">
        <f t="shared" si="14"/>
        <v>0</v>
      </c>
      <c r="H103" s="197">
        <f t="shared" si="12"/>
        <v>0</v>
      </c>
      <c r="I103" s="197">
        <v>3330.41</v>
      </c>
      <c r="J103" s="197"/>
      <c r="K103" s="197">
        <f t="shared" si="15"/>
        <v>3330.41</v>
      </c>
      <c r="L103" s="212">
        <f t="shared" si="10"/>
        <v>0</v>
      </c>
      <c r="M103" s="214"/>
    </row>
    <row r="104" s="171" customFormat="1" customHeight="1" spans="1:13">
      <c r="A104" s="194" t="s">
        <v>1810</v>
      </c>
      <c r="B104" s="195"/>
      <c r="C104" s="220" t="s">
        <v>1811</v>
      </c>
      <c r="D104" s="201">
        <v>1037.6</v>
      </c>
      <c r="E104" s="202"/>
      <c r="F104" s="197">
        <v>1037.6</v>
      </c>
      <c r="G104" s="197">
        <f t="shared" si="14"/>
        <v>0</v>
      </c>
      <c r="H104" s="197">
        <f t="shared" si="12"/>
        <v>0</v>
      </c>
      <c r="I104" s="197">
        <v>1037.6</v>
      </c>
      <c r="J104" s="197"/>
      <c r="K104" s="197">
        <f t="shared" si="15"/>
        <v>1037.6</v>
      </c>
      <c r="L104" s="212">
        <f t="shared" si="10"/>
        <v>0</v>
      </c>
      <c r="M104" s="214"/>
    </row>
    <row r="105" s="171" customFormat="1" customHeight="1" spans="1:13">
      <c r="A105" s="194" t="s">
        <v>1812</v>
      </c>
      <c r="B105" s="195"/>
      <c r="C105" s="220" t="s">
        <v>1813</v>
      </c>
      <c r="D105" s="201">
        <v>16633.25</v>
      </c>
      <c r="E105" s="202"/>
      <c r="F105" s="197">
        <v>16633.25</v>
      </c>
      <c r="G105" s="197">
        <f t="shared" si="14"/>
        <v>0.259999999998399</v>
      </c>
      <c r="H105" s="197">
        <f t="shared" si="12"/>
        <v>0</v>
      </c>
      <c r="I105" s="197">
        <v>16633.51</v>
      </c>
      <c r="J105" s="197"/>
      <c r="K105" s="197">
        <f t="shared" si="15"/>
        <v>16633.51</v>
      </c>
      <c r="L105" s="212">
        <f t="shared" si="10"/>
        <v>0.00156313408383735</v>
      </c>
      <c r="M105" s="214"/>
    </row>
    <row r="106" s="171" customFormat="1" customHeight="1" spans="1:13">
      <c r="A106" s="194" t="s">
        <v>1814</v>
      </c>
      <c r="B106" s="195"/>
      <c r="C106" s="220" t="s">
        <v>584</v>
      </c>
      <c r="D106" s="197">
        <v>425.31</v>
      </c>
      <c r="E106" s="197"/>
      <c r="F106" s="197">
        <v>425.31</v>
      </c>
      <c r="G106" s="197">
        <f t="shared" si="14"/>
        <v>-10.37</v>
      </c>
      <c r="H106" s="197">
        <f t="shared" si="12"/>
        <v>0</v>
      </c>
      <c r="I106" s="197">
        <f>I107</f>
        <v>414.94</v>
      </c>
      <c r="J106" s="197"/>
      <c r="K106" s="197">
        <f t="shared" si="15"/>
        <v>414.94</v>
      </c>
      <c r="L106" s="212">
        <f t="shared" si="10"/>
        <v>-2.43822153252922</v>
      </c>
      <c r="M106" s="214"/>
    </row>
    <row r="107" s="171" customFormat="1" customHeight="1" spans="1:13">
      <c r="A107" s="194" t="s">
        <v>1815</v>
      </c>
      <c r="B107" s="195"/>
      <c r="C107" s="220" t="s">
        <v>1816</v>
      </c>
      <c r="D107" s="197">
        <v>425.31</v>
      </c>
      <c r="E107" s="197"/>
      <c r="F107" s="197">
        <v>425.31</v>
      </c>
      <c r="G107" s="197">
        <f t="shared" si="14"/>
        <v>-10.37</v>
      </c>
      <c r="H107" s="197">
        <f t="shared" si="12"/>
        <v>0</v>
      </c>
      <c r="I107" s="197">
        <f>I108+I109+I110</f>
        <v>414.94</v>
      </c>
      <c r="J107" s="197"/>
      <c r="K107" s="197">
        <f t="shared" si="15"/>
        <v>414.94</v>
      </c>
      <c r="L107" s="212">
        <f t="shared" si="10"/>
        <v>-2.43822153252922</v>
      </c>
      <c r="M107" s="214"/>
    </row>
    <row r="108" s="171" customFormat="1" customHeight="1" spans="1:13">
      <c r="A108" s="194" t="s">
        <v>1817</v>
      </c>
      <c r="B108" s="195"/>
      <c r="C108" s="220" t="s">
        <v>1818</v>
      </c>
      <c r="D108" s="202">
        <v>33.14</v>
      </c>
      <c r="E108" s="202"/>
      <c r="F108" s="197">
        <v>33.14</v>
      </c>
      <c r="G108" s="197">
        <f t="shared" si="14"/>
        <v>-4.92</v>
      </c>
      <c r="H108" s="197">
        <f t="shared" si="12"/>
        <v>0</v>
      </c>
      <c r="I108" s="197">
        <v>28.22</v>
      </c>
      <c r="J108" s="197"/>
      <c r="K108" s="197">
        <f t="shared" si="15"/>
        <v>28.22</v>
      </c>
      <c r="L108" s="212">
        <f t="shared" si="10"/>
        <v>-14.8461074230537</v>
      </c>
      <c r="M108" s="214"/>
    </row>
    <row r="109" s="171" customFormat="1" customHeight="1" spans="1:13">
      <c r="A109" s="194" t="s">
        <v>1819</v>
      </c>
      <c r="B109" s="195"/>
      <c r="C109" s="220" t="s">
        <v>1820</v>
      </c>
      <c r="D109" s="197">
        <v>6</v>
      </c>
      <c r="E109" s="197"/>
      <c r="F109" s="197">
        <v>6</v>
      </c>
      <c r="G109" s="197">
        <f t="shared" si="14"/>
        <v>-1.53</v>
      </c>
      <c r="H109" s="197">
        <f t="shared" si="12"/>
        <v>0</v>
      </c>
      <c r="I109" s="197">
        <v>4.47</v>
      </c>
      <c r="J109" s="197"/>
      <c r="K109" s="197">
        <f t="shared" si="15"/>
        <v>4.47</v>
      </c>
      <c r="L109" s="212">
        <f t="shared" si="10"/>
        <v>-25.5</v>
      </c>
      <c r="M109" s="214"/>
    </row>
    <row r="110" s="171" customFormat="1" customHeight="1" spans="1:13">
      <c r="A110" s="194" t="s">
        <v>1821</v>
      </c>
      <c r="B110" s="195"/>
      <c r="C110" s="220" t="s">
        <v>1822</v>
      </c>
      <c r="D110" s="201">
        <v>386.17</v>
      </c>
      <c r="E110" s="202"/>
      <c r="F110" s="197">
        <v>386.17</v>
      </c>
      <c r="G110" s="197">
        <f t="shared" si="14"/>
        <v>-3.92000000000002</v>
      </c>
      <c r="H110" s="197">
        <f t="shared" si="12"/>
        <v>0</v>
      </c>
      <c r="I110" s="197">
        <v>382.25</v>
      </c>
      <c r="J110" s="197"/>
      <c r="K110" s="197">
        <f t="shared" si="15"/>
        <v>382.25</v>
      </c>
      <c r="L110" s="212">
        <f t="shared" si="10"/>
        <v>-1.01509697801487</v>
      </c>
      <c r="M110" s="214"/>
    </row>
    <row r="111" s="174" customFormat="1" customHeight="1" spans="1:13">
      <c r="A111" s="186"/>
      <c r="B111" s="223"/>
      <c r="C111" s="186" t="s">
        <v>1823</v>
      </c>
      <c r="D111" s="224">
        <v>531399.253</v>
      </c>
      <c r="E111" s="224">
        <v>7342.49</v>
      </c>
      <c r="F111" s="224">
        <v>538740.543</v>
      </c>
      <c r="G111" s="224">
        <f t="shared" ref="G111:I111" si="16">G10+G21+G76+G93+G97+G101+G106</f>
        <v>-136116.443</v>
      </c>
      <c r="H111" s="224">
        <f t="shared" si="16"/>
        <v>-6479.06</v>
      </c>
      <c r="I111" s="224">
        <f t="shared" si="16"/>
        <v>395282.81</v>
      </c>
      <c r="J111" s="224">
        <f>J6+J10+J15+J21+J53+J63+J68+J76+J93+J97+J101+J106</f>
        <v>861.43</v>
      </c>
      <c r="K111" s="224">
        <f>K10+K21+K76+K93+K97+K101+K106</f>
        <v>396144.24</v>
      </c>
      <c r="L111" s="225">
        <f t="shared" si="10"/>
        <v>-26.4684558926912</v>
      </c>
      <c r="M111" s="226"/>
    </row>
  </sheetData>
  <autoFilter xmlns:etc="http://www.wps.cn/officeDocument/2017/etCustomData" ref="A5:XFD111" etc:filterBottomFollowUsedRange="0">
    <filterColumn colId="12">
      <filters blank="1"/>
    </filterColumn>
    <extLst/>
  </autoFilter>
  <mergeCells count="8">
    <mergeCell ref="A2:M2"/>
    <mergeCell ref="D4:F4"/>
    <mergeCell ref="G4:H4"/>
    <mergeCell ref="I4:K4"/>
    <mergeCell ref="C4:C5"/>
    <mergeCell ref="L4:L5"/>
    <mergeCell ref="M4:M5"/>
    <mergeCell ref="A4:B5"/>
  </mergeCells>
  <printOptions horizontalCentered="1"/>
  <pageMargins left="0.393055555555556" right="0.393055555555556" top="0.590277777777778" bottom="0.590277777777778" header="0.196527777777778" footer="0.196527777777778"/>
  <pageSetup paperSize="9" scale="73" fitToHeight="0" orientation="landscape" horizontalDpi="600"/>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封面</vt:lpstr>
      <vt:lpstr>目录</vt:lpstr>
      <vt:lpstr>（附表1）公共财政预算收入</vt:lpstr>
      <vt:lpstr>（附表2）公共预算支出科目</vt:lpstr>
      <vt:lpstr>（附表3）公共预算支出项目</vt:lpstr>
      <vt:lpstr>（附表4）财力性补助</vt:lpstr>
      <vt:lpstr>（附表5）政府性基金预算收入科目</vt:lpstr>
      <vt:lpstr>（附表6）政府性基金预算收入项目</vt:lpstr>
      <vt:lpstr>（附表7）政府性基金预算支出科目</vt:lpstr>
      <vt:lpstr>（附表8）政府性基金预算支出项目</vt:lpstr>
      <vt:lpstr>（附表9）国有资本经营收入表</vt:lpstr>
      <vt:lpstr>（附表10）国有资本经营支出表</vt:lpstr>
      <vt:lpstr>（附表11）社会保险基金收入表</vt:lpstr>
      <vt:lpstr>（附表12）社会保险基金支出表</vt:lpstr>
      <vt:lpstr>（附表13）存量安排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大云朵</cp:lastModifiedBy>
  <dcterms:created xsi:type="dcterms:W3CDTF">2022-12-06T07:07:00Z</dcterms:created>
  <dcterms:modified xsi:type="dcterms:W3CDTF">2024-09-30T10:53:26Z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9AD9E7A39A9440F6BE30A5A1499E888D</vt:lpwstr>
  </property>
  <property fmtid="{D5CDD505-2E9C-101B-9397-08002B2CF9AE}" pid="3" name="KSOProductBuildVer">
    <vt:lpwstr>2052-12.1.0.18276</vt:lpwstr>
  </property>
  <property fmtid="{D5CDD505-2E9C-101B-9397-08002B2CF9AE}" pid="4" name="KSOReadingLayout">
    <vt:bool>false</vt:bool>
  </property>
</Properties>
</file>