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92"/>
  </bookViews>
  <sheets>
    <sheet name="封面" sheetId="28" r:id="rId1"/>
    <sheet name="目录" sheetId="83" r:id="rId2"/>
    <sheet name="（附表1）一般公共预算收入" sheetId="62" r:id="rId3"/>
    <sheet name="（附表2）一般公共预算支出科目" sheetId="112" r:id="rId4"/>
    <sheet name="（附表3）一般公共预算支出项目" sheetId="110" r:id="rId5"/>
    <sheet name="（附表4）财力" sheetId="109" r:id="rId6"/>
    <sheet name="（附表5）政府性基金预算收入科目" sheetId="107" r:id="rId7"/>
    <sheet name="（附表6）政府性基金预算收入项目" sheetId="104" r:id="rId8"/>
    <sheet name="（附表7）政府性基金预算支出科目" sheetId="60" r:id="rId9"/>
    <sheet name="（附表8）政府性基金预算支出项目" sheetId="108" r:id="rId10"/>
    <sheet name="（附表9）国有资本经营收入" sheetId="56" r:id="rId11"/>
    <sheet name="（附表10）国有资本经营支出" sheetId="57" r:id="rId12"/>
    <sheet name="（附表11）社会保险基金收入" sheetId="71" r:id="rId13"/>
    <sheet name="（附表12）社会保险基金支出" sheetId="72" r:id="rId14"/>
    <sheet name="（附表13）新增债券资金年限利率" sheetId="113" r:id="rId15"/>
    <sheet name="（附表14）新增债券资金分配" sheetId="105" r:id="rId16"/>
    <sheet name="（附表15）新增债券资金用途调整" sheetId="106" r:id="rId17"/>
    <sheet name="（附表16）盘活资金" sheetId="67" r:id="rId18"/>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xlnm._FilterDatabase" localSheetId="3" hidden="1">'（附表2）一般公共预算支出科目'!$A$5:$M$438</definedName>
    <definedName name="_xlnm._FilterDatabase" localSheetId="4" hidden="1">'（附表3）一般公共预算支出项目'!$A$4:$H$448</definedName>
    <definedName name="_xlnm._FilterDatabase" localSheetId="8" hidden="1">'（附表7）政府性基金预算支出科目'!$5:$119</definedName>
    <definedName name="_xlnm._FilterDatabase" localSheetId="9" hidden="1">'（附表8）政府性基金预算支出项目'!$A$4:$I$168</definedName>
    <definedName name="_xlnm._FilterDatabase" localSheetId="14" hidden="1">'（附表13）新增债券资金年限利率'!$A$6:$O$13</definedName>
    <definedName name="_xlnm._FilterDatabase" localSheetId="15" hidden="1">'（附表14）新增债券资金分配'!$A$6:$S$28</definedName>
    <definedName name="_xlnm._FilterDatabase" localSheetId="2" hidden="1">'（附表1）一般公共预算收入'!$A$7:$O$51</definedName>
    <definedName name="_xlnm.Print_Titles" localSheetId="2">'（附表1）一般公共预算收入'!$1:$6</definedName>
    <definedName name="_xlnm.Print_Titles" localSheetId="8">'（附表7）政府性基金预算支出科目'!$1:$5</definedName>
    <definedName name="_xlnm.Print_Titles" localSheetId="17">'（附表16）盘活资金'!$1:$2</definedName>
    <definedName name="F">[6]项目类型!$F$3:$F$75</definedName>
    <definedName name="\q">[1]国家!#REF!</definedName>
    <definedName name="\w">[2]国家!#REF!</definedName>
    <definedName name="\z">[3]中央!#REF!</definedName>
    <definedName name="\zz">[4]中央!#REF!</definedName>
    <definedName name="_Order1" hidden="1">255</definedName>
    <definedName name="_Order2" hidden="1">255</definedName>
    <definedName name="aaa">[3]中央!#REF!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izhong">[2]国家!#REF!</definedName>
    <definedName name="da">#N/A</definedName>
    <definedName name="dadaf">#N/A</definedName>
    <definedName name="dads">#N/A</definedName>
    <definedName name="daggaga">#N/A</definedName>
    <definedName name="dasdfasd">#N/A</definedName>
    <definedName name="Database">[5]PKx!$A$1:$AP$622</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'[7]P1012001'!$A$6:$E$117</definedName>
    <definedName name="gxxe20032">'[8]P1012001'!$A$6:$E$117</definedName>
    <definedName name="jdfajsfdj">#N/A</definedName>
    <definedName name="jdjfadsjf">#N/A</definedName>
    <definedName name="jjgajsdfjasd">#N/A</definedName>
    <definedName name="kdfkasj">#N/A</definedName>
    <definedName name="kgak">#N/A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XMFL">[9]项目类型!$F$3:$F$75</definedName>
    <definedName name="XMFL2">[10]项目类型!$F$3:$F$75</definedName>
    <definedName name="XMLX">[11]下拉选项!#REF!</definedName>
    <definedName name="ZCSX">[11]下拉选项!$I$3:$I$14</definedName>
    <definedName name="本年">'[12]1-4余额表'!$L$3</definedName>
    <definedName name="成本差异系数">VLOOKUP([13]公路里程!$C1,[14]差异系数!$A$6:$C$229,3,)</definedName>
    <definedName name="城市维护费">VLOOKUP([13]公路里程!$D1,'[15]2009'!$A$10:$AS$255,40,)</definedName>
    <definedName name="村级支出">VLOOKUP([13]公路里程!$D1,'[16]L24'!$B$7:$Y$4958,9,)</definedName>
    <definedName name="当年">'[17]1-1余额表'!$L$1</definedName>
    <definedName name="地方病防治系数">VLOOKUP([13]公路里程!$C1,[14]data!$C$6:$AR$210,42,)</definedName>
    <definedName name="地区">OFFSET('[17]1-1余额表'!$A$7,,,COUNTA('[17]1-1余额表'!$A:$A)-1)</definedName>
    <definedName name="地区名称">'[18]01北京市'!#REF!</definedName>
    <definedName name="公共安全部门">VLOOKUP([13]公路里程!$D1,'[15]2009'!$A$10:$AS$255,33,)</definedName>
    <definedName name="公司主管部门">[19]有效性列表!$B$2:$B$7</definedName>
    <definedName name="行政部门">VLOOKUP([13]公路里程!$D1,'[15]2009'!$A$10:$AS$255,30,)</definedName>
    <definedName name="行政区划">[19]区划对应表!$A$20:$A$36</definedName>
    <definedName name="行政区划级次">[19]有效性列表!$A$2:$A$6</definedName>
    <definedName name="行政区划名称">[20]区划对应表!$B$1:$B$19</definedName>
    <definedName name="交通费">VLOOKUP([21]经费权重!$B1,[22]分县数据!$A$9:$BA$258,23,)</definedName>
    <definedName name="教育部门">VLOOKUP([13]公路里程!$D1,'[15]2009'!$A$10:$AS$255,34,)</definedName>
    <definedName name="离退休">VLOOKUP([13]公路里程!$D1,[23]Sheet1!$A$3:$J$252,2,)</definedName>
    <definedName name="林业部门">VLOOKUP([13]公路里程!$D1,[23]Sheet1!$A$3:$J$252,6,)</definedName>
    <definedName name="农业部门">VLOOKUP([13]公路里程!$D1,[23]Sheet1!$A$7:$J$252,5,)</definedName>
    <definedName name="平台法人性质">[24]参数表!$D$2:$D$4</definedName>
    <definedName name="其他支出">VLOOKUP([13]公路里程!$D1,'[15]2009'!$A$10:$AS$255,45,)</definedName>
    <definedName name="取暖费">VLOOKUP([21]经费权重!$B1,[22]分县数据!$A$9:$BA$258,21,)</definedName>
    <definedName name="去年">'[12]1-4余额表'!$L$4</definedName>
    <definedName name="全部担保">OFFSET('[17]1-1余额表'!$G$7,,,COUNTA('[17]1-1余额表'!$G:$G)-1)</definedName>
    <definedName name="全部一般">OFFSET('[17]1-1余额表'!$E$7,,,COUNTA('[17]1-1余额表'!$E:$E)-1)</definedName>
    <definedName name="全部余额">OFFSET('[17]1-1余额表'!$C$7,,,COUNTA('[17]1-1余额表'!$C:$C)-1)</definedName>
    <definedName name="全部直接">OFFSET('[17]1-1余额表'!$D$7,,,COUNTA('[17]1-1余额表'!$D:$D)-1)</definedName>
    <definedName name="全部专项">OFFSET('[17]1-1余额表'!$F$7,,,COUNTA('[17]1-1余额表'!$F:$F)-1)</definedName>
    <definedName name="全额差额比例">'[25]C01-1'!#REF!</definedName>
    <definedName name="人员经费">VLOOKUP([21]经费权重!$B1,[22]分县数据!$A$9:$BA$258,4,)+VLOOKUP([21]经费权重!$B1,[22]分县数据!$A$9:$BA$258,39,)</definedName>
    <definedName name="上年">'[12]1-4余额表'!$L$2</definedName>
    <definedName name="社会保障支出">VLOOKUP([13]公路里程!$D1,'[26]2007'!$A$10:$AS$257,29,)</definedName>
    <definedName name="省级担保">OFFSET('[17]2-11担保分级表'!$C$6,,,COUNTA('[17]2-11担保分级表'!$C:$C)-1)</definedName>
    <definedName name="省级一般">OFFSET('[17]2-7一般分级表'!$C$6,,,COUNTA('[17]2-7一般分级表'!$C:$C)-1)</definedName>
    <definedName name="省级余额">OFFSET('[17]2-1余额分级表'!$C$6,,,COUNTA('[17]2-1余额分级表'!$C:$C)-1)</definedName>
    <definedName name="省级直接">OFFSET('[17]2-5直接分级表'!$C$6,,,COUNTA('[17]2-5直接分级表'!$C:$C)-1)</definedName>
    <definedName name="省级专项">OFFSET('[17]2-9专项分级表'!$C$6,,,COUNTA('[17]2-9专项分级表'!$C:$C)-1)</definedName>
    <definedName name="省区">[27]总表!$B$12:$B$47</definedName>
    <definedName name="市级担保">OFFSET('[17]2-11担保分级表'!$E$6,,,COUNTA('[17]2-11担保分级表'!$E:$E)-1)</definedName>
    <definedName name="市级一般">OFFSET('[17]2-7一般分级表'!$E$6,,,COUNTA('[17]2-7一般分级表'!$E:$E)-1)</definedName>
    <definedName name="市级余额">OFFSET('[17]2-1余额分级表'!$E$6,,,COUNTA('[17]2-1余额分级表'!$E:$E)-1)</definedName>
    <definedName name="市级直接">OFFSET('[17]2-5直接分级表'!$E$6,,,COUNTA('[17]2-5直接分级表'!$E:$E)-1)</definedName>
    <definedName name="市级专项">OFFSET('[17]2-9专项分级表'!$E$6,,,COUNTA('[17]2-9专项分级表'!$E:$E)-1)</definedName>
    <definedName name="是否立项">[28]区划对应表!$E$1:$E$2</definedName>
    <definedName name="水利部门">VLOOKUP([13]公路里程!$D1,[23]Sheet1!$A$3:$J$252,7,)</definedName>
    <definedName name="四季度">'[25]C01-1'!#REF!</definedName>
    <definedName name="卫生部门">VLOOKUP([13]公路里程!$D1,'[15]2009'!$A$10:$AS$255,38,)</definedName>
    <definedName name="位次d">[29]四月份月报!#REF!</definedName>
    <definedName name="文体广部门">VLOOKUP([13]公路里程!$D1,'[15]2009'!$A$10:$AS$255,36,)</definedName>
    <definedName name="县级担保">OFFSET('[17]2-11担保分级表'!$G$6,,,COUNTA('[17]2-11担保分级表'!$G:$G)-1)</definedName>
    <definedName name="县级一般">OFFSET('[17]2-7一般分级表'!$G$6,,,COUNTA('[17]2-7一般分级表'!$G:$G)-1)</definedName>
    <definedName name="县级余额">OFFSET('[17]2-1余额分级表'!$G$6,,,COUNTA('[17]2-1余额分级表'!$G:$G)-1)</definedName>
    <definedName name="县级直接">OFFSET('[17]2-5直接分级表'!$G$6,,,COUNTA('[17]2-5直接分级表'!$G:$G)-1)</definedName>
    <definedName name="县级专项">OFFSET('[17]2-9专项分级表'!$G$6,,,COUNTA('[17]2-9专项分级表'!$G:$G)-1)</definedName>
    <definedName name="乡级担保">OFFSET('[17]2-11担保分级表'!$I$6,,,COUNTA('[17]2-11担保分级表'!$I:$I)-1)</definedName>
    <definedName name="乡级一般">OFFSET('[17]2-7一般分级表'!$I$6,,,COUNTA('[17]2-7一般分级表'!$I:$I)-1)</definedName>
    <definedName name="乡级余额">OFFSET('[17]2-1余额分级表'!$I$6,,,COUNTA('[17]2-1余额分级表'!$I:$I)-1)</definedName>
    <definedName name="乡级直接">OFFSET('[17]2-5直接分级表'!$I$6,,,COUNTA('[17]2-5直接分级表'!$I:$I)-1)</definedName>
    <definedName name="乡级专项">OFFSET('[17]2-9专项分级表'!$I$6,,,COUNTA('[17]2-9专项分级表'!$I:$I)-1)</definedName>
    <definedName name="项目类型">[30]基础数据!$A$1:$A$66</definedName>
    <definedName name="性别">[31]基础编码!$H$2:$H$3</definedName>
    <definedName name="学历">[31]基础编码!$S$2:$S$9</definedName>
    <definedName name="银行贷款所在地">[28]区划对应表!$D$1:$D$202</definedName>
    <definedName name="银行类型二">[30]基础数据!$E$1:$E$216</definedName>
    <definedName name="银行类型一">[30]基础数据!$C$1:$C$21</definedName>
    <definedName name="政策性挂账">OFFSET('[17]1-1余额表'!$H$7,,,COUNTA('[17]1-1余额表'!$H:$H)-1)</definedName>
    <definedName name="支出">'[32]P1012001'!$A$6:$E$117</definedName>
    <definedName name="总支出">VLOOKUP([21]经费权重!$B1,[22]分县数据!$A$9:$BA$258,3,)</definedName>
    <definedName name="_123">OFFSET(#REF!,,,COUNTA(#REF!)-1)</definedName>
    <definedName name="a">#REF!</definedName>
    <definedName name="aa">#REF!</definedName>
    <definedName name="ABC">#REF!</definedName>
    <definedName name="ABD">#REF!</definedName>
    <definedName name="county">#REF!</definedName>
    <definedName name="data">#REF!</definedName>
    <definedName name="database2">#REF!</definedName>
    <definedName name="database3">#REF!</definedName>
    <definedName name="ddd">#REF!</definedName>
    <definedName name="dddd">[33]人民银行!#REF!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jsldkfjsdljflsdkjf">#REF!</definedName>
    <definedName name="hhhh">#REF!</definedName>
    <definedName name="kkkk">#REF!</definedName>
    <definedName name="Print_Area_MI">#REF!</definedName>
    <definedName name="qqqqqqqqqqqqqqqqqqqqqqq">#REF!</definedName>
    <definedName name="sheng">#REF!</definedName>
    <definedName name="summary">#REF!</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xxxx">[33]人民银行!#REF!</definedName>
    <definedName name="zqlx">[34]DB!$M$43:$M$46</definedName>
    <definedName name="北京市行政区划">#REF!</definedName>
    <definedName name="财政供养">#REF!</definedName>
    <definedName name="产品">[35]Chap5_1!$A$1:$E$72</definedName>
    <definedName name="处室">#REF!</definedName>
    <definedName name="还有">#REF!</definedName>
    <definedName name="汇率">#REF!</definedName>
    <definedName name="基金处室">#REF!</definedName>
    <definedName name="基金金额">#REF!</definedName>
    <definedName name="基金科目">#REF!</definedName>
    <definedName name="基金类型">#REF!</definedName>
    <definedName name="金额">#REF!</definedName>
    <definedName name="科目">#REF!</definedName>
    <definedName name="类型">#REF!</definedName>
    <definedName name="区划">#REF!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8">#REF!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전">#REF!</definedName>
    <definedName name="주택사업본부">#REF!</definedName>
    <definedName name="철구사업본부">#REF!</definedName>
    <definedName name="_xlnm.Print_Titles" localSheetId="7">'（附表6）政府性基金预算收入项目'!$1:$4</definedName>
    <definedName name="_xlnm.Print_Titles" localSheetId="15">'（附表14）新增债券资金分配'!$1:$6</definedName>
    <definedName name="_xlnm.Print_Area" localSheetId="16">'（附表15）新增债券资金用途调整'!$A$1:$P$29</definedName>
    <definedName name="_xlnm._FilterDatabase" localSheetId="16" hidden="1">'（附表15）新增债券资金用途调整'!$A$7:$GW$16</definedName>
    <definedName name="_xlnm.Print_Titles" localSheetId="16">'（附表15）新增债券资金用途调整'!$2:$5</definedName>
    <definedName name="_xlnm.Print_Titles" localSheetId="6">'（附表5）政府性基金预算收入科目'!$1:$5</definedName>
    <definedName name="_123" localSheetId="6">OFFSET(#REF!,,,COUNTA(#REF!)-1)</definedName>
    <definedName name="a" localSheetId="6">#REF!</definedName>
    <definedName name="aa" localSheetId="6">#REF!</definedName>
    <definedName name="ABC" localSheetId="6">#REF!</definedName>
    <definedName name="ABD" localSheetId="6">#REF!</definedName>
    <definedName name="county" localSheetId="6">#REF!</definedName>
    <definedName name="data" localSheetId="6">#REF!</definedName>
    <definedName name="database2" localSheetId="6">#REF!</definedName>
    <definedName name="database3" localSheetId="6">#REF!</definedName>
    <definedName name="ddd" localSheetId="6">#REF!</definedName>
    <definedName name="FAMERangeexchebAD12" localSheetId="6">#REF!</definedName>
    <definedName name="FAMERangeirsAD12" localSheetId="6">#REF!</definedName>
    <definedName name="FAMERangeMGSV" localSheetId="6">#REF!</definedName>
    <definedName name="FAMERangeMGSVAB10" localSheetId="6">#REF!</definedName>
    <definedName name="FAMERangeMGSVAB11" localSheetId="6">#REF!</definedName>
    <definedName name="FAMERangeMGSVAB12" localSheetId="6">#REF!</definedName>
    <definedName name="FAMERangeMGSVAB13" localSheetId="6">#REF!</definedName>
    <definedName name="FAMERangeMGSVAB14" localSheetId="6">#REF!</definedName>
    <definedName name="FAMERangeMGSVAB15" localSheetId="6">#REF!</definedName>
    <definedName name="FAMERangeMGSVAB16" localSheetId="6">#REF!</definedName>
    <definedName name="FAMERangeMGSVAB17" localSheetId="6">#REF!</definedName>
    <definedName name="FAMERangeMGSVAB18" localSheetId="6">#REF!</definedName>
    <definedName name="FAMERangeMGSVAB19" localSheetId="6">#REF!</definedName>
    <definedName name="FAMERangeMGSVAB20" localSheetId="6">#REF!</definedName>
    <definedName name="FAMERangeMGSVAB21" localSheetId="6">#REF!</definedName>
    <definedName name="FAMERangeMGSVAB22" localSheetId="6">#REF!</definedName>
    <definedName name="FAMERangeMGSVAB23" localSheetId="6">#REF!</definedName>
    <definedName name="FAMERangeMGSVAB24" localSheetId="6">#REF!</definedName>
    <definedName name="FAMERangeMGSVAB25" localSheetId="6">#REF!</definedName>
    <definedName name="FAMERangeMGSVAB26" localSheetId="6">#REF!</definedName>
    <definedName name="FAMERangeMGSVAB27" localSheetId="6">#REF!</definedName>
    <definedName name="FAMERangeMGSVAB28" localSheetId="6">#REF!</definedName>
    <definedName name="FAMERangeMGSVAB29" localSheetId="6">#REF!</definedName>
    <definedName name="FAMERangeMGSVAB30" localSheetId="6">#REF!</definedName>
    <definedName name="FAMERangeMGSVAB31" localSheetId="6">#REF!</definedName>
    <definedName name="FAMERangeMGSVAB32" localSheetId="6">#REF!</definedName>
    <definedName name="FAMERangeMGSVAB33" localSheetId="6">#REF!</definedName>
    <definedName name="FAMERangeMGSVAB34" localSheetId="6">#REF!</definedName>
    <definedName name="FAMERangeMGSVAB35" localSheetId="6">#REF!</definedName>
    <definedName name="FAMERangeMGSVAB36" localSheetId="6">#REF!</definedName>
    <definedName name="FAMERangeMGSVAB38" localSheetId="6">#REF!</definedName>
    <definedName name="FAMERangeMGSVAB5" localSheetId="6">#REF!</definedName>
    <definedName name="FAMERangeMGSVAB6" localSheetId="6">#REF!</definedName>
    <definedName name="FAMERangeMGSVAB7" localSheetId="6">#REF!</definedName>
    <definedName name="FAMERangeMGSVAB8" localSheetId="6">#REF!</definedName>
    <definedName name="FAMERangeMGSVAB9" localSheetId="6">#REF!</definedName>
    <definedName name="FAMERangeMGSVAC10" localSheetId="6">#REF!</definedName>
    <definedName name="FAMERangeMGSVAC11" localSheetId="6">#REF!</definedName>
    <definedName name="FAMERangeMGSVAC12" localSheetId="6">#REF!</definedName>
    <definedName name="FAMERangeMGSVAC13" localSheetId="6">#REF!</definedName>
    <definedName name="FAMERangeMGSVAC14" localSheetId="6">#REF!</definedName>
    <definedName name="FAMERangeMGSVAC15" localSheetId="6">#REF!</definedName>
    <definedName name="FAMERangeMGSVAC16" localSheetId="6">#REF!</definedName>
    <definedName name="FAMERangeMGSVAC17" localSheetId="6">#REF!</definedName>
    <definedName name="FAMERangeMGSVAC18" localSheetId="6">#REF!</definedName>
    <definedName name="FAMERangeMGSVAC19" localSheetId="6">#REF!</definedName>
    <definedName name="FAMERangeMGSVAC20" localSheetId="6">#REF!</definedName>
    <definedName name="FAMERangeMGSVAC21" localSheetId="6">#REF!</definedName>
    <definedName name="FAMERangeMGSVAC22" localSheetId="6">#REF!</definedName>
    <definedName name="FAMERangeMGSVAC23" localSheetId="6">#REF!</definedName>
    <definedName name="FAMERangeMGSVAC24" localSheetId="6">#REF!</definedName>
    <definedName name="FAMERangeMGSVAC25" localSheetId="6">#REF!</definedName>
    <definedName name="FAMERangeMGSVAC26" localSheetId="6">#REF!</definedName>
    <definedName name="FAMERangeMGSVAC27" localSheetId="6">#REF!</definedName>
    <definedName name="FAMERangeMGSVAC28" localSheetId="6">#REF!</definedName>
    <definedName name="FAMERangeMGSVAC29" localSheetId="6">#REF!</definedName>
    <definedName name="FAMERangeMGSVAC30" localSheetId="6">#REF!</definedName>
    <definedName name="FAMERangeMGSVAC31" localSheetId="6">#REF!</definedName>
    <definedName name="FAMERangeMGSVAC32" localSheetId="6">#REF!</definedName>
    <definedName name="FAMERangeMGSVAC33" localSheetId="6">#REF!</definedName>
    <definedName name="FAMERangeMGSVAC34" localSheetId="6">#REF!</definedName>
    <definedName name="FAMERangeMGSVAC35" localSheetId="6">#REF!</definedName>
    <definedName name="FAMERangeMGSVAC36" localSheetId="6">#REF!</definedName>
    <definedName name="FAMERangeMGSVAC38" localSheetId="6">#REF!</definedName>
    <definedName name="FAMERangeMGSVAC5" localSheetId="6">#REF!</definedName>
    <definedName name="FAMERangeMGSVAC6" localSheetId="6">#REF!</definedName>
    <definedName name="FAMERangeMGSVAC7" localSheetId="6">#REF!</definedName>
    <definedName name="FAMERangeMGSVAC8" localSheetId="6">#REF!</definedName>
    <definedName name="FAMERangeMGSVAC9" localSheetId="6">#REF!</definedName>
    <definedName name="FAMERangeMGSVAD10" localSheetId="6">#REF!</definedName>
    <definedName name="FAMERangeMGSVAD11" localSheetId="6">#REF!</definedName>
    <definedName name="FAMERangeMGSVAD12" localSheetId="6">#REF!</definedName>
    <definedName name="FAMERangeMGSVAD13" localSheetId="6">#REF!</definedName>
    <definedName name="FAMERangeMGSVAD14" localSheetId="6">#REF!</definedName>
    <definedName name="FAMERangeMGSVAD15" localSheetId="6">#REF!</definedName>
    <definedName name="FAMERangeMGSVAD16" localSheetId="6">#REF!</definedName>
    <definedName name="FAMERangeMGSVAD17" localSheetId="6">#REF!</definedName>
    <definedName name="FAMERangeMGSVAD18" localSheetId="6">#REF!</definedName>
    <definedName name="FAMERangeMGSVAD19" localSheetId="6">#REF!</definedName>
    <definedName name="FAMERangeMGSVAD20" localSheetId="6">#REF!</definedName>
    <definedName name="FAMERangeMGSVAD21" localSheetId="6">#REF!</definedName>
    <definedName name="FAMERangeMGSVAD22" localSheetId="6">#REF!</definedName>
    <definedName name="FAMERangeMGSVAD23" localSheetId="6">#REF!</definedName>
    <definedName name="FAMERangeMGSVAD24" localSheetId="6">#REF!</definedName>
    <definedName name="FAMERangeMGSVAD25" localSheetId="6">#REF!</definedName>
    <definedName name="FAMERangeMGSVAD26" localSheetId="6">#REF!</definedName>
    <definedName name="FAMERangeMGSVAD27" localSheetId="6">#REF!</definedName>
    <definedName name="FAMERangeMGSVAD28" localSheetId="6">#REF!</definedName>
    <definedName name="FAMERangeMGSVAD29" localSheetId="6">#REF!</definedName>
    <definedName name="FAMERangeMGSVAD30" localSheetId="6">#REF!</definedName>
    <definedName name="FAMERangeMGSVAD31" localSheetId="6">#REF!</definedName>
    <definedName name="FAMERangeMGSVAD32" localSheetId="6">#REF!</definedName>
    <definedName name="FAMERangeMGSVAD33" localSheetId="6">#REF!</definedName>
    <definedName name="FAMERangeMGSVAD34" localSheetId="6">#REF!</definedName>
    <definedName name="FAMERangeMGSVAD35" localSheetId="6">#REF!</definedName>
    <definedName name="FAMERangeMGSVAD36" localSheetId="6">#REF!</definedName>
    <definedName name="FAMERangeMGSVAD38" localSheetId="6">#REF!</definedName>
    <definedName name="FAMERangeMGSVAD5" localSheetId="6">#REF!</definedName>
    <definedName name="FAMERangeMGSVAD6" localSheetId="6">#REF!</definedName>
    <definedName name="FAMERangeMGSVAD7" localSheetId="6">#REF!</definedName>
    <definedName name="FAMERangeMGSVAD8" localSheetId="6">#REF!</definedName>
    <definedName name="FAMERangeMGSVAD9" localSheetId="6">#REF!</definedName>
    <definedName name="fjsldkfjsdljflsdkjf" localSheetId="6">#REF!</definedName>
    <definedName name="hhhh" localSheetId="6">#REF!</definedName>
    <definedName name="kkkk" localSheetId="6">#REF!</definedName>
    <definedName name="Print_Area_MI" localSheetId="6">#REF!</definedName>
    <definedName name="qqqqqqqqqqqqqqqqqqqqqqq" localSheetId="6">#REF!</definedName>
    <definedName name="sheng" localSheetId="6">#REF!</definedName>
    <definedName name="summary" localSheetId="6">#REF!</definedName>
    <definedName name="UniqueRange_37" localSheetId="6">#REF!</definedName>
    <definedName name="UniqueRange_38" localSheetId="6">#REF!</definedName>
    <definedName name="UniqueRange_39" localSheetId="6">#REF!</definedName>
    <definedName name="UniqueRange_40" localSheetId="6">#REF!</definedName>
    <definedName name="UniqueRange_41" localSheetId="6">#REF!</definedName>
    <definedName name="UniqueRange_42" localSheetId="6">#REF!</definedName>
    <definedName name="UniqueRange_43" localSheetId="6">#REF!</definedName>
    <definedName name="UniqueRange_44" localSheetId="6">#REF!</definedName>
    <definedName name="UniqueRange_45" localSheetId="6">#REF!</definedName>
    <definedName name="UniqueRange_46" localSheetId="6">#REF!</definedName>
    <definedName name="UniqueRange_47" localSheetId="6">#REF!</definedName>
    <definedName name="北京市行政区划" localSheetId="6">#REF!</definedName>
    <definedName name="财政供养" localSheetId="6">#REF!</definedName>
    <definedName name="处室" localSheetId="6">#REF!</definedName>
    <definedName name="还有" localSheetId="6">#REF!</definedName>
    <definedName name="汇率" localSheetId="6">#REF!</definedName>
    <definedName name="基金处室" localSheetId="6">#REF!</definedName>
    <definedName name="基金金额" localSheetId="6">#REF!</definedName>
    <definedName name="基金科目" localSheetId="6">#REF!</definedName>
    <definedName name="基金类型" localSheetId="6">#REF!</definedName>
    <definedName name="金额" localSheetId="6">#REF!</definedName>
    <definedName name="科目" localSheetId="6">#REF!</definedName>
    <definedName name="类型" localSheetId="6">#REF!</definedName>
    <definedName name="区划" localSheetId="6">#REF!</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8"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전" localSheetId="6">#REF!</definedName>
    <definedName name="주택사업본부" localSheetId="6">#REF!</definedName>
    <definedName name="철구사업본부" localSheetId="6">#REF!</definedName>
    <definedName name="_123" localSheetId="9">OFFSET(#REF!,,,COUNTA(#REF!)-1)</definedName>
    <definedName name="a" localSheetId="9">#REF!</definedName>
    <definedName name="aa" localSheetId="9">#REF!</definedName>
    <definedName name="ABC" localSheetId="9">#REF!</definedName>
    <definedName name="ABD" localSheetId="9">#REF!</definedName>
    <definedName name="county" localSheetId="9">#REF!</definedName>
    <definedName name="data" localSheetId="9">#REF!</definedName>
    <definedName name="database2" localSheetId="9">#REF!</definedName>
    <definedName name="database3" localSheetId="9">#REF!</definedName>
    <definedName name="ddd" localSheetId="9">#REF!</definedName>
    <definedName name="FAMERangeexchebAD12" localSheetId="9">#REF!</definedName>
    <definedName name="FAMERangeirsAD12" localSheetId="9">#REF!</definedName>
    <definedName name="FAMERangeMGSV" localSheetId="9">#REF!</definedName>
    <definedName name="FAMERangeMGSVAB10" localSheetId="9">#REF!</definedName>
    <definedName name="FAMERangeMGSVAB11" localSheetId="9">#REF!</definedName>
    <definedName name="FAMERangeMGSVAB12" localSheetId="9">#REF!</definedName>
    <definedName name="FAMERangeMGSVAB13" localSheetId="9">#REF!</definedName>
    <definedName name="FAMERangeMGSVAB14" localSheetId="9">#REF!</definedName>
    <definedName name="FAMERangeMGSVAB15" localSheetId="9">#REF!</definedName>
    <definedName name="FAMERangeMGSVAB16" localSheetId="9">#REF!</definedName>
    <definedName name="FAMERangeMGSVAB17" localSheetId="9">#REF!</definedName>
    <definedName name="FAMERangeMGSVAB18" localSheetId="9">#REF!</definedName>
    <definedName name="FAMERangeMGSVAB19" localSheetId="9">#REF!</definedName>
    <definedName name="FAMERangeMGSVAB20" localSheetId="9">#REF!</definedName>
    <definedName name="FAMERangeMGSVAB21" localSheetId="9">#REF!</definedName>
    <definedName name="FAMERangeMGSVAB22" localSheetId="9">#REF!</definedName>
    <definedName name="FAMERangeMGSVAB23" localSheetId="9">#REF!</definedName>
    <definedName name="FAMERangeMGSVAB24" localSheetId="9">#REF!</definedName>
    <definedName name="FAMERangeMGSVAB25" localSheetId="9">#REF!</definedName>
    <definedName name="FAMERangeMGSVAB26" localSheetId="9">#REF!</definedName>
    <definedName name="FAMERangeMGSVAB27" localSheetId="9">#REF!</definedName>
    <definedName name="FAMERangeMGSVAB28" localSheetId="9">#REF!</definedName>
    <definedName name="FAMERangeMGSVAB29" localSheetId="9">#REF!</definedName>
    <definedName name="FAMERangeMGSVAB30" localSheetId="9">#REF!</definedName>
    <definedName name="FAMERangeMGSVAB31" localSheetId="9">#REF!</definedName>
    <definedName name="FAMERangeMGSVAB32" localSheetId="9">#REF!</definedName>
    <definedName name="FAMERangeMGSVAB33" localSheetId="9">#REF!</definedName>
    <definedName name="FAMERangeMGSVAB34" localSheetId="9">#REF!</definedName>
    <definedName name="FAMERangeMGSVAB35" localSheetId="9">#REF!</definedName>
    <definedName name="FAMERangeMGSVAB36" localSheetId="9">#REF!</definedName>
    <definedName name="FAMERangeMGSVAB38" localSheetId="9">#REF!</definedName>
    <definedName name="FAMERangeMGSVAB5" localSheetId="9">#REF!</definedName>
    <definedName name="FAMERangeMGSVAB6" localSheetId="9">#REF!</definedName>
    <definedName name="FAMERangeMGSVAB7" localSheetId="9">#REF!</definedName>
    <definedName name="FAMERangeMGSVAB8" localSheetId="9">#REF!</definedName>
    <definedName name="FAMERangeMGSVAB9" localSheetId="9">#REF!</definedName>
    <definedName name="FAMERangeMGSVAC10" localSheetId="9">#REF!</definedName>
    <definedName name="FAMERangeMGSVAC11" localSheetId="9">#REF!</definedName>
    <definedName name="FAMERangeMGSVAC12" localSheetId="9">#REF!</definedName>
    <definedName name="FAMERangeMGSVAC13" localSheetId="9">#REF!</definedName>
    <definedName name="FAMERangeMGSVAC14" localSheetId="9">#REF!</definedName>
    <definedName name="FAMERangeMGSVAC15" localSheetId="9">#REF!</definedName>
    <definedName name="FAMERangeMGSVAC16" localSheetId="9">#REF!</definedName>
    <definedName name="FAMERangeMGSVAC17" localSheetId="9">#REF!</definedName>
    <definedName name="FAMERangeMGSVAC18" localSheetId="9">#REF!</definedName>
    <definedName name="FAMERangeMGSVAC19" localSheetId="9">#REF!</definedName>
    <definedName name="FAMERangeMGSVAC20" localSheetId="9">#REF!</definedName>
    <definedName name="FAMERangeMGSVAC21" localSheetId="9">#REF!</definedName>
    <definedName name="FAMERangeMGSVAC22" localSheetId="9">#REF!</definedName>
    <definedName name="FAMERangeMGSVAC23" localSheetId="9">#REF!</definedName>
    <definedName name="FAMERangeMGSVAC24" localSheetId="9">#REF!</definedName>
    <definedName name="FAMERangeMGSVAC25" localSheetId="9">#REF!</definedName>
    <definedName name="FAMERangeMGSVAC26" localSheetId="9">#REF!</definedName>
    <definedName name="FAMERangeMGSVAC27" localSheetId="9">#REF!</definedName>
    <definedName name="FAMERangeMGSVAC28" localSheetId="9">#REF!</definedName>
    <definedName name="FAMERangeMGSVAC29" localSheetId="9">#REF!</definedName>
    <definedName name="FAMERangeMGSVAC30" localSheetId="9">#REF!</definedName>
    <definedName name="FAMERangeMGSVAC31" localSheetId="9">#REF!</definedName>
    <definedName name="FAMERangeMGSVAC32" localSheetId="9">#REF!</definedName>
    <definedName name="FAMERangeMGSVAC33" localSheetId="9">#REF!</definedName>
    <definedName name="FAMERangeMGSVAC34" localSheetId="9">#REF!</definedName>
    <definedName name="FAMERangeMGSVAC35" localSheetId="9">#REF!</definedName>
    <definedName name="FAMERangeMGSVAC36" localSheetId="9">#REF!</definedName>
    <definedName name="FAMERangeMGSVAC38" localSheetId="9">#REF!</definedName>
    <definedName name="FAMERangeMGSVAC5" localSheetId="9">#REF!</definedName>
    <definedName name="FAMERangeMGSVAC6" localSheetId="9">#REF!</definedName>
    <definedName name="FAMERangeMGSVAC7" localSheetId="9">#REF!</definedName>
    <definedName name="FAMERangeMGSVAC8" localSheetId="9">#REF!</definedName>
    <definedName name="FAMERangeMGSVAC9" localSheetId="9">#REF!</definedName>
    <definedName name="FAMERangeMGSVAD10" localSheetId="9">#REF!</definedName>
    <definedName name="FAMERangeMGSVAD11" localSheetId="9">#REF!</definedName>
    <definedName name="FAMERangeMGSVAD12" localSheetId="9">#REF!</definedName>
    <definedName name="FAMERangeMGSVAD13" localSheetId="9">#REF!</definedName>
    <definedName name="FAMERangeMGSVAD14" localSheetId="9">#REF!</definedName>
    <definedName name="FAMERangeMGSVAD15" localSheetId="9">#REF!</definedName>
    <definedName name="FAMERangeMGSVAD16" localSheetId="9">#REF!</definedName>
    <definedName name="FAMERangeMGSVAD17" localSheetId="9">#REF!</definedName>
    <definedName name="FAMERangeMGSVAD18" localSheetId="9">#REF!</definedName>
    <definedName name="FAMERangeMGSVAD19" localSheetId="9">#REF!</definedName>
    <definedName name="FAMERangeMGSVAD20" localSheetId="9">#REF!</definedName>
    <definedName name="FAMERangeMGSVAD21" localSheetId="9">#REF!</definedName>
    <definedName name="FAMERangeMGSVAD22" localSheetId="9">#REF!</definedName>
    <definedName name="FAMERangeMGSVAD23" localSheetId="9">#REF!</definedName>
    <definedName name="FAMERangeMGSVAD24" localSheetId="9">#REF!</definedName>
    <definedName name="FAMERangeMGSVAD25" localSheetId="9">#REF!</definedName>
    <definedName name="FAMERangeMGSVAD26" localSheetId="9">#REF!</definedName>
    <definedName name="FAMERangeMGSVAD27" localSheetId="9">#REF!</definedName>
    <definedName name="FAMERangeMGSVAD28" localSheetId="9">#REF!</definedName>
    <definedName name="FAMERangeMGSVAD29" localSheetId="9">#REF!</definedName>
    <definedName name="FAMERangeMGSVAD30" localSheetId="9">#REF!</definedName>
    <definedName name="FAMERangeMGSVAD31" localSheetId="9">#REF!</definedName>
    <definedName name="FAMERangeMGSVAD32" localSheetId="9">#REF!</definedName>
    <definedName name="FAMERangeMGSVAD33" localSheetId="9">#REF!</definedName>
    <definedName name="FAMERangeMGSVAD34" localSheetId="9">#REF!</definedName>
    <definedName name="FAMERangeMGSVAD35" localSheetId="9">#REF!</definedName>
    <definedName name="FAMERangeMGSVAD36" localSheetId="9">#REF!</definedName>
    <definedName name="FAMERangeMGSVAD38" localSheetId="9">#REF!</definedName>
    <definedName name="FAMERangeMGSVAD5" localSheetId="9">#REF!</definedName>
    <definedName name="FAMERangeMGSVAD6" localSheetId="9">#REF!</definedName>
    <definedName name="FAMERangeMGSVAD7" localSheetId="9">#REF!</definedName>
    <definedName name="FAMERangeMGSVAD8" localSheetId="9">#REF!</definedName>
    <definedName name="FAMERangeMGSVAD9" localSheetId="9">#REF!</definedName>
    <definedName name="fjsldkfjsdljflsdkjf" localSheetId="9">#REF!</definedName>
    <definedName name="hhhh" localSheetId="9">#REF!</definedName>
    <definedName name="kkkk" localSheetId="9">#REF!</definedName>
    <definedName name="Print_Area_MI" localSheetId="9">#REF!</definedName>
    <definedName name="qqqqqqqqqqqqqqqqqqqqqqq" localSheetId="9">#REF!</definedName>
    <definedName name="sheng" localSheetId="9">#REF!</definedName>
    <definedName name="summary" localSheetId="9">#REF!</definedName>
    <definedName name="UniqueRange_37" localSheetId="9">#REF!</definedName>
    <definedName name="UniqueRange_38" localSheetId="9">#REF!</definedName>
    <definedName name="UniqueRange_39" localSheetId="9">#REF!</definedName>
    <definedName name="UniqueRange_40" localSheetId="9">#REF!</definedName>
    <definedName name="UniqueRange_41" localSheetId="9">#REF!</definedName>
    <definedName name="UniqueRange_42" localSheetId="9">#REF!</definedName>
    <definedName name="UniqueRange_43" localSheetId="9">#REF!</definedName>
    <definedName name="UniqueRange_44" localSheetId="9">#REF!</definedName>
    <definedName name="UniqueRange_45" localSheetId="9">#REF!</definedName>
    <definedName name="UniqueRange_46" localSheetId="9">#REF!</definedName>
    <definedName name="UniqueRange_47" localSheetId="9">#REF!</definedName>
    <definedName name="北京市行政区划" localSheetId="9">#REF!</definedName>
    <definedName name="财政供养" localSheetId="9">#REF!</definedName>
    <definedName name="处室" localSheetId="9">#REF!</definedName>
    <definedName name="还有" localSheetId="9">#REF!</definedName>
    <definedName name="汇率" localSheetId="9">#REF!</definedName>
    <definedName name="基金处室" localSheetId="9">#REF!</definedName>
    <definedName name="基金金额" localSheetId="9">#REF!</definedName>
    <definedName name="基金科目" localSheetId="9">#REF!</definedName>
    <definedName name="基金类型" localSheetId="9">#REF!</definedName>
    <definedName name="金额" localSheetId="9">#REF!</definedName>
    <definedName name="科目" localSheetId="9">#REF!</definedName>
    <definedName name="类型" localSheetId="9">#REF!</definedName>
    <definedName name="区划" localSheetId="9">#REF!</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8"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전" localSheetId="9">#REF!</definedName>
    <definedName name="주택사업본부" localSheetId="9">#REF!</definedName>
    <definedName name="철구사업본부" localSheetId="9">#REF!</definedName>
    <definedName name="_xlnm.Print_Titles" localSheetId="9">'（附表8）政府性基金预算支出项目'!$1:$4</definedName>
    <definedName name="_xlnm.Print_Area" localSheetId="9">'（附表8）政府性基金预算支出项目'!$A$1:$H$168</definedName>
    <definedName name="_123" localSheetId="5">OFFSET(#REF!,,,COUNTA(#REF!)-1)</definedName>
    <definedName name="a" localSheetId="5">#REF!</definedName>
    <definedName name="aa" localSheetId="5">#REF!</definedName>
    <definedName name="ABC" localSheetId="5">#REF!</definedName>
    <definedName name="ABD" localSheetId="5">#REF!</definedName>
    <definedName name="county" localSheetId="5">#REF!</definedName>
    <definedName name="data" localSheetId="5">#REF!</definedName>
    <definedName name="database2" localSheetId="5">#REF!</definedName>
    <definedName name="database3" localSheetId="5">#REF!</definedName>
    <definedName name="ddd" localSheetId="5">#REF!</definedName>
    <definedName name="FAMERangeexchebAD12" localSheetId="5">#REF!</definedName>
    <definedName name="FAMERangeirsAD12" localSheetId="5">#REF!</definedName>
    <definedName name="FAMERangeMGSV" localSheetId="5">#REF!</definedName>
    <definedName name="FAMERangeMGSVAB10" localSheetId="5">#REF!</definedName>
    <definedName name="FAMERangeMGSVAB11" localSheetId="5">#REF!</definedName>
    <definedName name="FAMERangeMGSVAB12" localSheetId="5">#REF!</definedName>
    <definedName name="FAMERangeMGSVAB13" localSheetId="5">#REF!</definedName>
    <definedName name="FAMERangeMGSVAB14" localSheetId="5">#REF!</definedName>
    <definedName name="FAMERangeMGSVAB15" localSheetId="5">#REF!</definedName>
    <definedName name="FAMERangeMGSVAB16" localSheetId="5">#REF!</definedName>
    <definedName name="FAMERangeMGSVAB17" localSheetId="5">#REF!</definedName>
    <definedName name="FAMERangeMGSVAB18" localSheetId="5">#REF!</definedName>
    <definedName name="FAMERangeMGSVAB19" localSheetId="5">#REF!</definedName>
    <definedName name="FAMERangeMGSVAB20" localSheetId="5">#REF!</definedName>
    <definedName name="FAMERangeMGSVAB21" localSheetId="5">#REF!</definedName>
    <definedName name="FAMERangeMGSVAB22" localSheetId="5">#REF!</definedName>
    <definedName name="FAMERangeMGSVAB23" localSheetId="5">#REF!</definedName>
    <definedName name="FAMERangeMGSVAB24" localSheetId="5">#REF!</definedName>
    <definedName name="FAMERangeMGSVAB25" localSheetId="5">#REF!</definedName>
    <definedName name="FAMERangeMGSVAB26" localSheetId="5">#REF!</definedName>
    <definedName name="FAMERangeMGSVAB27" localSheetId="5">#REF!</definedName>
    <definedName name="FAMERangeMGSVAB28" localSheetId="5">#REF!</definedName>
    <definedName name="FAMERangeMGSVAB29" localSheetId="5">#REF!</definedName>
    <definedName name="FAMERangeMGSVAB30" localSheetId="5">#REF!</definedName>
    <definedName name="FAMERangeMGSVAB31" localSheetId="5">#REF!</definedName>
    <definedName name="FAMERangeMGSVAB32" localSheetId="5">#REF!</definedName>
    <definedName name="FAMERangeMGSVAB33" localSheetId="5">#REF!</definedName>
    <definedName name="FAMERangeMGSVAB34" localSheetId="5">#REF!</definedName>
    <definedName name="FAMERangeMGSVAB35" localSheetId="5">#REF!</definedName>
    <definedName name="FAMERangeMGSVAB36" localSheetId="5">#REF!</definedName>
    <definedName name="FAMERangeMGSVAB38" localSheetId="5">#REF!</definedName>
    <definedName name="FAMERangeMGSVAB5" localSheetId="5">#REF!</definedName>
    <definedName name="FAMERangeMGSVAB6" localSheetId="5">#REF!</definedName>
    <definedName name="FAMERangeMGSVAB7" localSheetId="5">#REF!</definedName>
    <definedName name="FAMERangeMGSVAB8" localSheetId="5">#REF!</definedName>
    <definedName name="FAMERangeMGSVAB9" localSheetId="5">#REF!</definedName>
    <definedName name="FAMERangeMGSVAC10" localSheetId="5">#REF!</definedName>
    <definedName name="FAMERangeMGSVAC11" localSheetId="5">#REF!</definedName>
    <definedName name="FAMERangeMGSVAC12" localSheetId="5">#REF!</definedName>
    <definedName name="FAMERangeMGSVAC13" localSheetId="5">#REF!</definedName>
    <definedName name="FAMERangeMGSVAC14" localSheetId="5">#REF!</definedName>
    <definedName name="FAMERangeMGSVAC15" localSheetId="5">#REF!</definedName>
    <definedName name="FAMERangeMGSVAC16" localSheetId="5">#REF!</definedName>
    <definedName name="FAMERangeMGSVAC17" localSheetId="5">#REF!</definedName>
    <definedName name="FAMERangeMGSVAC18" localSheetId="5">#REF!</definedName>
    <definedName name="FAMERangeMGSVAC19" localSheetId="5">#REF!</definedName>
    <definedName name="FAMERangeMGSVAC20" localSheetId="5">#REF!</definedName>
    <definedName name="FAMERangeMGSVAC21" localSheetId="5">#REF!</definedName>
    <definedName name="FAMERangeMGSVAC22" localSheetId="5">#REF!</definedName>
    <definedName name="FAMERangeMGSVAC23" localSheetId="5">#REF!</definedName>
    <definedName name="FAMERangeMGSVAC24" localSheetId="5">#REF!</definedName>
    <definedName name="FAMERangeMGSVAC25" localSheetId="5">#REF!</definedName>
    <definedName name="FAMERangeMGSVAC26" localSheetId="5">#REF!</definedName>
    <definedName name="FAMERangeMGSVAC27" localSheetId="5">#REF!</definedName>
    <definedName name="FAMERangeMGSVAC28" localSheetId="5">#REF!</definedName>
    <definedName name="FAMERangeMGSVAC29" localSheetId="5">#REF!</definedName>
    <definedName name="FAMERangeMGSVAC30" localSheetId="5">#REF!</definedName>
    <definedName name="FAMERangeMGSVAC31" localSheetId="5">#REF!</definedName>
    <definedName name="FAMERangeMGSVAC32" localSheetId="5">#REF!</definedName>
    <definedName name="FAMERangeMGSVAC33" localSheetId="5">#REF!</definedName>
    <definedName name="FAMERangeMGSVAC34" localSheetId="5">#REF!</definedName>
    <definedName name="FAMERangeMGSVAC35" localSheetId="5">#REF!</definedName>
    <definedName name="FAMERangeMGSVAC36" localSheetId="5">#REF!</definedName>
    <definedName name="FAMERangeMGSVAC38" localSheetId="5">#REF!</definedName>
    <definedName name="FAMERangeMGSVAC5" localSheetId="5">#REF!</definedName>
    <definedName name="FAMERangeMGSVAC6" localSheetId="5">#REF!</definedName>
    <definedName name="FAMERangeMGSVAC7" localSheetId="5">#REF!</definedName>
    <definedName name="FAMERangeMGSVAC8" localSheetId="5">#REF!</definedName>
    <definedName name="FAMERangeMGSVAC9" localSheetId="5">#REF!</definedName>
    <definedName name="FAMERangeMGSVAD10" localSheetId="5">#REF!</definedName>
    <definedName name="FAMERangeMGSVAD11" localSheetId="5">#REF!</definedName>
    <definedName name="FAMERangeMGSVAD12" localSheetId="5">#REF!</definedName>
    <definedName name="FAMERangeMGSVAD13" localSheetId="5">#REF!</definedName>
    <definedName name="FAMERangeMGSVAD14" localSheetId="5">#REF!</definedName>
    <definedName name="FAMERangeMGSVAD15" localSheetId="5">#REF!</definedName>
    <definedName name="FAMERangeMGSVAD16" localSheetId="5">#REF!</definedName>
    <definedName name="FAMERangeMGSVAD17" localSheetId="5">#REF!</definedName>
    <definedName name="FAMERangeMGSVAD18" localSheetId="5">#REF!</definedName>
    <definedName name="FAMERangeMGSVAD19" localSheetId="5">#REF!</definedName>
    <definedName name="FAMERangeMGSVAD20" localSheetId="5">#REF!</definedName>
    <definedName name="FAMERangeMGSVAD21" localSheetId="5">#REF!</definedName>
    <definedName name="FAMERangeMGSVAD22" localSheetId="5">#REF!</definedName>
    <definedName name="FAMERangeMGSVAD23" localSheetId="5">#REF!</definedName>
    <definedName name="FAMERangeMGSVAD24" localSheetId="5">#REF!</definedName>
    <definedName name="FAMERangeMGSVAD25" localSheetId="5">#REF!</definedName>
    <definedName name="FAMERangeMGSVAD26" localSheetId="5">#REF!</definedName>
    <definedName name="FAMERangeMGSVAD27" localSheetId="5">#REF!</definedName>
    <definedName name="FAMERangeMGSVAD28" localSheetId="5">#REF!</definedName>
    <definedName name="FAMERangeMGSVAD29" localSheetId="5">#REF!</definedName>
    <definedName name="FAMERangeMGSVAD30" localSheetId="5">#REF!</definedName>
    <definedName name="FAMERangeMGSVAD31" localSheetId="5">#REF!</definedName>
    <definedName name="FAMERangeMGSVAD32" localSheetId="5">#REF!</definedName>
    <definedName name="FAMERangeMGSVAD33" localSheetId="5">#REF!</definedName>
    <definedName name="FAMERangeMGSVAD34" localSheetId="5">#REF!</definedName>
    <definedName name="FAMERangeMGSVAD35" localSheetId="5">#REF!</definedName>
    <definedName name="FAMERangeMGSVAD36" localSheetId="5">#REF!</definedName>
    <definedName name="FAMERangeMGSVAD38" localSheetId="5">#REF!</definedName>
    <definedName name="FAMERangeMGSVAD5" localSheetId="5">#REF!</definedName>
    <definedName name="FAMERangeMGSVAD6" localSheetId="5">#REF!</definedName>
    <definedName name="FAMERangeMGSVAD7" localSheetId="5">#REF!</definedName>
    <definedName name="FAMERangeMGSVAD8" localSheetId="5">#REF!</definedName>
    <definedName name="FAMERangeMGSVAD9" localSheetId="5">#REF!</definedName>
    <definedName name="fjsldkfjsdljflsdkjf" localSheetId="5">#REF!</definedName>
    <definedName name="hhhh" localSheetId="5">#REF!</definedName>
    <definedName name="kkkk" localSheetId="5">#REF!</definedName>
    <definedName name="Print_Area_MI" localSheetId="5">#REF!</definedName>
    <definedName name="qqqqqqqqqqqqqqqqqqqqqqq" localSheetId="5">#REF!</definedName>
    <definedName name="sheng" localSheetId="5">#REF!</definedName>
    <definedName name="summary" localSheetId="5">#REF!</definedName>
    <definedName name="UniqueRange_37" localSheetId="5">#REF!</definedName>
    <definedName name="UniqueRange_38" localSheetId="5">#REF!</definedName>
    <definedName name="UniqueRange_39" localSheetId="5">#REF!</definedName>
    <definedName name="UniqueRange_40" localSheetId="5">#REF!</definedName>
    <definedName name="UniqueRange_41" localSheetId="5">#REF!</definedName>
    <definedName name="UniqueRange_42" localSheetId="5">#REF!</definedName>
    <definedName name="UniqueRange_43" localSheetId="5">#REF!</definedName>
    <definedName name="UniqueRange_44" localSheetId="5">#REF!</definedName>
    <definedName name="UniqueRange_45" localSheetId="5">#REF!</definedName>
    <definedName name="UniqueRange_46" localSheetId="5">#REF!</definedName>
    <definedName name="UniqueRange_47" localSheetId="5">#REF!</definedName>
    <definedName name="北京市行政区划" localSheetId="5">#REF!</definedName>
    <definedName name="财政供养" localSheetId="5">#REF!</definedName>
    <definedName name="处室" localSheetId="5">#REF!</definedName>
    <definedName name="还有" localSheetId="5">#REF!</definedName>
    <definedName name="汇率" localSheetId="5">#REF!</definedName>
    <definedName name="基金处室" localSheetId="5">#REF!</definedName>
    <definedName name="基金金额" localSheetId="5">#REF!</definedName>
    <definedName name="基金科目" localSheetId="5">#REF!</definedName>
    <definedName name="基金类型" localSheetId="5">#REF!</definedName>
    <definedName name="金额" localSheetId="5">#REF!</definedName>
    <definedName name="科目" localSheetId="5">#REF!</definedName>
    <definedName name="类型" localSheetId="5">#REF!</definedName>
    <definedName name="区划" localSheetId="5">#REF!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23" localSheetId="5">#REF!</definedName>
    <definedName name="生产期15" localSheetId="5">#REF!</definedName>
    <definedName name="生产期16" localSheetId="5">#REF!</definedName>
    <definedName name="生产期17" localSheetId="5">#REF!</definedName>
    <definedName name="生产期18"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전" localSheetId="5">#REF!</definedName>
    <definedName name="주택사업본부" localSheetId="5">#REF!</definedName>
    <definedName name="철구사업본부" localSheetId="5">#REF!</definedName>
    <definedName name="行政区划名称" localSheetId="5">[20]区划对应表!$B$1:$B$19</definedName>
    <definedName name="zqlx" localSheetId="5">[34]DB!$M$43:$M$46</definedName>
    <definedName name="_xlnm.Print_Area" localSheetId="5">'（附表4）财力'!$A$1:$AI$28</definedName>
    <definedName name="_123" localSheetId="4">OFFSET(#REF!,,,COUNTA(#REF!)-1)</definedName>
    <definedName name="a" localSheetId="4">#REF!</definedName>
    <definedName name="aa" localSheetId="4">#REF!</definedName>
    <definedName name="ABC" localSheetId="4">#REF!</definedName>
    <definedName name="ABD" localSheetId="4">#REF!</definedName>
    <definedName name="county" localSheetId="4">#REF!</definedName>
    <definedName name="data" localSheetId="4">#REF!</definedName>
    <definedName name="database2" localSheetId="4">#REF!</definedName>
    <definedName name="database3" localSheetId="4">#REF!</definedName>
    <definedName name="ddd" localSheetId="4">#REF!</definedName>
    <definedName name="FAMERangeexchebAD12" localSheetId="4">#REF!</definedName>
    <definedName name="FAMERangeirsAD12" localSheetId="4">#REF!</definedName>
    <definedName name="FAMERangeMGSV" localSheetId="4">#REF!</definedName>
    <definedName name="FAMERangeMGSVAB10" localSheetId="4">#REF!</definedName>
    <definedName name="FAMERangeMGSVAB11" localSheetId="4">#REF!</definedName>
    <definedName name="FAMERangeMGSVAB12" localSheetId="4">#REF!</definedName>
    <definedName name="FAMERangeMGSVAB13" localSheetId="4">#REF!</definedName>
    <definedName name="FAMERangeMGSVAB14" localSheetId="4">#REF!</definedName>
    <definedName name="FAMERangeMGSVAB15" localSheetId="4">#REF!</definedName>
    <definedName name="FAMERangeMGSVAB16" localSheetId="4">#REF!</definedName>
    <definedName name="FAMERangeMGSVAB17" localSheetId="4">#REF!</definedName>
    <definedName name="FAMERangeMGSVAB18" localSheetId="4">#REF!</definedName>
    <definedName name="FAMERangeMGSVAB19" localSheetId="4">#REF!</definedName>
    <definedName name="FAMERangeMGSVAB20" localSheetId="4">#REF!</definedName>
    <definedName name="FAMERangeMGSVAB21" localSheetId="4">#REF!</definedName>
    <definedName name="FAMERangeMGSVAB22" localSheetId="4">#REF!</definedName>
    <definedName name="FAMERangeMGSVAB23" localSheetId="4">#REF!</definedName>
    <definedName name="FAMERangeMGSVAB24" localSheetId="4">#REF!</definedName>
    <definedName name="FAMERangeMGSVAB25" localSheetId="4">#REF!</definedName>
    <definedName name="FAMERangeMGSVAB26" localSheetId="4">#REF!</definedName>
    <definedName name="FAMERangeMGSVAB27" localSheetId="4">#REF!</definedName>
    <definedName name="FAMERangeMGSVAB28" localSheetId="4">#REF!</definedName>
    <definedName name="FAMERangeMGSVAB29" localSheetId="4">#REF!</definedName>
    <definedName name="FAMERangeMGSVAB30" localSheetId="4">#REF!</definedName>
    <definedName name="FAMERangeMGSVAB31" localSheetId="4">#REF!</definedName>
    <definedName name="FAMERangeMGSVAB32" localSheetId="4">#REF!</definedName>
    <definedName name="FAMERangeMGSVAB33" localSheetId="4">#REF!</definedName>
    <definedName name="FAMERangeMGSVAB34" localSheetId="4">#REF!</definedName>
    <definedName name="FAMERangeMGSVAB35" localSheetId="4">#REF!</definedName>
    <definedName name="FAMERangeMGSVAB36" localSheetId="4">#REF!</definedName>
    <definedName name="FAMERangeMGSVAB38" localSheetId="4">#REF!</definedName>
    <definedName name="FAMERangeMGSVAB5" localSheetId="4">#REF!</definedName>
    <definedName name="FAMERangeMGSVAB6" localSheetId="4">#REF!</definedName>
    <definedName name="FAMERangeMGSVAB7" localSheetId="4">#REF!</definedName>
    <definedName name="FAMERangeMGSVAB8" localSheetId="4">#REF!</definedName>
    <definedName name="FAMERangeMGSVAB9" localSheetId="4">#REF!</definedName>
    <definedName name="FAMERangeMGSVAC10" localSheetId="4">#REF!</definedName>
    <definedName name="FAMERangeMGSVAC11" localSheetId="4">#REF!</definedName>
    <definedName name="FAMERangeMGSVAC12" localSheetId="4">#REF!</definedName>
    <definedName name="FAMERangeMGSVAC13" localSheetId="4">#REF!</definedName>
    <definedName name="FAMERangeMGSVAC14" localSheetId="4">#REF!</definedName>
    <definedName name="FAMERangeMGSVAC15" localSheetId="4">#REF!</definedName>
    <definedName name="FAMERangeMGSVAC16" localSheetId="4">#REF!</definedName>
    <definedName name="FAMERangeMGSVAC17" localSheetId="4">#REF!</definedName>
    <definedName name="FAMERangeMGSVAC18" localSheetId="4">#REF!</definedName>
    <definedName name="FAMERangeMGSVAC19" localSheetId="4">#REF!</definedName>
    <definedName name="FAMERangeMGSVAC20" localSheetId="4">#REF!</definedName>
    <definedName name="FAMERangeMGSVAC21" localSheetId="4">#REF!</definedName>
    <definedName name="FAMERangeMGSVAC22" localSheetId="4">#REF!</definedName>
    <definedName name="FAMERangeMGSVAC23" localSheetId="4">#REF!</definedName>
    <definedName name="FAMERangeMGSVAC24" localSheetId="4">#REF!</definedName>
    <definedName name="FAMERangeMGSVAC25" localSheetId="4">#REF!</definedName>
    <definedName name="FAMERangeMGSVAC26" localSheetId="4">#REF!</definedName>
    <definedName name="FAMERangeMGSVAC27" localSheetId="4">#REF!</definedName>
    <definedName name="FAMERangeMGSVAC28" localSheetId="4">#REF!</definedName>
    <definedName name="FAMERangeMGSVAC29" localSheetId="4">#REF!</definedName>
    <definedName name="FAMERangeMGSVAC30" localSheetId="4">#REF!</definedName>
    <definedName name="FAMERangeMGSVAC31" localSheetId="4">#REF!</definedName>
    <definedName name="FAMERangeMGSVAC32" localSheetId="4">#REF!</definedName>
    <definedName name="FAMERangeMGSVAC33" localSheetId="4">#REF!</definedName>
    <definedName name="FAMERangeMGSVAC34" localSheetId="4">#REF!</definedName>
    <definedName name="FAMERangeMGSVAC35" localSheetId="4">#REF!</definedName>
    <definedName name="FAMERangeMGSVAC36" localSheetId="4">#REF!</definedName>
    <definedName name="FAMERangeMGSVAC38" localSheetId="4">#REF!</definedName>
    <definedName name="FAMERangeMGSVAC5" localSheetId="4">#REF!</definedName>
    <definedName name="FAMERangeMGSVAC6" localSheetId="4">#REF!</definedName>
    <definedName name="FAMERangeMGSVAC7" localSheetId="4">#REF!</definedName>
    <definedName name="FAMERangeMGSVAC8" localSheetId="4">#REF!</definedName>
    <definedName name="FAMERangeMGSVAC9" localSheetId="4">#REF!</definedName>
    <definedName name="FAMERangeMGSVAD10" localSheetId="4">#REF!</definedName>
    <definedName name="FAMERangeMGSVAD11" localSheetId="4">#REF!</definedName>
    <definedName name="FAMERangeMGSVAD12" localSheetId="4">#REF!</definedName>
    <definedName name="FAMERangeMGSVAD13" localSheetId="4">#REF!</definedName>
    <definedName name="FAMERangeMGSVAD14" localSheetId="4">#REF!</definedName>
    <definedName name="FAMERangeMGSVAD15" localSheetId="4">#REF!</definedName>
    <definedName name="FAMERangeMGSVAD16" localSheetId="4">#REF!</definedName>
    <definedName name="FAMERangeMGSVAD17" localSheetId="4">#REF!</definedName>
    <definedName name="FAMERangeMGSVAD18" localSheetId="4">#REF!</definedName>
    <definedName name="FAMERangeMGSVAD19" localSheetId="4">#REF!</definedName>
    <definedName name="FAMERangeMGSVAD20" localSheetId="4">#REF!</definedName>
    <definedName name="FAMERangeMGSVAD21" localSheetId="4">#REF!</definedName>
    <definedName name="FAMERangeMGSVAD22" localSheetId="4">#REF!</definedName>
    <definedName name="FAMERangeMGSVAD23" localSheetId="4">#REF!</definedName>
    <definedName name="FAMERangeMGSVAD24" localSheetId="4">#REF!</definedName>
    <definedName name="FAMERangeMGSVAD25" localSheetId="4">#REF!</definedName>
    <definedName name="FAMERangeMGSVAD26" localSheetId="4">#REF!</definedName>
    <definedName name="FAMERangeMGSVAD27" localSheetId="4">#REF!</definedName>
    <definedName name="FAMERangeMGSVAD28" localSheetId="4">#REF!</definedName>
    <definedName name="FAMERangeMGSVAD29" localSheetId="4">#REF!</definedName>
    <definedName name="FAMERangeMGSVAD30" localSheetId="4">#REF!</definedName>
    <definedName name="FAMERangeMGSVAD31" localSheetId="4">#REF!</definedName>
    <definedName name="FAMERangeMGSVAD32" localSheetId="4">#REF!</definedName>
    <definedName name="FAMERangeMGSVAD33" localSheetId="4">#REF!</definedName>
    <definedName name="FAMERangeMGSVAD34" localSheetId="4">#REF!</definedName>
    <definedName name="FAMERangeMGSVAD35" localSheetId="4">#REF!</definedName>
    <definedName name="FAMERangeMGSVAD36" localSheetId="4">#REF!</definedName>
    <definedName name="FAMERangeMGSVAD38" localSheetId="4">#REF!</definedName>
    <definedName name="FAMERangeMGSVAD5" localSheetId="4">#REF!</definedName>
    <definedName name="FAMERangeMGSVAD6" localSheetId="4">#REF!</definedName>
    <definedName name="FAMERangeMGSVAD7" localSheetId="4">#REF!</definedName>
    <definedName name="FAMERangeMGSVAD8" localSheetId="4">#REF!</definedName>
    <definedName name="FAMERangeMGSVAD9" localSheetId="4">#REF!</definedName>
    <definedName name="fjsldkfjsdljflsdkjf" localSheetId="4">#REF!</definedName>
    <definedName name="hhhh" localSheetId="4">#REF!</definedName>
    <definedName name="kkkk" localSheetId="4">#REF!</definedName>
    <definedName name="_xlnm.Print_Area" localSheetId="4">'（附表3）一般公共预算支出项目'!$A$1:$H$448</definedName>
    <definedName name="Print_Area_MI" localSheetId="4">#REF!</definedName>
    <definedName name="_xlnm.Print_Titles" localSheetId="4">'（附表3）一般公共预算支出项目'!$1:$4</definedName>
    <definedName name="qqqqqqqqqqqqqqqqqqqqqqq" localSheetId="4">#REF!</definedName>
    <definedName name="sheng" localSheetId="4">#REF!</definedName>
    <definedName name="summary" localSheetId="4">#REF!</definedName>
    <definedName name="UniqueRange_37" localSheetId="4">#REF!</definedName>
    <definedName name="UniqueRange_38" localSheetId="4">#REF!</definedName>
    <definedName name="UniqueRange_39" localSheetId="4">#REF!</definedName>
    <definedName name="UniqueRange_40" localSheetId="4">#REF!</definedName>
    <definedName name="UniqueRange_41" localSheetId="4">#REF!</definedName>
    <definedName name="UniqueRange_42" localSheetId="4">#REF!</definedName>
    <definedName name="UniqueRange_43" localSheetId="4">#REF!</definedName>
    <definedName name="UniqueRange_44" localSheetId="4">#REF!</definedName>
    <definedName name="UniqueRange_45" localSheetId="4">#REF!</definedName>
    <definedName name="UniqueRange_46" localSheetId="4">#REF!</definedName>
    <definedName name="UniqueRange_47" localSheetId="4">#REF!</definedName>
    <definedName name="北京市行政区划" localSheetId="4">#REF!</definedName>
    <definedName name="财政供养" localSheetId="4">#REF!</definedName>
    <definedName name="处室" localSheetId="4">#REF!</definedName>
    <definedName name="还有" localSheetId="4">#REF!</definedName>
    <definedName name="汇率" localSheetId="4">#REF!</definedName>
    <definedName name="基金处室" localSheetId="4">#REF!</definedName>
    <definedName name="基金金额" localSheetId="4">#REF!</definedName>
    <definedName name="基金科目" localSheetId="4">#REF!</definedName>
    <definedName name="基金类型" localSheetId="4">#REF!</definedName>
    <definedName name="金额" localSheetId="4">#REF!</definedName>
    <definedName name="科目" localSheetId="4">#REF!</definedName>
    <definedName name="类型" localSheetId="4">#REF!</definedName>
    <definedName name="区划" localSheetId="4">#REF!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23" localSheetId="4">#REF!</definedName>
    <definedName name="生产期15" localSheetId="4">#REF!</definedName>
    <definedName name="生产期16" localSheetId="4">#REF!</definedName>
    <definedName name="生产期17" localSheetId="4">#REF!</definedName>
    <definedName name="生产期18"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전" localSheetId="4">#REF!</definedName>
    <definedName name="주택사업본부" localSheetId="4">#REF!</definedName>
    <definedName name="철구사업본부" localSheetId="4">#REF!</definedName>
    <definedName name="_xlnm.Print_Area" localSheetId="2">'（附表1）一般公共预算收入'!$A$1:$N$51</definedName>
    <definedName name="_xlnm.Print_Area" localSheetId="6">'（附表5）政府性基金预算收入科目'!$A$1:$J$22</definedName>
    <definedName name="_xlnm.Print_Titles" localSheetId="10">'（附表9）国有资本经营收入'!$1:$4</definedName>
    <definedName name="_123" localSheetId="3">OFFSET(#REF!,,,COUNTA(#REF!)-1)</definedName>
    <definedName name="a" localSheetId="3">#REF!</definedName>
    <definedName name="aa" localSheetId="3">#REF!</definedName>
    <definedName name="ABC" localSheetId="3">#REF!</definedName>
    <definedName name="ABD" localSheetId="3">#REF!</definedName>
    <definedName name="county" localSheetId="3">#REF!</definedName>
    <definedName name="data" localSheetId="3">#REF!</definedName>
    <definedName name="database2" localSheetId="3">#REF!</definedName>
    <definedName name="database3" localSheetId="3">#REF!</definedName>
    <definedName name="ddd" localSheetId="3">#REF!</definedName>
    <definedName name="FAMERangeexchebAD12" localSheetId="3">#REF!</definedName>
    <definedName name="FAMERangeirsAD12" localSheetId="3">#REF!</definedName>
    <definedName name="FAMERangeMGSV" localSheetId="3">#REF!</definedName>
    <definedName name="FAMERangeMGSVAB10" localSheetId="3">#REF!</definedName>
    <definedName name="FAMERangeMGSVAB11" localSheetId="3">#REF!</definedName>
    <definedName name="FAMERangeMGSVAB12" localSheetId="3">#REF!</definedName>
    <definedName name="FAMERangeMGSVAB13" localSheetId="3">#REF!</definedName>
    <definedName name="FAMERangeMGSVAB14" localSheetId="3">#REF!</definedName>
    <definedName name="FAMERangeMGSVAB15" localSheetId="3">#REF!</definedName>
    <definedName name="FAMERangeMGSVAB16" localSheetId="3">#REF!</definedName>
    <definedName name="FAMERangeMGSVAB17" localSheetId="3">#REF!</definedName>
    <definedName name="FAMERangeMGSVAB18" localSheetId="3">#REF!</definedName>
    <definedName name="FAMERangeMGSVAB19" localSheetId="3">#REF!</definedName>
    <definedName name="FAMERangeMGSVAB20" localSheetId="3">#REF!</definedName>
    <definedName name="FAMERangeMGSVAB21" localSheetId="3">#REF!</definedName>
    <definedName name="FAMERangeMGSVAB22" localSheetId="3">#REF!</definedName>
    <definedName name="FAMERangeMGSVAB23" localSheetId="3">#REF!</definedName>
    <definedName name="FAMERangeMGSVAB24" localSheetId="3">#REF!</definedName>
    <definedName name="FAMERangeMGSVAB25" localSheetId="3">#REF!</definedName>
    <definedName name="FAMERangeMGSVAB26" localSheetId="3">#REF!</definedName>
    <definedName name="FAMERangeMGSVAB27" localSheetId="3">#REF!</definedName>
    <definedName name="FAMERangeMGSVAB28" localSheetId="3">#REF!</definedName>
    <definedName name="FAMERangeMGSVAB29" localSheetId="3">#REF!</definedName>
    <definedName name="FAMERangeMGSVAB30" localSheetId="3">#REF!</definedName>
    <definedName name="FAMERangeMGSVAB31" localSheetId="3">#REF!</definedName>
    <definedName name="FAMERangeMGSVAB32" localSheetId="3">#REF!</definedName>
    <definedName name="FAMERangeMGSVAB33" localSheetId="3">#REF!</definedName>
    <definedName name="FAMERangeMGSVAB34" localSheetId="3">#REF!</definedName>
    <definedName name="FAMERangeMGSVAB35" localSheetId="3">#REF!</definedName>
    <definedName name="FAMERangeMGSVAB36" localSheetId="3">#REF!</definedName>
    <definedName name="FAMERangeMGSVAB38" localSheetId="3">#REF!</definedName>
    <definedName name="FAMERangeMGSVAB5" localSheetId="3">#REF!</definedName>
    <definedName name="FAMERangeMGSVAB6" localSheetId="3">#REF!</definedName>
    <definedName name="FAMERangeMGSVAB7" localSheetId="3">#REF!</definedName>
    <definedName name="FAMERangeMGSVAB8" localSheetId="3">#REF!</definedName>
    <definedName name="FAMERangeMGSVAB9" localSheetId="3">#REF!</definedName>
    <definedName name="FAMERangeMGSVAC10" localSheetId="3">#REF!</definedName>
    <definedName name="FAMERangeMGSVAC11" localSheetId="3">#REF!</definedName>
    <definedName name="FAMERangeMGSVAC12" localSheetId="3">#REF!</definedName>
    <definedName name="FAMERangeMGSVAC13" localSheetId="3">#REF!</definedName>
    <definedName name="FAMERangeMGSVAC14" localSheetId="3">#REF!</definedName>
    <definedName name="FAMERangeMGSVAC15" localSheetId="3">#REF!</definedName>
    <definedName name="FAMERangeMGSVAC16" localSheetId="3">#REF!</definedName>
    <definedName name="FAMERangeMGSVAC17" localSheetId="3">#REF!</definedName>
    <definedName name="FAMERangeMGSVAC18" localSheetId="3">#REF!</definedName>
    <definedName name="FAMERangeMGSVAC19" localSheetId="3">#REF!</definedName>
    <definedName name="FAMERangeMGSVAC20" localSheetId="3">#REF!</definedName>
    <definedName name="FAMERangeMGSVAC21" localSheetId="3">#REF!</definedName>
    <definedName name="FAMERangeMGSVAC22" localSheetId="3">#REF!</definedName>
    <definedName name="FAMERangeMGSVAC23" localSheetId="3">#REF!</definedName>
    <definedName name="FAMERangeMGSVAC24" localSheetId="3">#REF!</definedName>
    <definedName name="FAMERangeMGSVAC25" localSheetId="3">#REF!</definedName>
    <definedName name="FAMERangeMGSVAC26" localSheetId="3">#REF!</definedName>
    <definedName name="FAMERangeMGSVAC27" localSheetId="3">#REF!</definedName>
    <definedName name="FAMERangeMGSVAC28" localSheetId="3">#REF!</definedName>
    <definedName name="FAMERangeMGSVAC29" localSheetId="3">#REF!</definedName>
    <definedName name="FAMERangeMGSVAC30" localSheetId="3">#REF!</definedName>
    <definedName name="FAMERangeMGSVAC31" localSheetId="3">#REF!</definedName>
    <definedName name="FAMERangeMGSVAC32" localSheetId="3">#REF!</definedName>
    <definedName name="FAMERangeMGSVAC33" localSheetId="3">#REF!</definedName>
    <definedName name="FAMERangeMGSVAC34" localSheetId="3">#REF!</definedName>
    <definedName name="FAMERangeMGSVAC35" localSheetId="3">#REF!</definedName>
    <definedName name="FAMERangeMGSVAC36" localSheetId="3">#REF!</definedName>
    <definedName name="FAMERangeMGSVAC38" localSheetId="3">#REF!</definedName>
    <definedName name="FAMERangeMGSVAC5" localSheetId="3">#REF!</definedName>
    <definedName name="FAMERangeMGSVAC6" localSheetId="3">#REF!</definedName>
    <definedName name="FAMERangeMGSVAC7" localSheetId="3">#REF!</definedName>
    <definedName name="FAMERangeMGSVAC8" localSheetId="3">#REF!</definedName>
    <definedName name="FAMERangeMGSVAC9" localSheetId="3">#REF!</definedName>
    <definedName name="FAMERangeMGSVAD10" localSheetId="3">#REF!</definedName>
    <definedName name="FAMERangeMGSVAD11" localSheetId="3">#REF!</definedName>
    <definedName name="FAMERangeMGSVAD12" localSheetId="3">#REF!</definedName>
    <definedName name="FAMERangeMGSVAD13" localSheetId="3">#REF!</definedName>
    <definedName name="FAMERangeMGSVAD14" localSheetId="3">#REF!</definedName>
    <definedName name="FAMERangeMGSVAD15" localSheetId="3">#REF!</definedName>
    <definedName name="FAMERangeMGSVAD16" localSheetId="3">#REF!</definedName>
    <definedName name="FAMERangeMGSVAD17" localSheetId="3">#REF!</definedName>
    <definedName name="FAMERangeMGSVAD18" localSheetId="3">#REF!</definedName>
    <definedName name="FAMERangeMGSVAD19" localSheetId="3">#REF!</definedName>
    <definedName name="FAMERangeMGSVAD20" localSheetId="3">#REF!</definedName>
    <definedName name="FAMERangeMGSVAD21" localSheetId="3">#REF!</definedName>
    <definedName name="FAMERangeMGSVAD22" localSheetId="3">#REF!</definedName>
    <definedName name="FAMERangeMGSVAD23" localSheetId="3">#REF!</definedName>
    <definedName name="FAMERangeMGSVAD24" localSheetId="3">#REF!</definedName>
    <definedName name="FAMERangeMGSVAD25" localSheetId="3">#REF!</definedName>
    <definedName name="FAMERangeMGSVAD26" localSheetId="3">#REF!</definedName>
    <definedName name="FAMERangeMGSVAD27" localSheetId="3">#REF!</definedName>
    <definedName name="FAMERangeMGSVAD28" localSheetId="3">#REF!</definedName>
    <definedName name="FAMERangeMGSVAD29" localSheetId="3">#REF!</definedName>
    <definedName name="FAMERangeMGSVAD30" localSheetId="3">#REF!</definedName>
    <definedName name="FAMERangeMGSVAD31" localSheetId="3">#REF!</definedName>
    <definedName name="FAMERangeMGSVAD32" localSheetId="3">#REF!</definedName>
    <definedName name="FAMERangeMGSVAD33" localSheetId="3">#REF!</definedName>
    <definedName name="FAMERangeMGSVAD34" localSheetId="3">#REF!</definedName>
    <definedName name="FAMERangeMGSVAD35" localSheetId="3">#REF!</definedName>
    <definedName name="FAMERangeMGSVAD36" localSheetId="3">#REF!</definedName>
    <definedName name="FAMERangeMGSVAD38" localSheetId="3">#REF!</definedName>
    <definedName name="FAMERangeMGSVAD5" localSheetId="3">#REF!</definedName>
    <definedName name="FAMERangeMGSVAD6" localSheetId="3">#REF!</definedName>
    <definedName name="FAMERangeMGSVAD7" localSheetId="3">#REF!</definedName>
    <definedName name="FAMERangeMGSVAD8" localSheetId="3">#REF!</definedName>
    <definedName name="FAMERangeMGSVAD9" localSheetId="3">#REF!</definedName>
    <definedName name="fjsldkfjsdljflsdkjf" localSheetId="3">#REF!</definedName>
    <definedName name="hhhh" localSheetId="3">#REF!</definedName>
    <definedName name="kkkk" localSheetId="3">#REF!</definedName>
    <definedName name="Print_Area_MI" localSheetId="3">#REF!</definedName>
    <definedName name="qqqqqqqqqqqqqqqqqqqqqqq" localSheetId="3">#REF!</definedName>
    <definedName name="sheng" localSheetId="3">#REF!</definedName>
    <definedName name="summary" localSheetId="3">#REF!</definedName>
    <definedName name="UniqueRange_37" localSheetId="3">#REF!</definedName>
    <definedName name="UniqueRange_38" localSheetId="3">#REF!</definedName>
    <definedName name="UniqueRange_39" localSheetId="3">#REF!</definedName>
    <definedName name="UniqueRange_40" localSheetId="3">#REF!</definedName>
    <definedName name="UniqueRange_41" localSheetId="3">#REF!</definedName>
    <definedName name="UniqueRange_42" localSheetId="3">#REF!</definedName>
    <definedName name="UniqueRange_43" localSheetId="3">#REF!</definedName>
    <definedName name="UniqueRange_44" localSheetId="3">#REF!</definedName>
    <definedName name="UniqueRange_45" localSheetId="3">#REF!</definedName>
    <definedName name="UniqueRange_46" localSheetId="3">#REF!</definedName>
    <definedName name="UniqueRange_47" localSheetId="3">#REF!</definedName>
    <definedName name="北京市行政区划" localSheetId="3">#REF!</definedName>
    <definedName name="财政供养" localSheetId="3">#REF!</definedName>
    <definedName name="处室" localSheetId="3">#REF!</definedName>
    <definedName name="还有" localSheetId="3">#REF!</definedName>
    <definedName name="汇率" localSheetId="3">#REF!</definedName>
    <definedName name="基金处室" localSheetId="3">#REF!</definedName>
    <definedName name="基金金额" localSheetId="3">#REF!</definedName>
    <definedName name="基金科目" localSheetId="3">#REF!</definedName>
    <definedName name="基金类型" localSheetId="3">#REF!</definedName>
    <definedName name="金额" localSheetId="3">#REF!</definedName>
    <definedName name="科目" localSheetId="3">#REF!</definedName>
    <definedName name="类型" localSheetId="3">#REF!</definedName>
    <definedName name="区划"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8"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전" localSheetId="3">#REF!</definedName>
    <definedName name="주택사업본부" localSheetId="3">#REF!</definedName>
    <definedName name="철구사업본부" localSheetId="3">#REF!</definedName>
    <definedName name="_xlnm.Print_Titles" localSheetId="3">'（附表2）一般公共预算支出科目'!$1:$5</definedName>
    <definedName name="_123" localSheetId="14">OFFSET(#REF!,,,COUNTA(#REF!)-1)</definedName>
    <definedName name="a" localSheetId="14">#REF!</definedName>
    <definedName name="aa" localSheetId="14">#REF!</definedName>
    <definedName name="ABC" localSheetId="14">#REF!</definedName>
    <definedName name="ABD" localSheetId="14">#REF!</definedName>
    <definedName name="county" localSheetId="14">#REF!</definedName>
    <definedName name="data" localSheetId="14">#REF!</definedName>
    <definedName name="database2" localSheetId="14">#REF!</definedName>
    <definedName name="database3" localSheetId="14">#REF!</definedName>
    <definedName name="ddd" localSheetId="14">#REF!</definedName>
    <definedName name="FAMERangeexchebAD12" localSheetId="14">#REF!</definedName>
    <definedName name="FAMERangeirsAD12" localSheetId="14">#REF!</definedName>
    <definedName name="FAMERangeMGSV" localSheetId="14">#REF!</definedName>
    <definedName name="FAMERangeMGSVAB10" localSheetId="14">#REF!</definedName>
    <definedName name="FAMERangeMGSVAB11" localSheetId="14">#REF!</definedName>
    <definedName name="FAMERangeMGSVAB12" localSheetId="14">#REF!</definedName>
    <definedName name="FAMERangeMGSVAB13" localSheetId="14">#REF!</definedName>
    <definedName name="FAMERangeMGSVAB14" localSheetId="14">#REF!</definedName>
    <definedName name="FAMERangeMGSVAB15" localSheetId="14">#REF!</definedName>
    <definedName name="FAMERangeMGSVAB16" localSheetId="14">#REF!</definedName>
    <definedName name="FAMERangeMGSVAB17" localSheetId="14">#REF!</definedName>
    <definedName name="FAMERangeMGSVAB18" localSheetId="14">#REF!</definedName>
    <definedName name="FAMERangeMGSVAB19" localSheetId="14">#REF!</definedName>
    <definedName name="FAMERangeMGSVAB20" localSheetId="14">#REF!</definedName>
    <definedName name="FAMERangeMGSVAB21" localSheetId="14">#REF!</definedName>
    <definedName name="FAMERangeMGSVAB22" localSheetId="14">#REF!</definedName>
    <definedName name="FAMERangeMGSVAB23" localSheetId="14">#REF!</definedName>
    <definedName name="FAMERangeMGSVAB24" localSheetId="14">#REF!</definedName>
    <definedName name="FAMERangeMGSVAB25" localSheetId="14">#REF!</definedName>
    <definedName name="FAMERangeMGSVAB26" localSheetId="14">#REF!</definedName>
    <definedName name="FAMERangeMGSVAB27" localSheetId="14">#REF!</definedName>
    <definedName name="FAMERangeMGSVAB28" localSheetId="14">#REF!</definedName>
    <definedName name="FAMERangeMGSVAB29" localSheetId="14">#REF!</definedName>
    <definedName name="FAMERangeMGSVAB30" localSheetId="14">#REF!</definedName>
    <definedName name="FAMERangeMGSVAB31" localSheetId="14">#REF!</definedName>
    <definedName name="FAMERangeMGSVAB32" localSheetId="14">#REF!</definedName>
    <definedName name="FAMERangeMGSVAB33" localSheetId="14">#REF!</definedName>
    <definedName name="FAMERangeMGSVAB34" localSheetId="14">#REF!</definedName>
    <definedName name="FAMERangeMGSVAB35" localSheetId="14">#REF!</definedName>
    <definedName name="FAMERangeMGSVAB36" localSheetId="14">#REF!</definedName>
    <definedName name="FAMERangeMGSVAB38" localSheetId="14">#REF!</definedName>
    <definedName name="FAMERangeMGSVAB5" localSheetId="14">#REF!</definedName>
    <definedName name="FAMERangeMGSVAB6" localSheetId="14">#REF!</definedName>
    <definedName name="FAMERangeMGSVAB7" localSheetId="14">#REF!</definedName>
    <definedName name="FAMERangeMGSVAB8" localSheetId="14">#REF!</definedName>
    <definedName name="FAMERangeMGSVAB9" localSheetId="14">#REF!</definedName>
    <definedName name="FAMERangeMGSVAC10" localSheetId="14">#REF!</definedName>
    <definedName name="FAMERangeMGSVAC11" localSheetId="14">#REF!</definedName>
    <definedName name="FAMERangeMGSVAC12" localSheetId="14">#REF!</definedName>
    <definedName name="FAMERangeMGSVAC13" localSheetId="14">#REF!</definedName>
    <definedName name="FAMERangeMGSVAC14" localSheetId="14">#REF!</definedName>
    <definedName name="FAMERangeMGSVAC15" localSheetId="14">#REF!</definedName>
    <definedName name="FAMERangeMGSVAC16" localSheetId="14">#REF!</definedName>
    <definedName name="FAMERangeMGSVAC17" localSheetId="14">#REF!</definedName>
    <definedName name="FAMERangeMGSVAC18" localSheetId="14">#REF!</definedName>
    <definedName name="FAMERangeMGSVAC19" localSheetId="14">#REF!</definedName>
    <definedName name="FAMERangeMGSVAC20" localSheetId="14">#REF!</definedName>
    <definedName name="FAMERangeMGSVAC21" localSheetId="14">#REF!</definedName>
    <definedName name="FAMERangeMGSVAC22" localSheetId="14">#REF!</definedName>
    <definedName name="FAMERangeMGSVAC23" localSheetId="14">#REF!</definedName>
    <definedName name="FAMERangeMGSVAC24" localSheetId="14">#REF!</definedName>
    <definedName name="FAMERangeMGSVAC25" localSheetId="14">#REF!</definedName>
    <definedName name="FAMERangeMGSVAC26" localSheetId="14">#REF!</definedName>
    <definedName name="FAMERangeMGSVAC27" localSheetId="14">#REF!</definedName>
    <definedName name="FAMERangeMGSVAC28" localSheetId="14">#REF!</definedName>
    <definedName name="FAMERangeMGSVAC29" localSheetId="14">#REF!</definedName>
    <definedName name="FAMERangeMGSVAC30" localSheetId="14">#REF!</definedName>
    <definedName name="FAMERangeMGSVAC31" localSheetId="14">#REF!</definedName>
    <definedName name="FAMERangeMGSVAC32" localSheetId="14">#REF!</definedName>
    <definedName name="FAMERangeMGSVAC33" localSheetId="14">#REF!</definedName>
    <definedName name="FAMERangeMGSVAC34" localSheetId="14">#REF!</definedName>
    <definedName name="FAMERangeMGSVAC35" localSheetId="14">#REF!</definedName>
    <definedName name="FAMERangeMGSVAC36" localSheetId="14">#REF!</definedName>
    <definedName name="FAMERangeMGSVAC38" localSheetId="14">#REF!</definedName>
    <definedName name="FAMERangeMGSVAC5" localSheetId="14">#REF!</definedName>
    <definedName name="FAMERangeMGSVAC6" localSheetId="14">#REF!</definedName>
    <definedName name="FAMERangeMGSVAC7" localSheetId="14">#REF!</definedName>
    <definedName name="FAMERangeMGSVAC8" localSheetId="14">#REF!</definedName>
    <definedName name="FAMERangeMGSVAC9" localSheetId="14">#REF!</definedName>
    <definedName name="FAMERangeMGSVAD10" localSheetId="14">#REF!</definedName>
    <definedName name="FAMERangeMGSVAD11" localSheetId="14">#REF!</definedName>
    <definedName name="FAMERangeMGSVAD12" localSheetId="14">#REF!</definedName>
    <definedName name="FAMERangeMGSVAD13" localSheetId="14">#REF!</definedName>
    <definedName name="FAMERangeMGSVAD14" localSheetId="14">#REF!</definedName>
    <definedName name="FAMERangeMGSVAD15" localSheetId="14">#REF!</definedName>
    <definedName name="FAMERangeMGSVAD16" localSheetId="14">#REF!</definedName>
    <definedName name="FAMERangeMGSVAD17" localSheetId="14">#REF!</definedName>
    <definedName name="FAMERangeMGSVAD18" localSheetId="14">#REF!</definedName>
    <definedName name="FAMERangeMGSVAD19" localSheetId="14">#REF!</definedName>
    <definedName name="FAMERangeMGSVAD20" localSheetId="14">#REF!</definedName>
    <definedName name="FAMERangeMGSVAD21" localSheetId="14">#REF!</definedName>
    <definedName name="FAMERangeMGSVAD22" localSheetId="14">#REF!</definedName>
    <definedName name="FAMERangeMGSVAD23" localSheetId="14">#REF!</definedName>
    <definedName name="FAMERangeMGSVAD24" localSheetId="14">#REF!</definedName>
    <definedName name="FAMERangeMGSVAD25" localSheetId="14">#REF!</definedName>
    <definedName name="FAMERangeMGSVAD26" localSheetId="14">#REF!</definedName>
    <definedName name="FAMERangeMGSVAD27" localSheetId="14">#REF!</definedName>
    <definedName name="FAMERangeMGSVAD28" localSheetId="14">#REF!</definedName>
    <definedName name="FAMERangeMGSVAD29" localSheetId="14">#REF!</definedName>
    <definedName name="FAMERangeMGSVAD30" localSheetId="14">#REF!</definedName>
    <definedName name="FAMERangeMGSVAD31" localSheetId="14">#REF!</definedName>
    <definedName name="FAMERangeMGSVAD32" localSheetId="14">#REF!</definedName>
    <definedName name="FAMERangeMGSVAD33" localSheetId="14">#REF!</definedName>
    <definedName name="FAMERangeMGSVAD34" localSheetId="14">#REF!</definedName>
    <definedName name="FAMERangeMGSVAD35" localSheetId="14">#REF!</definedName>
    <definedName name="FAMERangeMGSVAD36" localSheetId="14">#REF!</definedName>
    <definedName name="FAMERangeMGSVAD38" localSheetId="14">#REF!</definedName>
    <definedName name="FAMERangeMGSVAD5" localSheetId="14">#REF!</definedName>
    <definedName name="FAMERangeMGSVAD6" localSheetId="14">#REF!</definedName>
    <definedName name="FAMERangeMGSVAD7" localSheetId="14">#REF!</definedName>
    <definedName name="FAMERangeMGSVAD8" localSheetId="14">#REF!</definedName>
    <definedName name="FAMERangeMGSVAD9" localSheetId="14">#REF!</definedName>
    <definedName name="fjsldkfjsdljflsdkjf" localSheetId="14">#REF!</definedName>
    <definedName name="hhhh" localSheetId="14">#REF!</definedName>
    <definedName name="kkkk" localSheetId="14">#REF!</definedName>
    <definedName name="Print_Area_MI" localSheetId="14">#REF!</definedName>
    <definedName name="qqqqqqqqqqqqqqqqqqqqqqq" localSheetId="14">#REF!</definedName>
    <definedName name="sheng" localSheetId="14">#REF!</definedName>
    <definedName name="summary" localSheetId="14">#REF!</definedName>
    <definedName name="UniqueRange_37" localSheetId="14">#REF!</definedName>
    <definedName name="UniqueRange_38" localSheetId="14">#REF!</definedName>
    <definedName name="UniqueRange_39" localSheetId="14">#REF!</definedName>
    <definedName name="UniqueRange_40" localSheetId="14">#REF!</definedName>
    <definedName name="UniqueRange_41" localSheetId="14">#REF!</definedName>
    <definedName name="UniqueRange_42" localSheetId="14">#REF!</definedName>
    <definedName name="UniqueRange_43" localSheetId="14">#REF!</definedName>
    <definedName name="UniqueRange_44" localSheetId="14">#REF!</definedName>
    <definedName name="UniqueRange_45" localSheetId="14">#REF!</definedName>
    <definedName name="UniqueRange_46" localSheetId="14">#REF!</definedName>
    <definedName name="UniqueRange_47" localSheetId="14">#REF!</definedName>
    <definedName name="北京市行政区划" localSheetId="14">#REF!</definedName>
    <definedName name="财政供养" localSheetId="14">#REF!</definedName>
    <definedName name="处室" localSheetId="14">#REF!</definedName>
    <definedName name="还有" localSheetId="14">#REF!</definedName>
    <definedName name="汇率" localSheetId="14">#REF!</definedName>
    <definedName name="基金处室" localSheetId="14">#REF!</definedName>
    <definedName name="基金金额" localSheetId="14">#REF!</definedName>
    <definedName name="基金科目" localSheetId="14">#REF!</definedName>
    <definedName name="基金类型" localSheetId="14">#REF!</definedName>
    <definedName name="金额" localSheetId="14">#REF!</definedName>
    <definedName name="科目" localSheetId="14">#REF!</definedName>
    <definedName name="类型" localSheetId="14">#REF!</definedName>
    <definedName name="区划" localSheetId="14">#REF!</definedName>
    <definedName name="生产列1" localSheetId="14">#REF!</definedName>
    <definedName name="生产列11" localSheetId="14">#REF!</definedName>
    <definedName name="生产列15" localSheetId="14">#REF!</definedName>
    <definedName name="生产列16" localSheetId="14">#REF!</definedName>
    <definedName name="生产列17" localSheetId="14">#REF!</definedName>
    <definedName name="生产列19" localSheetId="14">#REF!</definedName>
    <definedName name="生产列2" localSheetId="14">#REF!</definedName>
    <definedName name="生产列20" localSheetId="14">#REF!</definedName>
    <definedName name="生产列3" localSheetId="14">#REF!</definedName>
    <definedName name="生产列4" localSheetId="14">#REF!</definedName>
    <definedName name="生产列5" localSheetId="14">#REF!</definedName>
    <definedName name="生产列6" localSheetId="14">#REF!</definedName>
    <definedName name="生产列7" localSheetId="14">#REF!</definedName>
    <definedName name="生产列8" localSheetId="14">#REF!</definedName>
    <definedName name="生产列9" localSheetId="14">#REF!</definedName>
    <definedName name="生产期" localSheetId="14">#REF!</definedName>
    <definedName name="生产期1" localSheetId="14">#REF!</definedName>
    <definedName name="生产期11" localSheetId="14">#REF!</definedName>
    <definedName name="生产期123" localSheetId="14">#REF!</definedName>
    <definedName name="生产期15" localSheetId="14">#REF!</definedName>
    <definedName name="生产期16" localSheetId="14">#REF!</definedName>
    <definedName name="生产期17" localSheetId="14">#REF!</definedName>
    <definedName name="生产期18" localSheetId="14">#REF!</definedName>
    <definedName name="生产期19" localSheetId="14">#REF!</definedName>
    <definedName name="生产期2" localSheetId="14">#REF!</definedName>
    <definedName name="生产期20" localSheetId="14">#REF!</definedName>
    <definedName name="生产期3" localSheetId="14">#REF!</definedName>
    <definedName name="生产期4" localSheetId="14">#REF!</definedName>
    <definedName name="生产期5" localSheetId="14">#REF!</definedName>
    <definedName name="生产期6" localSheetId="14">#REF!</definedName>
    <definedName name="生产期7" localSheetId="14">#REF!</definedName>
    <definedName name="生产期8" localSheetId="14">#REF!</definedName>
    <definedName name="生产期9" localSheetId="14">#REF!</definedName>
    <definedName name="전" localSheetId="14">#REF!</definedName>
    <definedName name="주택사업본부" localSheetId="14">#REF!</definedName>
    <definedName name="철구사업본부" localSheetId="14">#REF!</definedName>
    <definedName name="_xlnm.Print_Titles" localSheetId="14">'（附表13）新增债券资金年限利率'!$1:$6</definedName>
    <definedName name="_xlnm.Print_Area" localSheetId="3">'（附表2）一般公共预算支出科目'!$A$1:$M$438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谢培金</author>
    <author>蔡祺华</author>
    <author>44210</author>
  </authors>
  <commentList>
    <comment ref="D216" authorId="0">
      <text>
        <r>
          <rPr>
            <sz val="9"/>
            <rFont val="宋体"/>
            <charset val="134"/>
          </rPr>
          <t xml:space="preserve">汕头海湾隧道（G228线）
</t>
        </r>
      </text>
    </comment>
    <comment ref="D220" authorId="1">
      <text>
        <r>
          <rPr>
            <sz val="9"/>
            <rFont val="宋体"/>
            <charset val="134"/>
          </rPr>
          <t xml:space="preserve">非税执收单位运行经费改名
</t>
        </r>
      </text>
    </comment>
    <comment ref="D221" authorId="1">
      <text>
        <r>
          <rPr>
            <sz val="9"/>
            <rFont val="宋体"/>
            <charset val="134"/>
          </rPr>
          <t xml:space="preserve">地质灾害应急物资及隐患点防治和汕头市濠江区合作构建地质灾害防治技术支撑合并
</t>
        </r>
      </text>
    </comment>
    <comment ref="C353" authorId="2">
      <text>
        <r>
          <rPr>
            <sz val="9"/>
            <rFont val="宋体"/>
            <charset val="134"/>
          </rPr>
          <t>需更正年初预算名称</t>
        </r>
      </text>
    </comment>
  </commentList>
</comments>
</file>

<file path=xl/comments2.xml><?xml version="1.0" encoding="utf-8"?>
<comments xmlns="http://schemas.openxmlformats.org/spreadsheetml/2006/main">
  <authors>
    <author>Administrator</author>
    <author>作者</author>
  </authors>
  <commentList>
    <comment ref="O12" authorId="0">
      <text>
        <r>
          <rPr>
            <b/>
            <sz val="9"/>
            <rFont val="宋体"/>
            <charset val="134"/>
          </rPr>
          <t>Administrator:</t>
        </r>
        <r>
          <rPr>
            <sz val="9"/>
            <rFont val="宋体"/>
            <charset val="134"/>
          </rPr>
          <t xml:space="preserve">
进位虚增0.2</t>
        </r>
      </text>
    </comment>
    <comment ref="C38" authorId="1">
      <text>
        <r>
          <rPr>
            <b/>
            <sz val="9"/>
            <rFont val="宋体"/>
            <charset val="134"/>
          </rPr>
          <t>作者:</t>
        </r>
        <r>
          <rPr>
            <sz val="9"/>
            <rFont val="宋体"/>
            <charset val="134"/>
          </rPr>
          <t xml:space="preserve">
用土地净收益缴新增建设用地土地有偿使用费支出</t>
        </r>
      </text>
    </comment>
  </commentList>
</comments>
</file>

<file path=xl/comments3.xml><?xml version="1.0" encoding="utf-8"?>
<comments xmlns="http://schemas.openxmlformats.org/spreadsheetml/2006/main">
  <authors>
    <author>44210</author>
  </authors>
  <commentList>
    <comment ref="E107" authorId="0">
      <text>
        <r>
          <rPr>
            <sz val="9"/>
            <rFont val="宋体"/>
            <charset val="134"/>
          </rPr>
          <t xml:space="preserve">加上补列预算15万
</t>
        </r>
      </text>
    </comment>
    <comment ref="E117" authorId="0">
      <text>
        <r>
          <rPr>
            <sz val="9"/>
            <rFont val="宋体"/>
            <charset val="134"/>
          </rPr>
          <t xml:space="preserve">加上补列预算20万
</t>
        </r>
      </text>
    </comment>
  </commentList>
</comments>
</file>

<file path=xl/sharedStrings.xml><?xml version="1.0" encoding="utf-8"?>
<sst xmlns="http://schemas.openxmlformats.org/spreadsheetml/2006/main" count="3591" uniqueCount="1848">
  <si>
    <t>汕头市濠江区2023年政府预算调整草案</t>
  </si>
  <si>
    <t>编制部门：汕头市濠江区财政局</t>
  </si>
  <si>
    <t>编制时间：2023年12月</t>
  </si>
  <si>
    <t>汕头市濠江区2023年政府预算调整草案目录</t>
  </si>
  <si>
    <t>一、一般公共预算</t>
  </si>
  <si>
    <t>1.汕头市濠江区2023年一般公共财政预算收入计划调整表</t>
  </si>
  <si>
    <t>2.汕头市濠江区2023年一般公共预算支出科目调整情况表</t>
  </si>
  <si>
    <t>3.汕头市濠江区2023年一般公共预算支出项目调整情况表</t>
  </si>
  <si>
    <t>4.汕头市濠江区2023年公共财政上级财力性补助收支预算调整表</t>
  </si>
  <si>
    <t>二、政府性基金预算</t>
  </si>
  <si>
    <t>5.汕头市濠江区2023年政府性基金预算收入计划调整表</t>
  </si>
  <si>
    <t>6.汕头市濠江区2023年本级政府性基金预算收入项目调整表</t>
  </si>
  <si>
    <t>7.汕头市濠江区2023年政府性基金预算支出科目调整表</t>
  </si>
  <si>
    <t>8.汕头市濠江区2023年本级政府性基金预算支出项目调整表</t>
  </si>
  <si>
    <t>三、国有资本经营预算</t>
  </si>
  <si>
    <t>9.汕头市濠江区2023年国有资本经营预算收入计划调整表</t>
  </si>
  <si>
    <t>10.汕头市濠江区2023年国有资本经营预算支出计划调整表</t>
  </si>
  <si>
    <t>四、社会保险基金预算</t>
  </si>
  <si>
    <t>11.汕头市濠江区2023年社会保险基金预算收入计划调整表</t>
  </si>
  <si>
    <t>12.汕头市濠江区2023年社会保险基金预算支出计划调整表</t>
  </si>
  <si>
    <t>五、其他</t>
  </si>
  <si>
    <t>13.汕头市濠江区2023年新增债券资金年限利率表</t>
  </si>
  <si>
    <t>14.汕头市濠江区2023年新增债券资金分配表</t>
  </si>
  <si>
    <t>15.汕头市濠江区新增债券资金用途调整明细表</t>
  </si>
  <si>
    <t>16.汕头市濠江区2023年收回存量资金及安排表</t>
  </si>
  <si>
    <t>附表1</t>
  </si>
  <si>
    <t>汕头市濠江区2023年一般公共财政预算收入计划调整表</t>
  </si>
  <si>
    <t>单位：万元</t>
  </si>
  <si>
    <t>科目名称</t>
  </si>
  <si>
    <t>年初预算数</t>
  </si>
  <si>
    <t>11月情况（不打印）</t>
  </si>
  <si>
    <t>变动因素</t>
  </si>
  <si>
    <t>调整后计划数</t>
  </si>
  <si>
    <t>比增%</t>
  </si>
  <si>
    <t>备注</t>
  </si>
  <si>
    <t>总库</t>
  </si>
  <si>
    <t>本级</t>
  </si>
  <si>
    <t>一、税收收入</t>
  </si>
  <si>
    <t xml:space="preserve">   1.增值税</t>
  </si>
  <si>
    <t>市与区共享收入</t>
  </si>
  <si>
    <t xml:space="preserve">   2.消费税</t>
  </si>
  <si>
    <t xml:space="preserve">   3.车辆购置税</t>
  </si>
  <si>
    <t>市本级固定收入</t>
  </si>
  <si>
    <t xml:space="preserve">   4.企业所得税</t>
  </si>
  <si>
    <t xml:space="preserve">   5.个人所得税</t>
  </si>
  <si>
    <t xml:space="preserve">   6.资源税</t>
  </si>
  <si>
    <t>区级固定收入</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</si>
  <si>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</si>
  <si>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</si>
  <si>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</si>
  <si>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</si>
  <si>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</si>
  <si>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</si>
  <si>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13.耕地占用税</t>
  </si>
  <si>
    <t xml:space="preserve">   14.契税</t>
  </si>
  <si>
    <t xml:space="preserve">   15.环境保护税</t>
  </si>
  <si>
    <t xml:space="preserve">   16.其他税收收入</t>
  </si>
  <si>
    <t>二、非税收入</t>
  </si>
  <si>
    <t xml:space="preserve">   1.教育费附加收入</t>
  </si>
  <si>
    <t xml:space="preserve">   2.地方教育附加收入</t>
  </si>
  <si>
    <t xml:space="preserve">   3.农田水利建设</t>
  </si>
  <si>
    <t xml:space="preserve">   4.森林植被恢复费</t>
  </si>
  <si>
    <t xml:space="preserve">   5.水利建设专项收入</t>
  </si>
  <si>
    <t xml:space="preserve">   6.教育资金收入</t>
  </si>
  <si>
    <t xml:space="preserve">   7.捐赠收入</t>
  </si>
  <si>
    <t xml:space="preserve">   8.政府住房基金收入</t>
  </si>
  <si>
    <t xml:space="preserve">   9.行政事业性收费收入</t>
  </si>
  <si>
    <t xml:space="preserve">   10.罚没收入</t>
  </si>
  <si>
    <t>主要是涉土罚没收入增加。</t>
  </si>
  <si>
    <t xml:space="preserve">   9.国有资产经营收入</t>
  </si>
  <si>
    <t xml:space="preserve">   11.国有资源(资产)有偿使用收入</t>
  </si>
  <si>
    <t>主要是土地及附着物资产处置、海砂处置和光伏项目等收入增加。</t>
  </si>
  <si>
    <t xml:space="preserve">   12.水土保持补偿费</t>
  </si>
  <si>
    <t xml:space="preserve">   13.防空地下室易地建设费</t>
  </si>
  <si>
    <t xml:space="preserve">   14.其他收入</t>
  </si>
  <si>
    <t>征收收入小计</t>
  </si>
  <si>
    <t xml:space="preserve">   其中：税务局</t>
  </si>
  <si>
    <t xml:space="preserve">         财政局</t>
  </si>
  <si>
    <t>三、转移性收入</t>
  </si>
  <si>
    <t xml:space="preserve">   1.上级财力性补助收入</t>
  </si>
  <si>
    <t>按去年金额预测省临时救助、一次性专项补助。</t>
  </si>
  <si>
    <t xml:space="preserve">   2.上级专项性补助收入</t>
  </si>
  <si>
    <t>其中中央直达资金24713万元。</t>
  </si>
  <si>
    <t xml:space="preserve">   3.上级债券转贷收入</t>
  </si>
  <si>
    <t xml:space="preserve">   4.再融资债券收入</t>
  </si>
  <si>
    <t xml:space="preserve">   5.上年结余收入</t>
  </si>
  <si>
    <t xml:space="preserve">   6.预算稳定调节基金</t>
  </si>
  <si>
    <t xml:space="preserve">   7.调入资金</t>
  </si>
  <si>
    <t>其中国有资本经营预算调入744万元、政府性基金预算调入5000万元、专户结余调入20725万元。</t>
  </si>
  <si>
    <t>收入合计</t>
  </si>
  <si>
    <t>附表2</t>
  </si>
  <si>
    <t>汕头市濠江区2023年一般公共预算支出科目调整情况表</t>
  </si>
  <si>
    <t>功能分类代码</t>
  </si>
  <si>
    <t>功能分类名称</t>
  </si>
  <si>
    <t>合计</t>
  </si>
  <si>
    <t>本级支出</t>
  </si>
  <si>
    <t>上级支出</t>
  </si>
  <si>
    <t>政策性因素</t>
  </si>
  <si>
    <t>决算后结转资金变化</t>
  </si>
  <si>
    <t>预留、功能分类调整</t>
  </si>
  <si>
    <t>一般公共服务支出</t>
  </si>
  <si>
    <t>人大事务</t>
  </si>
  <si>
    <t>行政运行</t>
  </si>
  <si>
    <t>调增人员经费。</t>
  </si>
  <si>
    <t>人大会议</t>
  </si>
  <si>
    <t>人大立法</t>
  </si>
  <si>
    <t>人大监督</t>
  </si>
  <si>
    <t>代表工作</t>
  </si>
  <si>
    <t>调减区人大办代表履职活动保障经费。</t>
  </si>
  <si>
    <t>其他人大事务支出</t>
  </si>
  <si>
    <t>调减各街道人大工委工作经费等。</t>
  </si>
  <si>
    <t>政协事务</t>
  </si>
  <si>
    <t>政协会议</t>
  </si>
  <si>
    <t>参政议政</t>
  </si>
  <si>
    <t>其他政协事务支出</t>
  </si>
  <si>
    <t>调减政协工作室工作经费、委员活动经费等，调增文史工作经费。</t>
  </si>
  <si>
    <t>政府办公厅（室）及相关机构事务</t>
  </si>
  <si>
    <t>其他政府办公厅（室）及相关机构事务支出</t>
  </si>
  <si>
    <t>调减政府在线二期、信息化终端设备更新项目经费等，调增“百千万工程”指挥部办公室工作经费等。</t>
  </si>
  <si>
    <t>发展与改革事务</t>
  </si>
  <si>
    <t>战略规划与实施</t>
  </si>
  <si>
    <t>调减区经济动员办公室工作经费。</t>
  </si>
  <si>
    <t>物价管理</t>
  </si>
  <si>
    <t>其他发展与改革事务支出</t>
  </si>
  <si>
    <t>调减可行性研究报告专家评审费、概算审查经费。</t>
  </si>
  <si>
    <t>统计信息事务</t>
  </si>
  <si>
    <t>一般行政管理事务</t>
  </si>
  <si>
    <t>专项普查活动</t>
  </si>
  <si>
    <t>统计抽样调查</t>
  </si>
  <si>
    <t>事业运行</t>
  </si>
  <si>
    <t>其他统计信息事务支出</t>
  </si>
  <si>
    <t>调减2022年街道（镇）统计工作补助资金。</t>
  </si>
  <si>
    <t>财政事务</t>
  </si>
  <si>
    <t>信息化建设</t>
  </si>
  <si>
    <t>调增财政局系统维护费。</t>
  </si>
  <si>
    <t>财政委托业务支出</t>
  </si>
  <si>
    <t>其他财政事务支出</t>
  </si>
  <si>
    <t>调增人行联网系统国库端建设费用。</t>
  </si>
  <si>
    <t>税收事务</t>
  </si>
  <si>
    <t>调增税务局征管经费。</t>
  </si>
  <si>
    <t>审计事务</t>
  </si>
  <si>
    <t>审计业务</t>
  </si>
  <si>
    <t>调减审计经费。</t>
  </si>
  <si>
    <t>调减人员经费。</t>
  </si>
  <si>
    <t>纪检监察事务</t>
  </si>
  <si>
    <t>2011104</t>
  </si>
  <si>
    <t>大案要案查处</t>
  </si>
  <si>
    <t>派驻派出机构</t>
  </si>
  <si>
    <t>其他纪检监察事务支出</t>
  </si>
  <si>
    <t>商贸事务</t>
  </si>
  <si>
    <t>招商引资</t>
  </si>
  <si>
    <t>调增招商引资工作经费。</t>
  </si>
  <si>
    <t>其他商贸事务支出</t>
  </si>
  <si>
    <t>知识产权事务</t>
  </si>
  <si>
    <t>知识产权宏观管理</t>
  </si>
  <si>
    <t>其他知识产权事务支出</t>
  </si>
  <si>
    <t>港澳台事务</t>
  </si>
  <si>
    <t>港澳事务</t>
  </si>
  <si>
    <t>档案事务</t>
  </si>
  <si>
    <t>档案馆</t>
  </si>
  <si>
    <t>调减档案馆工作经费。</t>
  </si>
  <si>
    <t>民主党派及工商联事务</t>
  </si>
  <si>
    <t>其他民主党派及工商联事务支出</t>
  </si>
  <si>
    <t>群众团体事务</t>
  </si>
  <si>
    <t>调增共青团品牌活动及改革工作经费、妇儿工委监测评估经费等，调减青年人才团建活动经费。</t>
  </si>
  <si>
    <t>工会事务</t>
  </si>
  <si>
    <t>其他群众团体事务支出</t>
  </si>
  <si>
    <t>调减广东省第四期“妇女之家”示范点（濠江区）经费。</t>
  </si>
  <si>
    <t>党委办公厅（室）及相关机构事务</t>
  </si>
  <si>
    <t>其他党委办公厅（室）及相关机构事务支出</t>
  </si>
  <si>
    <t>组织事务</t>
  </si>
  <si>
    <t>调剂人员经费。</t>
  </si>
  <si>
    <t>其他组织事务支出</t>
  </si>
  <si>
    <t>调减人员经费、社区一般工作人员工作补贴和“两委”干部医疗保险等。</t>
  </si>
  <si>
    <t>宣传事务</t>
  </si>
  <si>
    <t>其他宣传事务支出</t>
  </si>
  <si>
    <t>调减理论学习中心组经费。</t>
  </si>
  <si>
    <t>统战事务</t>
  </si>
  <si>
    <t>华侨事务</t>
  </si>
  <si>
    <t>其他统战事务支出</t>
  </si>
  <si>
    <t>其他共产党事务支出</t>
  </si>
  <si>
    <t>调减雪亮工程维保费用、粤平安网格手机移动终端费用等。</t>
  </si>
  <si>
    <t>市场监督管理事务</t>
  </si>
  <si>
    <t>质量安全监管</t>
  </si>
  <si>
    <t>食品安全监管</t>
  </si>
  <si>
    <t>调减明厨亮灶联网监管系统专项经费。</t>
  </si>
  <si>
    <t>其他市场监督管理事务</t>
  </si>
  <si>
    <t>调减市场监督局工作经费。</t>
  </si>
  <si>
    <t>其他一般公共服务支出</t>
  </si>
  <si>
    <t>调增党政办及公安局工作经费，调剂预留经费。</t>
  </si>
  <si>
    <t>国防支出</t>
  </si>
  <si>
    <t>国防动员</t>
  </si>
  <si>
    <t>兵役征集</t>
  </si>
  <si>
    <t>调减退役军人事务局2022年省财政大学毕业生入伍补助。</t>
  </si>
  <si>
    <t>人民防空</t>
  </si>
  <si>
    <t>调减人防训练演练经费。</t>
  </si>
  <si>
    <t>民兵</t>
  </si>
  <si>
    <t>调减民兵事业费。</t>
  </si>
  <si>
    <t>其他国防支出</t>
  </si>
  <si>
    <t>调减武装部营房管理费等经费。</t>
  </si>
  <si>
    <t>公共安全支出</t>
  </si>
  <si>
    <t>公安</t>
  </si>
  <si>
    <t>其他公安支出</t>
  </si>
  <si>
    <t>调减预留公安专项经费、“平安汕头”智能视频监控系统租赁资金等。</t>
  </si>
  <si>
    <t>检察</t>
  </si>
  <si>
    <t>其他检察支出</t>
  </si>
  <si>
    <t>法院</t>
  </si>
  <si>
    <t>其他法院支出</t>
  </si>
  <si>
    <t>调减书记员经费、诉前调解中心工作经费。</t>
  </si>
  <si>
    <t>司法</t>
  </si>
  <si>
    <t>调减“广东省行政执法信息平台和行政执法监督网络平台”经费。</t>
  </si>
  <si>
    <t>基层司法业务</t>
  </si>
  <si>
    <t>调减人民调解“以案定补”经费等。</t>
  </si>
  <si>
    <t>普法宣传</t>
  </si>
  <si>
    <t>律师公证管理</t>
  </si>
  <si>
    <t>调减公共法律服务工作经费。</t>
  </si>
  <si>
    <t>法律援助</t>
  </si>
  <si>
    <t>调减法律援助经费。</t>
  </si>
  <si>
    <t>社区矫正</t>
  </si>
  <si>
    <t>调减社区矫正两级平台运行维护经费。</t>
  </si>
  <si>
    <t>其他司法支出</t>
  </si>
  <si>
    <t>其他公共安全支出</t>
  </si>
  <si>
    <t>调减见义勇为奖励经费。</t>
  </si>
  <si>
    <t>教育支出</t>
  </si>
  <si>
    <t>教育管理事务</t>
  </si>
  <si>
    <t>普通教育</t>
  </si>
  <si>
    <t>学前教育</t>
  </si>
  <si>
    <t>调减濠江花园南区幼儿园、广澳街道中心幼儿园学前教育购买服务经费。</t>
  </si>
  <si>
    <t>小学教育</t>
  </si>
  <si>
    <t>调减人员经费、河北小学教学用房及配套设施综合改建项目和华桥小学扩建教学综合楼及运动场地改造项目等。</t>
  </si>
  <si>
    <t>初中教育</t>
  </si>
  <si>
    <t>调减人员经费和达濠中学改建运动场及配套设施项目等。</t>
  </si>
  <si>
    <t>高中教育</t>
  </si>
  <si>
    <t>其他普通教育支出</t>
  </si>
  <si>
    <t>调增教育校舍改造（一般债券）项目资金、教师培训经费等，调减各学校工作经费等，区教师发展中心中心及人力资源服务产业园建设项目调整科目。</t>
  </si>
  <si>
    <t>职业教育</t>
  </si>
  <si>
    <t>中等职业教育</t>
  </si>
  <si>
    <t>调减职业教育提质培优行动计划、广澳中学综合实训楼和学生宿舍楼及配套设施等项目经费。</t>
  </si>
  <si>
    <t>高等职业教育</t>
  </si>
  <si>
    <t>调减汕头幼儿师范高等专科学校建设项目经费。</t>
  </si>
  <si>
    <t>特殊教育</t>
  </si>
  <si>
    <t>特殊学校教育</t>
  </si>
  <si>
    <t>其他特殊教育支出</t>
  </si>
  <si>
    <t>进修及培训</t>
  </si>
  <si>
    <t>教师进修</t>
  </si>
  <si>
    <t>调减中小学教师校本研修示范校和示范培育学校建设补助项目经费。</t>
  </si>
  <si>
    <t>干部教育</t>
  </si>
  <si>
    <t>教育费附加安排的支出</t>
  </si>
  <si>
    <t>其他教育费附加安排的支出</t>
  </si>
  <si>
    <t>调减项目经费。</t>
  </si>
  <si>
    <t>其他教育支出</t>
  </si>
  <si>
    <t>调减粤东粤西粤北地区新建迁建高校资金。</t>
  </si>
  <si>
    <t>科学技术支出</t>
  </si>
  <si>
    <t>技术研究与开发支出</t>
  </si>
  <si>
    <t>其他技术研究与开发支出</t>
  </si>
  <si>
    <t>科学技术普及</t>
  </si>
  <si>
    <t>其他科学技术普及支出</t>
  </si>
  <si>
    <t>其他科学技术支出</t>
  </si>
  <si>
    <t>文化旅游体育与传媒支出</t>
  </si>
  <si>
    <t>文化和旅游</t>
  </si>
  <si>
    <t>图书馆</t>
  </si>
  <si>
    <t>群众文化</t>
  </si>
  <si>
    <t>文化和旅游交流与合作</t>
  </si>
  <si>
    <t>文化和旅游市场管理</t>
  </si>
  <si>
    <t>旅游宣传</t>
  </si>
  <si>
    <t>其他文化和旅游支出</t>
  </si>
  <si>
    <t>调减国家级全域旅游示范区创建经费、创建省全域旅游示范区工作经费等。</t>
  </si>
  <si>
    <t>文物</t>
  </si>
  <si>
    <t>文物保护</t>
  </si>
  <si>
    <t>调减文物保护经费。</t>
  </si>
  <si>
    <t>博物馆</t>
  </si>
  <si>
    <t>体育</t>
  </si>
  <si>
    <t>体育场馆</t>
  </si>
  <si>
    <t>调减公共体育场馆向社会免费或低收费开放项目经费。</t>
  </si>
  <si>
    <t>其他体育支出</t>
  </si>
  <si>
    <t>调增项目经费。</t>
  </si>
  <si>
    <t>其他文化旅游体育与传媒支出</t>
  </si>
  <si>
    <t>宣传文化发展专项支出</t>
  </si>
  <si>
    <t>调减新时代文明实践中心提质升级项目工作经费。</t>
  </si>
  <si>
    <t>调减创建经费、玉新街道黎明社区红色文化教育基地经费等。</t>
  </si>
  <si>
    <t>社会保障和就业支出</t>
  </si>
  <si>
    <t>人力资源和社会保障管理事务</t>
  </si>
  <si>
    <t>公共就业服务和职业技能鉴定机构</t>
  </si>
  <si>
    <t>其他人力资源和社会保障管理事务支出</t>
  </si>
  <si>
    <t>调减人社局工作经费。</t>
  </si>
  <si>
    <t>民政管理事务</t>
  </si>
  <si>
    <t>社会组织管理</t>
  </si>
  <si>
    <t>行政区划和地名管理</t>
  </si>
  <si>
    <t>基层政权建设和社区治理</t>
  </si>
  <si>
    <t>调减居务监督委员会成员区级补贴经费。</t>
  </si>
  <si>
    <t>其他民政管理事务支出</t>
  </si>
  <si>
    <t>调增民政局工作经费。</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</si>
  <si>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</si>
  <si>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</si>
  <si>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</si>
  <si>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</si>
  <si>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</si>
  <si>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</si>
  <si>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</si>
  <si>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调减财政对机关事业单位养老保险的补助经费。</t>
  </si>
  <si>
    <t>其他行政事业单位养老支出</t>
  </si>
  <si>
    <t>就业补助</t>
  </si>
  <si>
    <t>就业见习补贴</t>
  </si>
  <si>
    <t>其他就业补助支出</t>
  </si>
  <si>
    <t>抚恤</t>
  </si>
  <si>
    <t>死亡抚恤</t>
  </si>
  <si>
    <t>调剂预留基本经费。</t>
  </si>
  <si>
    <t>在乡复员、退伍军人生活补助</t>
  </si>
  <si>
    <t>调减困难企业部分退役人员生活补助。</t>
  </si>
  <si>
    <t>义务兵优待</t>
  </si>
  <si>
    <t>调增城乡义务兵优待金（含高原兵）及一次性大学生入伍奖励。</t>
  </si>
  <si>
    <t>农村籍退役士兵老年生活补助</t>
  </si>
  <si>
    <t>调增2022年中央财政优抚对象补助经费。</t>
  </si>
  <si>
    <t>退役安置</t>
  </si>
  <si>
    <t>退役士兵安置</t>
  </si>
  <si>
    <t>调减城乡退伍士兵安置补助金等。</t>
  </si>
  <si>
    <t>军队移交政府的离退休人员安置</t>
  </si>
  <si>
    <t>军队移交政府离退休干部管理机构</t>
  </si>
  <si>
    <t>退役士兵管理教育</t>
  </si>
  <si>
    <t>调减2022年退役军人现代学徒制教学工程补助资金。</t>
  </si>
  <si>
    <t>军队转业干部安置</t>
  </si>
  <si>
    <t>调减困难企业军转干部生活补助经费等。</t>
  </si>
  <si>
    <t>其他退役安置支出</t>
  </si>
  <si>
    <t>社会福利</t>
  </si>
  <si>
    <t>儿童福利</t>
  </si>
  <si>
    <t>调增孤儿基本生活保障。</t>
  </si>
  <si>
    <t>老年福利</t>
  </si>
  <si>
    <t>调减高龄老人政府津贴、百岁老人保健金。</t>
  </si>
  <si>
    <t>殡葬</t>
  </si>
  <si>
    <t>调增殡葬惠民经费、深化殡葬改革工作经费。</t>
  </si>
  <si>
    <t>社会福利事业单位</t>
  </si>
  <si>
    <t>养老服务</t>
  </si>
  <si>
    <t>调减2021年省财政养老服务体系建设补助资金。</t>
  </si>
  <si>
    <t>其他社会福利支出</t>
  </si>
  <si>
    <t>调剂项目经费。</t>
  </si>
  <si>
    <t>残疾人事业</t>
  </si>
  <si>
    <t>残疾人康复</t>
  </si>
  <si>
    <t>调减2022年度社区康复点建设及日常管理专项经费。</t>
  </si>
  <si>
    <t>残疾人就业和扶贫</t>
  </si>
  <si>
    <t>调减2021年度残保金分成返拨经费。</t>
  </si>
  <si>
    <t>残疾人生活和护理补贴</t>
  </si>
  <si>
    <t>调减困难残疾人生活补贴和重度残疾人护理补贴。</t>
  </si>
  <si>
    <t>其他残疾人事业支出</t>
  </si>
  <si>
    <t>调增社区康园运行补助经费等。</t>
  </si>
  <si>
    <t>红十字事业</t>
  </si>
  <si>
    <t>其他红十字事业支出</t>
  </si>
  <si>
    <t>最低生活保障</t>
  </si>
  <si>
    <t>城市最低生活保障金支出</t>
  </si>
  <si>
    <t>调增城市居民最低生活保障金。</t>
  </si>
  <si>
    <t>农村最低生活保障金支出</t>
  </si>
  <si>
    <t>临时救助</t>
  </si>
  <si>
    <t>临时救助支出</t>
  </si>
  <si>
    <t>流浪乞讨人员救助支出</t>
  </si>
  <si>
    <t>特困人员救助供养</t>
  </si>
  <si>
    <t>城市特困人员救助供养支出</t>
  </si>
  <si>
    <t>调增城镇特困人员供养。</t>
  </si>
  <si>
    <t>农村特困人员救助供养支出</t>
  </si>
  <si>
    <t>调增农村特困人员供养。</t>
  </si>
  <si>
    <t>其他生活救助</t>
  </si>
  <si>
    <t>其他城市生活救助</t>
  </si>
  <si>
    <t>科目调剂。</t>
  </si>
  <si>
    <t>其他农村生活救助</t>
  </si>
  <si>
    <t>财政对基本养老保险基金的补助</t>
  </si>
  <si>
    <t>财政对城乡居民基本养老保险基金的补助</t>
  </si>
  <si>
    <t>财政对其他基本养老保险基金的补助</t>
  </si>
  <si>
    <t>退役军人管理事务</t>
  </si>
  <si>
    <t>调减双拥工作经费。</t>
  </si>
  <si>
    <t>拥军优属</t>
  </si>
  <si>
    <t>其他退役军人事务管理支出</t>
  </si>
  <si>
    <t>财政代缴社会保险费支出</t>
  </si>
  <si>
    <t>财政代缴城乡居民基本养老保险费支出</t>
  </si>
  <si>
    <t>其他社会保障和就业支出</t>
  </si>
  <si>
    <t>调剂预留工作性和政策性专项经费等。</t>
  </si>
  <si>
    <t>卫生健康支出</t>
  </si>
  <si>
    <t>卫生健康管理事务</t>
  </si>
  <si>
    <t>其他卫生健康管理事务支出</t>
  </si>
  <si>
    <t>调增严重精神障碍患者排查经费。</t>
  </si>
  <si>
    <t>公立医院</t>
  </si>
  <si>
    <t>综合医院</t>
  </si>
  <si>
    <t>调减医疗服务性经费、财政补助二类事业单位财政补助工资等。</t>
  </si>
  <si>
    <t>其他公立医院支出</t>
  </si>
  <si>
    <t>基层医疗卫生机构</t>
  </si>
  <si>
    <t>城市社区卫生机构</t>
  </si>
  <si>
    <t>乡镇卫生院</t>
  </si>
  <si>
    <t>其他基层医疗卫生机构支出</t>
  </si>
  <si>
    <t>调减2020年基层医疗卫生机构设备配置更新建设补助资金、事业费补助等。</t>
  </si>
  <si>
    <t>公共卫生</t>
  </si>
  <si>
    <t>疾病预防控制机构</t>
  </si>
  <si>
    <t>调减二类疫苗费、2022年疾病预防控制体系现代化建设项目资金等。</t>
  </si>
  <si>
    <t>妇幼保健机构</t>
  </si>
  <si>
    <t>调减人员经费、2022年城乡妇女“两癌”免费检查项目省级资金。</t>
  </si>
  <si>
    <t>基本公共卫生服务</t>
  </si>
  <si>
    <t>调减2022年基本公共卫生服务项目省级补助等。</t>
  </si>
  <si>
    <t>重大公共卫生服务</t>
  </si>
  <si>
    <t>调减2021年省级补助疾控体系现代化建设项目资金、病媒生物防制工作经费等。</t>
  </si>
  <si>
    <t>突发公共卫生事件应急处理</t>
  </si>
  <si>
    <t>调减疫情应急防控专项经费等。</t>
  </si>
  <si>
    <t>其他公共卫生支出</t>
  </si>
  <si>
    <t>调减严重精神障碍患者监护补助费用等。</t>
  </si>
  <si>
    <t>中医药</t>
  </si>
  <si>
    <t>其他中医药支出</t>
  </si>
  <si>
    <t>调减2022年促进中医药传承与发展专项资金。</t>
  </si>
  <si>
    <t>计划生育事务</t>
  </si>
  <si>
    <t>计划生育服务</t>
  </si>
  <si>
    <t>其他计划生育事务支出</t>
  </si>
  <si>
    <t>调减2020年度村（居）计划生育专职金经费等。</t>
  </si>
  <si>
    <t>行政事业单位医疗</t>
  </si>
  <si>
    <t>行政单位医疗</t>
  </si>
  <si>
    <t>事业单位医疗</t>
  </si>
  <si>
    <t>公务员医疗补助</t>
  </si>
  <si>
    <t>其他行政事业单位医疗支出</t>
  </si>
  <si>
    <t>调减处级干部体检经费、离休干部医药费。</t>
  </si>
  <si>
    <t>财政对基本医疗保险基金的补助</t>
  </si>
  <si>
    <t>财政对职工基本医疗保险基金的补助</t>
  </si>
  <si>
    <t>调增医保基金负担新冠病毒疫苗及接种费用补助经费。</t>
  </si>
  <si>
    <t>财政对城乡居民基本医疗保险基金的补助</t>
  </si>
  <si>
    <t>调减城乡居民基本医疗保险经费等。</t>
  </si>
  <si>
    <t>医疗救助</t>
  </si>
  <si>
    <t>城乡医疗救助</t>
  </si>
  <si>
    <t>优抚对象医疗</t>
  </si>
  <si>
    <t>优抚对象医疗补助</t>
  </si>
  <si>
    <t>调减2022年中央财政优抚对象医疗保障经费。</t>
  </si>
  <si>
    <t>医疗保障管理事务</t>
  </si>
  <si>
    <t>调减妇幼门诊信息化软件系统建设经费。</t>
  </si>
  <si>
    <t>老龄卫生健康事务</t>
  </si>
  <si>
    <t>调减2022年安宁疗护国家试点建设经费等。</t>
  </si>
  <si>
    <t>其他卫生健康支出</t>
  </si>
  <si>
    <t>调减社区医疗卫生服务站点规范化建设专项经费和工作经费等。</t>
  </si>
  <si>
    <t>节能环保支出</t>
  </si>
  <si>
    <t>环境保护管理事务</t>
  </si>
  <si>
    <t>其他环境保护管理事务支出</t>
  </si>
  <si>
    <t>环境监测与监察</t>
  </si>
  <si>
    <t>其他环境监测与监察支出</t>
  </si>
  <si>
    <t>调减工业园区办公室工作经费。</t>
  </si>
  <si>
    <t>能源节约利用</t>
  </si>
  <si>
    <t>大气</t>
  </si>
  <si>
    <t>城乡社区环境卫生</t>
  </si>
  <si>
    <t>固体废弃物与化学品</t>
  </si>
  <si>
    <t>其他污染防治支出</t>
  </si>
  <si>
    <t>调剂预留项目经费。</t>
  </si>
  <si>
    <t>自然生态保护</t>
  </si>
  <si>
    <t>农村环境保护</t>
  </si>
  <si>
    <t>调减2022年省级充电基础设施专项资金。</t>
  </si>
  <si>
    <t>其他节能环保支出</t>
  </si>
  <si>
    <t>调减区级节能专项资金。</t>
  </si>
  <si>
    <t>城乡社区支出</t>
  </si>
  <si>
    <t>城乡社区管理事务</t>
  </si>
  <si>
    <t>城管执法</t>
  </si>
  <si>
    <t>调减数字城管二期互联网租金等经费。</t>
  </si>
  <si>
    <t>工程建设管理</t>
  </si>
  <si>
    <t>调减人员经费、工程造价信息发布购买服务经费。</t>
  </si>
  <si>
    <t>其他城乡社区管理事务支出</t>
  </si>
  <si>
    <t>调减各街道人员经费、“两委”干部岗位补贴和农村税费改革经费等。</t>
  </si>
  <si>
    <t>城乡社区公共设施</t>
  </si>
  <si>
    <t>其他城乡社区公共设施支出</t>
  </si>
  <si>
    <t>调增一路一桥（一般债券）资金，调减区教师发展中心及人力资源服务产业园建设项目等。</t>
  </si>
  <si>
    <t>调减更新垃圾转运车辆和设备项目经费、中心城区居民生活垃圾袋装收集经费。</t>
  </si>
  <si>
    <t>其他城乡社区支出</t>
  </si>
  <si>
    <t>调减南山湾文旅综合体产业项目经费。</t>
  </si>
  <si>
    <t>农林水支出</t>
  </si>
  <si>
    <t>农业农村</t>
  </si>
  <si>
    <t>科技转化与推广服务</t>
  </si>
  <si>
    <t>病虫害控制</t>
  </si>
  <si>
    <t>调减突发重大动物疫情应急储备金。</t>
  </si>
  <si>
    <t>农产品质量安全</t>
  </si>
  <si>
    <t>调减2021年农产品质量安全监测项目经费等。</t>
  </si>
  <si>
    <t>执法监管</t>
  </si>
  <si>
    <t>调减渔政执法船、执法艇油料及维护保障经费，调增100吨渔政执法船船员经费等。</t>
  </si>
  <si>
    <t>防灾救灾</t>
  </si>
  <si>
    <t>调增农业救灾复产资金。</t>
  </si>
  <si>
    <t>农业生产发展</t>
  </si>
  <si>
    <t>调减信息进村入户工程建设服务采购项目经费等。</t>
  </si>
  <si>
    <t>农业资源保护修复与利用</t>
  </si>
  <si>
    <t>调减农业资源保护与修复利用项目经费等。</t>
  </si>
  <si>
    <t>农村道路建设</t>
  </si>
  <si>
    <t>渔业发展</t>
  </si>
  <si>
    <t>调减2020年渔业成品油价格改革补助、2020年度海洋渔业资源养护等补贴项目资金。</t>
  </si>
  <si>
    <t>农田建设</t>
  </si>
  <si>
    <t>调减2022年度高标准农田建设项目经费。</t>
  </si>
  <si>
    <t>其他农业农村支出</t>
  </si>
  <si>
    <t>调减滨海街道华里社区农田水利建设项目、滨海街道林后社区农田水利建设项目等经费。</t>
  </si>
  <si>
    <t>林业和草原</t>
  </si>
  <si>
    <t>森林资源培育</t>
  </si>
  <si>
    <t>调减2022年高质量水源林建设项目经费。</t>
  </si>
  <si>
    <t>森林资源管理</t>
  </si>
  <si>
    <t>调减2022年森林资源监测中心建设等项目经费。</t>
  </si>
  <si>
    <t>森林生态效益补偿</t>
  </si>
  <si>
    <t>动植物保护</t>
  </si>
  <si>
    <t>调减2022年野生动植物种群调查、环境监测、保护宣传与巡查管理资金。</t>
  </si>
  <si>
    <t>林业草原防灾减灾</t>
  </si>
  <si>
    <t>调减2022年林业有害生物防治项目经费、森林火情早期处理能力提升项目。</t>
  </si>
  <si>
    <t>其他林业和草原支出</t>
  </si>
  <si>
    <t>调减2022年自然保护地整合优化资金、2022年乡村绿化美化建设项目。</t>
  </si>
  <si>
    <t>水利</t>
  </si>
  <si>
    <t>水利行业业务管理</t>
  </si>
  <si>
    <t>调增河长办社会购买服务人员经费。</t>
  </si>
  <si>
    <t>水利工程建设</t>
  </si>
  <si>
    <t>调增水库除险加固工程（一般债券）项目，调减后江湾海堤修复加固工程等。</t>
  </si>
  <si>
    <t>水利工程运行与维护</t>
  </si>
  <si>
    <t>水资源节约管理与保护</t>
  </si>
  <si>
    <t>防汛</t>
  </si>
  <si>
    <t>调增汛期防汛值班补贴。</t>
  </si>
  <si>
    <t>抗旱</t>
  </si>
  <si>
    <t>水利技术推广</t>
  </si>
  <si>
    <t>其他水利支出</t>
  </si>
  <si>
    <t>调减2020年河长制市级财政奖补资金。</t>
  </si>
  <si>
    <t>扶贫</t>
  </si>
  <si>
    <t>农村基础设施建设</t>
  </si>
  <si>
    <t>调减2022年农村公路日常养护经费。</t>
  </si>
  <si>
    <t>其他扶贫支出</t>
  </si>
  <si>
    <t>补列2022年中央财政衔接推进乡村振兴补助资金。</t>
  </si>
  <si>
    <t>农村综合改革</t>
  </si>
  <si>
    <t>对村级公益事业建设的补助</t>
  </si>
  <si>
    <t>调减广澳街道三遼社区人居环境村前路排水沟升级改造项目经费。</t>
  </si>
  <si>
    <t>对村民委员会和村党支部的补助</t>
  </si>
  <si>
    <t>农村综合改革示范试点补助</t>
  </si>
  <si>
    <t>调减供销合作社新型乡村助农服务综合平台（中心）经费。</t>
  </si>
  <si>
    <t>普惠金融发展支出</t>
  </si>
  <si>
    <t>农业保险保费补贴</t>
  </si>
  <si>
    <t>调减畜牧保险区级配套资金等。</t>
  </si>
  <si>
    <t>创业担保贷款贴息</t>
  </si>
  <si>
    <t>调增创业担保贷款贴息。</t>
  </si>
  <si>
    <t>其他农林水支出</t>
  </si>
  <si>
    <t>调减农村生活污水治理暨“源头截污、雨污分流”2020年市级奖补资金等，调剂使用省级涉农资金。</t>
  </si>
  <si>
    <t>交通运输支出</t>
  </si>
  <si>
    <t>公路水路运输</t>
  </si>
  <si>
    <t>公路建设</t>
  </si>
  <si>
    <t>调减2021年国省道建设省级补助资金（海湾隧道）。</t>
  </si>
  <si>
    <t>公路和运输安全</t>
  </si>
  <si>
    <t>调减2022年“一清一灯一带”路口整治和平安村口建设奖补资金。</t>
  </si>
  <si>
    <t>其他公路水路运输支出</t>
  </si>
  <si>
    <t>调减珠浦社区“四好农村路”示范创建奖励资金、2022年农村公路养护工程和人员经费等。</t>
  </si>
  <si>
    <t>车辆购置税支出</t>
  </si>
  <si>
    <t>车辆购置税用于公路等基础设施建设支出</t>
  </si>
  <si>
    <t>其他交通运输支出</t>
  </si>
  <si>
    <t>公共交通运营补助</t>
  </si>
  <si>
    <t>资源勘探工业信息等支出</t>
  </si>
  <si>
    <t>工业和信息产业监管</t>
  </si>
  <si>
    <t>其他工业和信息产业监管支出</t>
  </si>
  <si>
    <t>调减2021年市级标准厂房建设资金等。</t>
  </si>
  <si>
    <t>支持中小企业发展和管理支出</t>
  </si>
  <si>
    <t>中小企业发展专项</t>
  </si>
  <si>
    <t>调减2022年省级专精特新“小巨人”企业奖补资金。</t>
  </si>
  <si>
    <t>商业服务业等支出</t>
  </si>
  <si>
    <t>商业流通事务</t>
  </si>
  <si>
    <t>其他商业流通事务支出</t>
  </si>
  <si>
    <t>涉外发展服务支出</t>
  </si>
  <si>
    <t>其他涉外发展服务支出</t>
  </si>
  <si>
    <t>其他商业服务业等支出</t>
  </si>
  <si>
    <t>金融支出</t>
  </si>
  <si>
    <t>金融部门监管支出</t>
  </si>
  <si>
    <t>金融部门其他监管支出</t>
  </si>
  <si>
    <t>调减限售股股权转让交易奖励。</t>
  </si>
  <si>
    <t>其他金融支出</t>
  </si>
  <si>
    <t>自然资源海洋气象等支出</t>
  </si>
  <si>
    <t>自然资源事务</t>
  </si>
  <si>
    <t>自然资源利用与保护</t>
  </si>
  <si>
    <t>调增滴丢山坤合采石场矿山复绿治理工程经费。</t>
  </si>
  <si>
    <t>海域与海岛管理</t>
  </si>
  <si>
    <t>调减海域海岛综合管理经费。</t>
  </si>
  <si>
    <t>其他自然资源事务支出</t>
  </si>
  <si>
    <t>调减自然资源局工作经费。</t>
  </si>
  <si>
    <t>住房保障支出</t>
  </si>
  <si>
    <t>保障性安居工程支出</t>
  </si>
  <si>
    <t>农村危房改造</t>
  </si>
  <si>
    <t>保障性住房租金补贴</t>
  </si>
  <si>
    <t>老旧小区改造</t>
  </si>
  <si>
    <t>调减中央财政城镇保障性安居工程补助资金。</t>
  </si>
  <si>
    <t>保障性租房租金补贴</t>
  </si>
  <si>
    <t>其他保障性安居工程支出</t>
  </si>
  <si>
    <t>调减筹建保障性租赁住房专项资金。</t>
  </si>
  <si>
    <t>住房改革支出</t>
  </si>
  <si>
    <t>住房公积金</t>
  </si>
  <si>
    <t>粮油物资储备支出</t>
  </si>
  <si>
    <t>粮油事务</t>
  </si>
  <si>
    <t>粮食风险基金</t>
  </si>
  <si>
    <t>其他粮油事务支出</t>
  </si>
  <si>
    <t>调增救灾物资管理经费。</t>
  </si>
  <si>
    <t>灾害防治及应急管理支出</t>
  </si>
  <si>
    <t>应急管理事务</t>
  </si>
  <si>
    <t>安全监管</t>
  </si>
  <si>
    <t>应急管理</t>
  </si>
  <si>
    <t>其他应急管理支出</t>
  </si>
  <si>
    <t>调减区森林专业扑火专项工作购买服务经费。</t>
  </si>
  <si>
    <t>消防事务</t>
  </si>
  <si>
    <t>消防应急救援</t>
  </si>
  <si>
    <t>其他消防事务支出</t>
  </si>
  <si>
    <t>调减南滨消防站住宅片装备器材购置经费。</t>
  </si>
  <si>
    <t>地震事务</t>
  </si>
  <si>
    <t>其他地震事务支出</t>
  </si>
  <si>
    <t>自然灾害防治</t>
  </si>
  <si>
    <t>地质灾害防治</t>
  </si>
  <si>
    <t>调减地质灾害防治经费。</t>
  </si>
  <si>
    <t>预备费</t>
  </si>
  <si>
    <t>其他支出</t>
  </si>
  <si>
    <t>转移性支出</t>
  </si>
  <si>
    <t>上解支出</t>
  </si>
  <si>
    <t>专项上解支出</t>
  </si>
  <si>
    <t>调增上解支出。</t>
  </si>
  <si>
    <t>债务还本支出</t>
  </si>
  <si>
    <t>地方政府一般债务还本支出</t>
  </si>
  <si>
    <t>地方政府一般债券还本支出</t>
  </si>
  <si>
    <t>债务付息支出</t>
  </si>
  <si>
    <t>地方政府一般债务付息支出</t>
  </si>
  <si>
    <t>地方政府一般债券付息支出</t>
  </si>
  <si>
    <t>调增一般债券利息。</t>
  </si>
  <si>
    <t>债务发行费用支出</t>
  </si>
  <si>
    <t>地方政府一般债务发行费用支出</t>
  </si>
  <si>
    <t>调减一般债务发行费用。</t>
  </si>
  <si>
    <t>附表3</t>
  </si>
  <si>
    <t>汕头市濠江区2023年一般公共预算支出项目调整情况表</t>
  </si>
  <si>
    <t>序号</t>
  </si>
  <si>
    <t>股室</t>
  </si>
  <si>
    <t>单位</t>
  </si>
  <si>
    <t>项目名称</t>
  </si>
  <si>
    <t>一、基本支出小计</t>
  </si>
  <si>
    <t>二、上年专项结转小计</t>
  </si>
  <si>
    <t>三、新增一般债券支出小计</t>
  </si>
  <si>
    <t>四、项目支出小计</t>
  </si>
  <si>
    <t>（一）无变动项目支出小计</t>
  </si>
  <si>
    <t>（二）变动项目支出小计</t>
  </si>
  <si>
    <t>经建股</t>
  </si>
  <si>
    <t>达濠街道</t>
  </si>
  <si>
    <t>2021年汕头市城镇老旧小区改造资金（西园里）</t>
  </si>
  <si>
    <t>农业股</t>
  </si>
  <si>
    <t>濠江区渔港码头片区雨污分流改造项目</t>
  </si>
  <si>
    <t>行财股</t>
  </si>
  <si>
    <t>2021年中央美术馆（站）免费开放补助资金</t>
  </si>
  <si>
    <t>2021年省级财政公益性文化设施免费开放补助资金</t>
  </si>
  <si>
    <t>2021年省级推动乡镇（街道）综合文化站达标升级</t>
  </si>
  <si>
    <t>预算股</t>
  </si>
  <si>
    <t>达濠古城日常管理和维护经费</t>
  </si>
  <si>
    <t>使用上级资金支出（汕市财科教〔2022〕66号）。</t>
  </si>
  <si>
    <t>礐石街道</t>
  </si>
  <si>
    <t>尾村社区工作经费</t>
  </si>
  <si>
    <t>滨海街道</t>
  </si>
  <si>
    <t>2022年汕头市濠江区滨海街道高标准农田建设项目（区级资金）</t>
  </si>
  <si>
    <t>滨海中学</t>
  </si>
  <si>
    <t>2021年省级新强师工程-中小学教师教育科研能力提升计划（濠江区）</t>
  </si>
  <si>
    <t>广澳街道</t>
  </si>
  <si>
    <t>2021年市级“两新”组织党建工作财政专项经费-市级</t>
  </si>
  <si>
    <t>玉新街道</t>
  </si>
  <si>
    <t>玉新街道黎明社区红色文化教育基地</t>
  </si>
  <si>
    <t>提前下达2022年中央财政衔接推进乡村振兴补助资金（黎明社区建材产业服务区工程项目）</t>
  </si>
  <si>
    <t>该项目建设进度已达90%，已进入结算。</t>
  </si>
  <si>
    <t>高速公路爱心服务点防疫服务专项费用</t>
  </si>
  <si>
    <t>工贸股</t>
  </si>
  <si>
    <t>各街道</t>
  </si>
  <si>
    <t>2021年中心城区居民生活垃圾袋装收集经费（补列）</t>
  </si>
  <si>
    <t>2022年区级街道党校区级配套运行经费</t>
  </si>
  <si>
    <t>调减广澳街道、礐石街道、河浦街道、滨海街道各3万。</t>
  </si>
  <si>
    <t>2021年市级镇（街道）人大工作经费</t>
  </si>
  <si>
    <t>调减达濠街道、滨海街道各5万，礐石街道2.5万。</t>
  </si>
  <si>
    <t>代表履职活动保障经费</t>
  </si>
  <si>
    <t>调减玉新街道、滨海街道各3万。</t>
  </si>
  <si>
    <t>社区“两委”干部岗位补贴</t>
  </si>
  <si>
    <t>社区“两委”干部养老保险</t>
  </si>
  <si>
    <t>社区“两委”干部医疗保险</t>
  </si>
  <si>
    <t>社区“两委”干部住房公积金</t>
  </si>
  <si>
    <t>社区“两委”干部退转后补助资金</t>
  </si>
  <si>
    <t>社区一般工作人员工作补贴</t>
  </si>
  <si>
    <t>调增礐石街道社区一般工作人员工作补贴（计生）0.48万元，其他余额调减。</t>
  </si>
  <si>
    <t>纯居社区办公经费</t>
  </si>
  <si>
    <t>使用上级资金支出（汕市财行〔2022〕150号）。</t>
  </si>
  <si>
    <t>困难社区办公经费</t>
  </si>
  <si>
    <t>调增玉新街道17万元，其他余额调减。</t>
  </si>
  <si>
    <t>社区党组织服务群众专项经费</t>
  </si>
  <si>
    <t>社区党组织书记绩效奖励经费</t>
  </si>
  <si>
    <t>调增滨海街道0.748万元，其他余额调减。</t>
  </si>
  <si>
    <t>人大工委工作经费</t>
  </si>
  <si>
    <t>农税改</t>
  </si>
  <si>
    <t>社区两委干部任期岗位年金（2021年，区级）</t>
  </si>
  <si>
    <t>调增马滘街道0.1万元。</t>
  </si>
  <si>
    <t>人大工委工作经费（2022年，区级）</t>
  </si>
  <si>
    <t>国资股</t>
  </si>
  <si>
    <t>区政府办公室</t>
  </si>
  <si>
    <t>公务用车购置经费</t>
  </si>
  <si>
    <t>区政府大院屋面隔热防水工程项目经费</t>
  </si>
  <si>
    <t>区机关食堂设施升级改造项目经费</t>
  </si>
  <si>
    <t>政府大院零星修缮经费</t>
  </si>
  <si>
    <t>保密工作经费</t>
  </si>
  <si>
    <t>大型会议专项经费</t>
  </si>
  <si>
    <t>档案馆楼宇外物业管理费</t>
  </si>
  <si>
    <t>档案馆设施设备维保经费</t>
  </si>
  <si>
    <t>档案馆水电费</t>
  </si>
  <si>
    <t>档案数字化建设经费</t>
  </si>
  <si>
    <t>地方志经费</t>
  </si>
  <si>
    <t>濠江区“百千万工程”指挥部办公室工作经费</t>
  </si>
  <si>
    <t>根据单位实际需求调增。</t>
  </si>
  <si>
    <t>2022年区级濠江区“一江两岸”开发建设领导小组办公室工作经费</t>
  </si>
  <si>
    <t>濠江区“一江两岸”开发建设领导小组办公室工作经费</t>
  </si>
  <si>
    <t>2021年区级濠江区信息化终端设备更新项目</t>
  </si>
  <si>
    <t>2022年区级濠江区信息化终端设备更新项目</t>
  </si>
  <si>
    <t>2022年区级机关事务管理经费</t>
  </si>
  <si>
    <t>全区政务、党务公开工作经费</t>
  </si>
  <si>
    <t>网络维护费</t>
  </si>
  <si>
    <t>宣传工作经费</t>
  </si>
  <si>
    <t>2022年区级政府在线二期</t>
  </si>
  <si>
    <t>政府在线二期</t>
  </si>
  <si>
    <t>区委区政府法律顾问服务费</t>
  </si>
  <si>
    <t>区人大常委会办公室</t>
  </si>
  <si>
    <t>2021年市级补助区（县）、镇两级人大换届选举工作经费</t>
  </si>
  <si>
    <t>2021年区级街道人大工作经费</t>
  </si>
  <si>
    <t>区政协办公室</t>
  </si>
  <si>
    <t>车辆购置经费</t>
  </si>
  <si>
    <t>区政协委员履职经费</t>
  </si>
  <si>
    <t>委员活动经费</t>
  </si>
  <si>
    <t>文史工作经费</t>
  </si>
  <si>
    <t>政协工作室工作经费</t>
  </si>
  <si>
    <t>政协机关及专委会经费</t>
  </si>
  <si>
    <t>区委组织部</t>
  </si>
  <si>
    <t>2019年市级科技创新战略专项（市人才发展专项-人才驿站运营经费）</t>
  </si>
  <si>
    <t>2023年老干部春节慰问活动经费</t>
  </si>
  <si>
    <t>干部关爱基金</t>
  </si>
  <si>
    <t>全区“两新”组织党建工作区级配套经费</t>
  </si>
  <si>
    <t>全区庆祝“汕头人才周”系列活动经费</t>
  </si>
  <si>
    <t>人才公寓（中海信）租赁经费</t>
  </si>
  <si>
    <t>2019年市级人才发展专项资金（支持濠江区大学生创业中心建设经费）</t>
  </si>
  <si>
    <t>2022年区级优秀拔尖人才津贴</t>
  </si>
  <si>
    <t>优秀拔尖人才津贴</t>
  </si>
  <si>
    <t>社区干部大专班培训经费</t>
  </si>
  <si>
    <t>区委编办</t>
  </si>
  <si>
    <t>编办管理工作经费</t>
  </si>
  <si>
    <t>区委统战部</t>
  </si>
  <si>
    <t>春节慰问困难归侨侨眷经费</t>
  </si>
  <si>
    <t>区委宣传部</t>
  </si>
  <si>
    <t>2022年区级“濠江党建”专区建设经费</t>
  </si>
  <si>
    <t>“濠江党建”专区建设经费</t>
  </si>
  <si>
    <t>2022年区级“今日濠江”建设运维工作经费</t>
  </si>
  <si>
    <t>2021年省级“学习强国”学习平台建设推广使用工作</t>
  </si>
  <si>
    <t>单位申请调增往年被收回预算额度。</t>
  </si>
  <si>
    <t>2022年区级区创建办网报资料收集整理购买服务经费</t>
  </si>
  <si>
    <t>全区人才工作宣传报道及氛围营造工作经费</t>
  </si>
  <si>
    <t>文明创建工作经费</t>
  </si>
  <si>
    <t>2021年中央新时代文明实践中心建设点项目经费</t>
  </si>
  <si>
    <t>宣传工作费用</t>
  </si>
  <si>
    <t>理论学习中心组经费</t>
  </si>
  <si>
    <t>区委政法委</t>
  </si>
  <si>
    <t>社会治理网格化工作专职网格员包干经费</t>
  </si>
  <si>
    <t>维稳平安创建工作经费</t>
  </si>
  <si>
    <t>雪亮工程维保费用</t>
  </si>
  <si>
    <t>粤平安网格手机移动终端费用</t>
  </si>
  <si>
    <t>2022年区级综治信息化建设工作经费</t>
  </si>
  <si>
    <t>综治信息化建设工作经费</t>
  </si>
  <si>
    <t>综治中心中海信电费</t>
  </si>
  <si>
    <t>区财政局</t>
  </si>
  <si>
    <t>财政信息系统建设和维护经费</t>
  </si>
  <si>
    <t>会计、监督、绩评等工作经费</t>
  </si>
  <si>
    <t>2022年区级会计档案资料整理等工作经费</t>
  </si>
  <si>
    <t>惠企利民服务平台建设维护经费</t>
  </si>
  <si>
    <t>设备购置及维护经费</t>
  </si>
  <si>
    <t>协税经费补助</t>
  </si>
  <si>
    <t>预算、国库、债务管理工作经费</t>
  </si>
  <si>
    <t>人行联网系统国库端建设费用</t>
  </si>
  <si>
    <t>区发展改革局</t>
  </si>
  <si>
    <t>救灾物资管理经费</t>
  </si>
  <si>
    <t>汕濠办文〔2020〕Z3-1233号。按批复文件，救灾物资管理包干经费为每年10万元，今年预算只下达9万元，需调增1万元。</t>
  </si>
  <si>
    <t>区经济动员办公室工作经费</t>
  </si>
  <si>
    <t>可行性研究报告专家评审费</t>
  </si>
  <si>
    <t>区级节能专项资金</t>
  </si>
  <si>
    <t>春节慰问困难职工补助经费</t>
  </si>
  <si>
    <t>概算审查经费</t>
  </si>
  <si>
    <t>区法院</t>
  </si>
  <si>
    <t>书记员经费</t>
  </si>
  <si>
    <t>2022年区级诉前调解中心工作经费</t>
  </si>
  <si>
    <t>区教育局</t>
  </si>
  <si>
    <t>2020年中小学校舍维修保障长效机制市级补助资金（民生学校教学楼屋面补漏及墙体维修项目，葛洲学校教学楼卫生间维修改造项目）</t>
  </si>
  <si>
    <t>2020年教育发展专项资金（支持民办教育发展）</t>
  </si>
  <si>
    <t>礐石中学场地修缮及消防安全设施修缮工程</t>
  </si>
  <si>
    <t>中小学校舍小型建设项目</t>
  </si>
  <si>
    <t>2021年市级教师学历提升专项补助资金-濠江</t>
  </si>
  <si>
    <t>2023年度10个名师工作室工作经费</t>
  </si>
  <si>
    <t>2023年度招聘教育系统高层次人才工作经费</t>
  </si>
  <si>
    <t>创客实验室及创客共同体人工智能课程设备项目（教育装备建设项目）</t>
  </si>
  <si>
    <t>德育工作经费</t>
  </si>
  <si>
    <t>督导工作专项经费</t>
  </si>
  <si>
    <t>广东省人民政府教育督导室《关于深化新时代教育督导体制机制改革重点任务完成情况的提醒函》，濠江区教育督导工作经费低于全市平均水平(14.29万元)，根据单位实际需求调增。</t>
  </si>
  <si>
    <t>2022年区级濠江花园南区幼儿园、广澳街道中心幼儿园学前教育购买服务经费</t>
  </si>
  <si>
    <t>濠江花园南区幼儿园、广澳街道中心幼儿园学前教育购买服务经费</t>
  </si>
  <si>
    <t>濠江区中小学校智能灯光改造项目（教育装备建设项目）</t>
  </si>
  <si>
    <t>华南师范大学品牌费、管理费</t>
  </si>
  <si>
    <t>教师节活动经费</t>
  </si>
  <si>
    <t>2021年区级教师培训经费</t>
  </si>
  <si>
    <t>教师培训经费</t>
  </si>
  <si>
    <t>根据创现指标规定，财政预算教师年培训经费需占教师年度工资总额的比例达2%以上（2023年度工资总额约40250万元）。</t>
  </si>
  <si>
    <t>2022年区级教育办公设备购置项目-平板电脑（教育装备建设项目）</t>
  </si>
  <si>
    <t>2022年区级教育经费审计经费</t>
  </si>
  <si>
    <t>教育综合改革工作经费--社区教育专项培训</t>
  </si>
  <si>
    <t>考点考务经费</t>
  </si>
  <si>
    <t>考试招生工作经费</t>
  </si>
  <si>
    <t>2022年区级美育工作经费</t>
  </si>
  <si>
    <t>民办代课教师补助</t>
  </si>
  <si>
    <t>2022年区级区公办中小学、幼儿园保安购买服务经费</t>
  </si>
  <si>
    <t>区公办中小学、幼儿园保安购买服务经费</t>
  </si>
  <si>
    <t>2021年省级提前下达2021年学前教育生均经费省补助资金</t>
  </si>
  <si>
    <t>统计工作经费</t>
  </si>
  <si>
    <t>校园网络、监控及广播系统项目（教育装备建设项目）</t>
  </si>
  <si>
    <t>学科教学功能室及创新实验室项目（教育装备建设项目）</t>
  </si>
  <si>
    <t>义务教育优质均衡发展区工作经费</t>
  </si>
  <si>
    <t>英语听说、录播及计算机室项目（教育装备建设项目）</t>
  </si>
  <si>
    <t>2021年省级原民办代课教师生活补助经费（濠江区）</t>
  </si>
  <si>
    <t>2021年市级原民办代课教师生活困难补助资金-濠江区</t>
  </si>
  <si>
    <t>云桌面计算机室及班班通互动教学系统项目（教育装备建设项目）</t>
  </si>
  <si>
    <t>政府履行教育职责考核工作经费</t>
  </si>
  <si>
    <t>2022年区级智能灯光改造项目（教育装备建设项目）</t>
  </si>
  <si>
    <t>智能灯光改造项目（教育装备建设项目）</t>
  </si>
  <si>
    <t>智能图书设备、智慧教室及应用系统项目（教育装备建设项目）</t>
  </si>
  <si>
    <t>2021年市级中小学校内课后服务工作市级补助资金（濠江区）</t>
  </si>
  <si>
    <t>区教师发展中心</t>
  </si>
  <si>
    <t>2022年区级教育办公设备购置项目-复印机（教育装备建设项目）</t>
  </si>
  <si>
    <t>教学科研专项经费（含教科所）</t>
  </si>
  <si>
    <t>义务教育阶段质量检测</t>
  </si>
  <si>
    <t>区教育局及各学校</t>
  </si>
  <si>
    <t>教育综合改革工作经费--体育艺术特色教育经费</t>
  </si>
  <si>
    <t>综合股</t>
  </si>
  <si>
    <t>各学校</t>
  </si>
  <si>
    <t>学前教育经费</t>
  </si>
  <si>
    <t>调增中心幼儿园24万，调减南区幼儿园10万元。</t>
  </si>
  <si>
    <t>达濠华侨中学</t>
  </si>
  <si>
    <t>2021年省级新强师工程-教师素质能力提升-中小学教师校本研修示范校和示范培育学校建设补助项目（濠江区）</t>
  </si>
  <si>
    <t>2022年区级智慧消防信息技术服务（教育装备建设项目）</t>
  </si>
  <si>
    <t>达濠中学</t>
  </si>
  <si>
    <t>汕头市达濠中学改建运动场及配套设施项目</t>
  </si>
  <si>
    <t>河浦中学</t>
  </si>
  <si>
    <t>埭头学校</t>
  </si>
  <si>
    <t>埭头学校山体挡土墙及场区配套建设</t>
  </si>
  <si>
    <t>埭头学校校舍综合改造工程</t>
  </si>
  <si>
    <t>西墩小学</t>
  </si>
  <si>
    <t>西墩小学教学楼墙体和卫生间及配套修缮</t>
  </si>
  <si>
    <t>溪头禧伦小学</t>
  </si>
  <si>
    <t>溪头禧伦小学校区场地及围墙维修改造项目</t>
  </si>
  <si>
    <t>玉石小学</t>
  </si>
  <si>
    <t>玉石小学教学楼墙体和卫生间及配套修缮项目升级改造工程</t>
  </si>
  <si>
    <t>岗背小学</t>
  </si>
  <si>
    <t>汕头市濠江区岗背小学运动场和场地配套升级改造项目</t>
  </si>
  <si>
    <t>葛洲学校</t>
  </si>
  <si>
    <t>葛洲学校教学楼卫生间维修改造项目</t>
  </si>
  <si>
    <t>葛洲学校运动场改造及配套项目</t>
  </si>
  <si>
    <t>韩师附属</t>
  </si>
  <si>
    <t>2022年区级韩山师范学院附属濠江实验学校开办经费</t>
  </si>
  <si>
    <t>濠江华附</t>
  </si>
  <si>
    <t>2022年区级购置平板电脑设备（教育装备建设项目）</t>
  </si>
  <si>
    <t>调增购置平板电脑设备（教育装备建设项目）10万元。</t>
  </si>
  <si>
    <t>2021年区级华南师范大学附属濠江实验学校购置办公电脑设备经费</t>
  </si>
  <si>
    <t>调减额度用于购置平板电脑设备（教育装备建设项目）10万元。</t>
  </si>
  <si>
    <t>华附濠江实验学校开办补助经费（设备购置）</t>
  </si>
  <si>
    <t>项目已于2021年完成验收交付使用。</t>
  </si>
  <si>
    <t>华南师范大学附属濠江实验学校初中部理化生实验操作考试考点和中考考点设备采购配套项目</t>
  </si>
  <si>
    <t>2022年区级教育办公设备购置项目-台式计算机（教育装备建设项目）</t>
  </si>
  <si>
    <t>2022年区级物理、化学、生物实验器材（教育设备建设项目）</t>
  </si>
  <si>
    <t>河北小学</t>
  </si>
  <si>
    <t>河北小学教学用房及配套设施综合改建项目</t>
  </si>
  <si>
    <t>河南小学</t>
  </si>
  <si>
    <t>河南小学校舍维修工程</t>
  </si>
  <si>
    <t>玉新中学</t>
  </si>
  <si>
    <t>玉新中学运动场和校区排水管网及绿化配套等改造项目</t>
  </si>
  <si>
    <t>职教中心</t>
  </si>
  <si>
    <t>新校区运动场供水供电设施修缮经费</t>
  </si>
  <si>
    <t>2021年市级实施职业教育提升发展三年行动计划（2019-2021年）市级专项资金—濠江</t>
  </si>
  <si>
    <t>2019年运动场建设改造及配套设施修缮项目</t>
  </si>
  <si>
    <t>广澳中学综合实训楼和学生宿舍楼及配套设施</t>
  </si>
  <si>
    <t>区中心幼儿园</t>
  </si>
  <si>
    <t>珠浦第二小学</t>
  </si>
  <si>
    <t>改建围墙大门和运动场及配套项目</t>
  </si>
  <si>
    <t>珠浦第二小学改建教学综合楼项目</t>
  </si>
  <si>
    <t>汕头市河浦中学教学楼前景观改造工程项目</t>
  </si>
  <si>
    <t>2021年市级普通高中高质量发展项目资金（濠江区）</t>
  </si>
  <si>
    <t>红光小学</t>
  </si>
  <si>
    <t>红光小学教学楼卫生间改造及配套</t>
  </si>
  <si>
    <t>华桥小学</t>
  </si>
  <si>
    <t>华桥小学扩建教学综合楼及运动场地改造项目</t>
  </si>
  <si>
    <t>金中南滨学校</t>
  </si>
  <si>
    <t>2022年区级汕头金中南滨学校博美校区开办经费</t>
  </si>
  <si>
    <t>黎明小学</t>
  </si>
  <si>
    <t>黎明小学教学综合楼</t>
  </si>
  <si>
    <t>区濠江花园南区幼儿园</t>
  </si>
  <si>
    <t>2021年市级教育发展专项资金（学前教育建设资金）</t>
  </si>
  <si>
    <t>礐石中学</t>
  </si>
  <si>
    <t>礐石中学厕所升级改造项目</t>
  </si>
  <si>
    <t>礐石中学扩建宿舍楼及配套设施项目</t>
  </si>
  <si>
    <t>区住房城乡建设局</t>
  </si>
  <si>
    <t>汕头幼儿师范高等专科学校建设项目</t>
  </si>
  <si>
    <t>2022年农村公路养护区级配套</t>
  </si>
  <si>
    <t>2020年度替代原汽车、替代原摩托车养路费地养切块资金</t>
  </si>
  <si>
    <t>2021年度替代原汽车、替代原摩托车养路费地养资金</t>
  </si>
  <si>
    <t>2019年中央财政农村危房改造补助资金</t>
  </si>
  <si>
    <t>2022年区级2022年濠江区房屋建筑和市政设施承灾体普查及城镇房屋建筑安全风险排查技术服务采购项目</t>
  </si>
  <si>
    <t>购买抽检区内房屋市政工程在建项目建材质量检测服务经费</t>
  </si>
  <si>
    <t>2022年区级濠江区公交线路实施一票制补贴资金</t>
  </si>
  <si>
    <t>濠江区公交线路实施一票制补贴资金</t>
  </si>
  <si>
    <t>农村集体投资建设项目质量安全监管购买服务经费</t>
  </si>
  <si>
    <t>其他综合管理经费</t>
  </si>
  <si>
    <t>2021年国省道建设省级补助资金（海湾隧道）</t>
  </si>
  <si>
    <t>区房屋管理所</t>
  </si>
  <si>
    <t>房改信息管理系统</t>
  </si>
  <si>
    <t>综合运转经费</t>
  </si>
  <si>
    <t>区建设工程质量与安全中心</t>
  </si>
  <si>
    <t>工程造价信息发布购买服务经费</t>
  </si>
  <si>
    <t>区自然资源局</t>
  </si>
  <si>
    <t>自然资源基本运行经费</t>
  </si>
  <si>
    <t>含预算调增公务用车购置及运行维护支出9.8万元。</t>
  </si>
  <si>
    <t>地质灾害防治经费</t>
  </si>
  <si>
    <t>海域海岛综合管理经费</t>
  </si>
  <si>
    <t>濠江区滴丢山坤合采石场矿山复绿治理工程</t>
  </si>
  <si>
    <t>区规划测绘院</t>
  </si>
  <si>
    <t>补充工作经费</t>
  </si>
  <si>
    <t>区消防救援大队</t>
  </si>
  <si>
    <t>南滨消防站住宅片装备器材购置经费</t>
  </si>
  <si>
    <t>汕濠办文〔2022〕Z3-0204号。</t>
  </si>
  <si>
    <t>消防经费（含装备款）（补列）</t>
  </si>
  <si>
    <t>汕濠府办财函〔2013〕153号。</t>
  </si>
  <si>
    <t>区应急管理局</t>
  </si>
  <si>
    <t>区森林专业扑火专项工作购买服务经费（补列）</t>
  </si>
  <si>
    <t>汕森防指〔2019〕9号。</t>
  </si>
  <si>
    <t>安全生产技术及应急救援服务专业购买服务包干经费（补列）</t>
  </si>
  <si>
    <t>汕濠办文〔2019〕Z2-1627号。</t>
  </si>
  <si>
    <t>区政务服务数据管理局</t>
  </si>
  <si>
    <t>打造便捷高效政务环境经费</t>
  </si>
  <si>
    <t>电子政务项目第三方咨询机构初审费及专家评审费</t>
  </si>
  <si>
    <t>光纤专项经费</t>
  </si>
  <si>
    <t>宣传、图册印刷等经费</t>
  </si>
  <si>
    <t>区文化广电旅游体育局</t>
  </si>
  <si>
    <t>非遗推广工作经费</t>
  </si>
  <si>
    <t>国家级全域旅游示范区创建经费</t>
  </si>
  <si>
    <t>濠江区新入选区级及以上非物质文化遗产传承人工作经费</t>
  </si>
  <si>
    <t>老年体协经费</t>
  </si>
  <si>
    <t>2022年区级两馆一园物业管理费</t>
  </si>
  <si>
    <t>2022年区级旅游发展专项经费</t>
  </si>
  <si>
    <t>旅游发展专项经费</t>
  </si>
  <si>
    <t>区级非遗传承人补助经费</t>
  </si>
  <si>
    <t>文化大区建设经费</t>
  </si>
  <si>
    <t>文物保护经费</t>
  </si>
  <si>
    <t>2021年省级乡镇（街道）全民健身场地器材补短板工程</t>
  </si>
  <si>
    <t>区图书馆</t>
  </si>
  <si>
    <t>2021年省级公共文化基础设施攻坚做强（图书馆达标建设）</t>
  </si>
  <si>
    <t>区文化馆</t>
  </si>
  <si>
    <t>文化活动经费</t>
  </si>
  <si>
    <t>区博物馆</t>
  </si>
  <si>
    <t>博物馆业务运营经费</t>
  </si>
  <si>
    <t>2021年省级公共文化基础设施攻坚做强（博物馆达标建设）</t>
  </si>
  <si>
    <t>区妇联</t>
  </si>
  <si>
    <t>妇儿工委监测评估经费</t>
  </si>
  <si>
    <t>区城管局</t>
  </si>
  <si>
    <t>移动执法平台通信费用（一年）</t>
  </si>
  <si>
    <t>汕濠府办财函〔2017〕398号。</t>
  </si>
  <si>
    <t>数字城管一期互联网租金(一年费用）</t>
  </si>
  <si>
    <t>汕濠府办财函〔2018〕310号。</t>
  </si>
  <si>
    <t>数字城管二期互联网租金（一年费用）</t>
  </si>
  <si>
    <t>汕濠府办函〔2018〕 273号。</t>
  </si>
  <si>
    <t>更新垃圾转运车辆和设备项目</t>
  </si>
  <si>
    <t>汕濠办文〔2021〕Z3—0507号。</t>
  </si>
  <si>
    <t>数字城管二期互联网租金（一年费用）（补列）</t>
  </si>
  <si>
    <t>移动执法平台通信费用（一年）（补列）</t>
  </si>
  <si>
    <t>部门综合管理经费</t>
  </si>
  <si>
    <t>区市政园林设施管理所</t>
  </si>
  <si>
    <t>南滨绿地公园、石林湖公园代管养期间水费</t>
  </si>
  <si>
    <t>汕濠办文〔2023〕Z3-1091号。</t>
  </si>
  <si>
    <t>区农业农村水务局</t>
  </si>
  <si>
    <t>100吨渔政执法船船员经费</t>
  </si>
  <si>
    <t>购买服务。汕濠办文〔2023〕Z4-0366号，11-12月份执法船驾驶服务费资金缺口。</t>
  </si>
  <si>
    <t>渔政执法船、执法艇油料及维护保障经费</t>
  </si>
  <si>
    <t>突发重大动物疫情应急储备金</t>
  </si>
  <si>
    <t>农村集体资产资源管理服务交易平台系统的运行日常维护及服务器托管租用费</t>
  </si>
  <si>
    <t>2023年全区乡村产业振兴带头人培训项目经费</t>
  </si>
  <si>
    <t>濠江区南山湾清拆非法养殖设施执法辅助项目</t>
  </si>
  <si>
    <t>《区政府常务会议纪要》（五届41次〔2023〕13号）和汕濠办文〔2023〕Z4-1173号。</t>
  </si>
  <si>
    <t>2021年濠江区休禁渔渔民生产生活补助</t>
  </si>
  <si>
    <t>2021年濠江区各涉渔街道合计需要支付总额57.75万元，存在缺口35.4789万元。</t>
  </si>
  <si>
    <t>离岗基层老兽医补助区级配套资金</t>
  </si>
  <si>
    <t>政策性水稻种植保险区级配套资金</t>
  </si>
  <si>
    <t>涉及2022年度保险考核任务。</t>
  </si>
  <si>
    <t>畜牧保险区级配套资金</t>
  </si>
  <si>
    <t>政策性农村住房保险区级配套资金</t>
  </si>
  <si>
    <t>濠江区2021年农产品质量安全监测项目经费</t>
  </si>
  <si>
    <t>2020年渔业成品油价格改革补助资金</t>
  </si>
  <si>
    <t>2016年省级一二三产业融合发展示范基地（丹樱农业公园）项目</t>
  </si>
  <si>
    <t>2020年河长制市级财政奖补资金</t>
  </si>
  <si>
    <t>农村生活污水治理暨“源头截污、雨污分流”市级奖补资金（第四批）</t>
  </si>
  <si>
    <t>2020年生猪规模养殖场建设补助项目资金</t>
  </si>
  <si>
    <t>2022年被收回资金30万元，年初预算补列9万元。剩余资金21万元已全部达到支付条件，涉及生猪养殖考核。</t>
  </si>
  <si>
    <t>2021年农业生产发展资金（第8批）</t>
  </si>
  <si>
    <t>2021年中央财政农业生产发展资金（第1批-2）</t>
  </si>
  <si>
    <t>2021年中央渔业发展补助资金</t>
  </si>
  <si>
    <t>2020年渔业成品油价格改革补贴资金（第一批）资金</t>
  </si>
  <si>
    <t>项目已验收结算，安排渔船渔港综合管理改革试点、国库及省库渔船核查、渔业保险等重点事项。</t>
  </si>
  <si>
    <t>2020年中央财政农业生产发展资金（第7批）</t>
  </si>
  <si>
    <t>大力培育新型经营主体资金和信息进村入户资金。</t>
  </si>
  <si>
    <t>2021年省级财政农业应急救灾资金</t>
  </si>
  <si>
    <t>2022年被收回资金7万元，年初预算补列3.5万元。剩余资金3.5万元已全部达到支付条件，涉及上级通报资金，落实整改。</t>
  </si>
  <si>
    <t>乡村振兴市级考核补助资金</t>
  </si>
  <si>
    <t>部门其他综合管理经费</t>
  </si>
  <si>
    <t>区水利与渔港建设管养中心</t>
  </si>
  <si>
    <t>濠江区（濠江干流、五南排洪沟、大坪排洪沟、北切排洪沟、水望底排洪沟）治理工程</t>
  </si>
  <si>
    <t>2021年欠发达地区小型水利基础设施建设省级补助资金</t>
  </si>
  <si>
    <t>汕头市濠江区大坪电排站工程。</t>
  </si>
  <si>
    <t>2021年省对市县部分转移支付资金（边境地区转移支付资金）</t>
  </si>
  <si>
    <t>汕头市后江湾海堤修复加固工程。</t>
  </si>
  <si>
    <t>区农产品质量安全中心</t>
  </si>
  <si>
    <t>综合管理工作经费</t>
  </si>
  <si>
    <t>濠江区撂荒耕地综合整治项目</t>
  </si>
  <si>
    <t>涉农各相关单位</t>
  </si>
  <si>
    <t>提前下达2020年市级涉农专项转移支付资金</t>
  </si>
  <si>
    <t>2020年市级涉农专项转移支付资金（新增下达市级“百村示范、千村整治”美丽乡村建设和乡村振兴示范片建设补助资金）</t>
  </si>
  <si>
    <t>提前下达2021年省级涉农专项转移支付资金</t>
  </si>
  <si>
    <t>2021年省级涉农统筹整合转移支付资金（区县部分）</t>
  </si>
  <si>
    <t>2021年市级涉农专项转移支付资金</t>
  </si>
  <si>
    <t>2020-2022年省市涉农资金调整</t>
  </si>
  <si>
    <t>区残联</t>
  </si>
  <si>
    <t>工作综合运行费</t>
  </si>
  <si>
    <t>社保股</t>
  </si>
  <si>
    <t>2023年区残联春节慰问</t>
  </si>
  <si>
    <t>残疾学生及困难残疾人子女助学金</t>
  </si>
  <si>
    <t>社区康园运行补助经费</t>
  </si>
  <si>
    <t>2020年市级配套18万元，区级配套14万元，合计32万元。</t>
  </si>
  <si>
    <t>2020年度残疾人就业保障金及年审工作经费（汕市财社[2021〕100号）</t>
  </si>
  <si>
    <t>救助、慰问困难残疾人经费</t>
  </si>
  <si>
    <t>区司法局</t>
  </si>
  <si>
    <t>“广东省行政执法信息平台和行政执法监督网络平台”建设经费</t>
  </si>
  <si>
    <t>“广东省行政执法信息平台和行政执法监督网络平台”运行维护费</t>
  </si>
  <si>
    <t>安置帮教、社区矫正经费</t>
  </si>
  <si>
    <t>法律援助经费</t>
  </si>
  <si>
    <t>公共法律服务工作经费</t>
  </si>
  <si>
    <t>2021年区级区委区政府法律顾问服务费</t>
  </si>
  <si>
    <t>2022年区级区委区政府法律顾问服务费</t>
  </si>
  <si>
    <t>2021年区级区委区政府法律顾问服务费（党政办）</t>
  </si>
  <si>
    <t>社区矫正两级平台运行维护经费</t>
  </si>
  <si>
    <t>区退役军人事务局</t>
  </si>
  <si>
    <t>2022年12月份临时价格补贴区级配套资金-汕市财社（23）22号</t>
  </si>
  <si>
    <t>2023年1月份临时价格补贴区级配套资金</t>
  </si>
  <si>
    <t>城乡退伍士兵安置补助金（含西藏兵）</t>
  </si>
  <si>
    <t>城乡义务兵优待金（含高原兵）及一次性大学生入伍奖励</t>
  </si>
  <si>
    <t>根据区退役军人事务局提供数据，区级配套需调增70万元。</t>
  </si>
  <si>
    <t>困难企业部分军队退役人员医疗保障经费</t>
  </si>
  <si>
    <t>因医保个人额提高，需调增2.82万元。</t>
  </si>
  <si>
    <t>困难企业部分退役人员生活补助</t>
  </si>
  <si>
    <t>困难企业军转干部生活补助</t>
  </si>
  <si>
    <t>区退役军人服务体系工作经费（含双拥工作）</t>
  </si>
  <si>
    <t>区退役军人事务局春节慰问活动经费</t>
  </si>
  <si>
    <t>哨兵服哨补助</t>
  </si>
  <si>
    <t>2023年度哨兵补助差额2元。</t>
  </si>
  <si>
    <t>随军家属未就业生活补助</t>
  </si>
  <si>
    <t>使用市级资金。</t>
  </si>
  <si>
    <t>政府安排工作退役士兵待安置期间参加基本养老、职工基本医疗保险保障经费</t>
  </si>
  <si>
    <t>政府安排工作退役士官待安置期间生活补助</t>
  </si>
  <si>
    <t>自主择业军转干部医保单位缴费</t>
  </si>
  <si>
    <t>自主择业军转干部住房改革补贴</t>
  </si>
  <si>
    <t>2021年“八一”一次性送温暖活动经费</t>
  </si>
  <si>
    <t>汕濠办文〔2021〕Z3-1363号。</t>
  </si>
  <si>
    <t>区卫生健康局</t>
  </si>
  <si>
    <t>疫情应急防控专项经费</t>
  </si>
  <si>
    <t>“银龄安康”行动60周岁以上老人保险费</t>
  </si>
  <si>
    <t>处级干部体检经费</t>
  </si>
  <si>
    <t>计生家庭商业保险</t>
  </si>
  <si>
    <t>计生家庭意外伤害保险</t>
  </si>
  <si>
    <t>计生家庭子女就学补助和保险</t>
  </si>
  <si>
    <t>省城镇独生子女父母计生奖励</t>
  </si>
  <si>
    <t>省农村部分计划生育家庭奖励</t>
  </si>
  <si>
    <t>市农村计划生育节育奖</t>
  </si>
  <si>
    <t>离休干部医药费</t>
  </si>
  <si>
    <t>农村已离岗接生员和赤脚医生生活困难补助</t>
  </si>
  <si>
    <t>严重精神障碍患者排查经费</t>
  </si>
  <si>
    <t>2022年严重精神障碍患者专班排查与送治工作经费共计26.77万元，分配至相关街道开展严重精神障碍患者排查工作，本次调增1.45万元。</t>
  </si>
  <si>
    <t>严重精神障碍患者长效针剂资金</t>
  </si>
  <si>
    <t>2022年病媒生物防制工作经费</t>
  </si>
  <si>
    <t>病媒生物防制工作经费</t>
  </si>
  <si>
    <t>国家随机监督抽查项目</t>
  </si>
  <si>
    <t>我区各类公共场所共66家抽检工作。</t>
  </si>
  <si>
    <t>社区医疗卫生服务站点规范化建设专项经费和工作经费</t>
  </si>
  <si>
    <t>严重精神障碍患者监护补助费用</t>
  </si>
  <si>
    <t>含各街道办事处。</t>
  </si>
  <si>
    <t>2020年基层医疗卫生机构设备配置更新建设补助资金社（20）212号</t>
  </si>
  <si>
    <t>已在债券资金中列支。</t>
  </si>
  <si>
    <t>2018年县镇医联体建设补助资金社〔19〕126号</t>
  </si>
  <si>
    <t>提前下达2020年度村（居）计划生育专职人员市级社（19）223号</t>
  </si>
  <si>
    <t>2022年基本公共卫生服务区级资金</t>
  </si>
  <si>
    <t>含各街道社区卫生服务中心。</t>
  </si>
  <si>
    <t>城乡妇女两癌检查专项经费</t>
  </si>
  <si>
    <t>含区妇幼中心和人民医院。</t>
  </si>
  <si>
    <t>二类疫苗接种服务工作经费</t>
  </si>
  <si>
    <t>汕濠办文〔2022〕Z4-N0057号。</t>
  </si>
  <si>
    <t>区妇幼中心</t>
  </si>
  <si>
    <t>出生缺陷综合防控项目目标人群专项经费</t>
  </si>
  <si>
    <t>2021年城乡妇女“两癌”免费检查项目市级配套资金（汕市财社〔2021〕66号）</t>
  </si>
  <si>
    <t>妇幼门诊信息化软件系统建设</t>
  </si>
  <si>
    <t>各街道社区卫生服务中心</t>
  </si>
  <si>
    <t>（濠江区）基层医疗卫生事业费补助（汕市财社〔2020〕247号）</t>
  </si>
  <si>
    <t>各街道社区卫生服务中心、区人民医院</t>
  </si>
  <si>
    <t>差额拨款单位财政补助职业年金</t>
  </si>
  <si>
    <t>调整为基本支出。</t>
  </si>
  <si>
    <t>区人民医院</t>
  </si>
  <si>
    <t>2021年中央财政重大传染病防控项目资金-慢病非传染性疾病防治项目（汕市财社〔2021〕158号）</t>
  </si>
  <si>
    <t>2021年中央财政重大传染病防控补助资金-慢病非传染性疾病防治项目（汕市财社〔2020〕291号）</t>
  </si>
  <si>
    <t>医疗服务性经费</t>
  </si>
  <si>
    <t>已下达600万（年初编列1000万核酸检测费），单位反馈拟按照25元*3343针次+21元*4764针次申请二类疫苗接种服务费。</t>
  </si>
  <si>
    <t>区珠浦医院</t>
  </si>
  <si>
    <t>单位反馈今年二类疫苗接种剂次减少，根据本年已接种二类疫苗剂次预计进行调整（拟按照4512针次，21元/针次申请）。</t>
  </si>
  <si>
    <t>区工业和信息化局</t>
  </si>
  <si>
    <t>招商引资工作经费</t>
  </si>
  <si>
    <t>人才发展基金项目（加大对创新创业平台扶持力度项目）</t>
  </si>
  <si>
    <t>汕濠〔2018〕9号。</t>
  </si>
  <si>
    <t>2021年市级标准厂房建设资金（第一批）（补列）</t>
  </si>
  <si>
    <t>企业退役军人职工补助经费</t>
  </si>
  <si>
    <t>汕濠财报2023-19号，支付退役军人曾庆和2022年7月退休申请差额302.02元。</t>
  </si>
  <si>
    <t>区工业园区办</t>
  </si>
  <si>
    <t>汕头市南山湾产业园区规划环境影响跟踪评价与年度环境管理状况评估报告编制工作</t>
  </si>
  <si>
    <t>濠江区政务服务网“政企直通车”栏目建设项目二期（补列）</t>
  </si>
  <si>
    <t>汕头市产业转移工业园南山湾片区开发建设规划修编及规划调整报告书编制环境影响</t>
  </si>
  <si>
    <t>汕濠府办函〔2023〕29号。</t>
  </si>
  <si>
    <t>协调经费工作补助，园区宣传费用，招商引资工作经费</t>
  </si>
  <si>
    <t>汕濠财工〔2023〕24号。</t>
  </si>
  <si>
    <t>区供销社</t>
  </si>
  <si>
    <t>困难企业部分军队退役人员及部分军转干部</t>
  </si>
  <si>
    <t>濠江区供销合作社新型乡村助农服务综合平台（中心）</t>
  </si>
  <si>
    <t>濠江区供销合作社新型乡村助农服务综合平台（中心）（补列）</t>
  </si>
  <si>
    <t>退役职工补助经费</t>
  </si>
  <si>
    <t>区民政局</t>
  </si>
  <si>
    <t>居务监督委员会成员补贴（2022年）</t>
  </si>
  <si>
    <t>2022年12月临时价格补贴区级配套资金</t>
  </si>
  <si>
    <t>2023年1月临时价格补贴区级配套资金</t>
  </si>
  <si>
    <t>百岁老人保健金</t>
  </si>
  <si>
    <t>按9月份数据预测，现有百岁老人19人，区级配套每月380元。10-12月共需2.2万元。</t>
  </si>
  <si>
    <t>高龄老人政府津贴</t>
  </si>
  <si>
    <t>部分使用上年上级结转资金统筹。</t>
  </si>
  <si>
    <t>殡葬惠民</t>
  </si>
  <si>
    <t>月需12万元，需调增6万元。</t>
  </si>
  <si>
    <t>城市居民最低生活保障金</t>
  </si>
  <si>
    <t>按9月城市低保支出数测算需增加预算。</t>
  </si>
  <si>
    <t>城镇特困人员供养</t>
  </si>
  <si>
    <t>按9月城市特困支出数测算需增加预算。</t>
  </si>
  <si>
    <t>农村特困人员供养</t>
  </si>
  <si>
    <t>按9月农村特困支出数测算需增加预算。</t>
  </si>
  <si>
    <t>孤儿基本生活保障</t>
  </si>
  <si>
    <t>按9月孤儿支出数测算需增加预算。</t>
  </si>
  <si>
    <t>困难残疾人生活补贴和重度残疾人护理补贴</t>
  </si>
  <si>
    <t>低保工作经费</t>
  </si>
  <si>
    <t>区民政局春节慰问活动经费</t>
  </si>
  <si>
    <t>深化殡葬改革工作经费</t>
  </si>
  <si>
    <t>汕濠办知〔2023〕16号。</t>
  </si>
  <si>
    <t>双百镇其他政府社会工作服务站工作经费</t>
  </si>
  <si>
    <t>2021年省财政养老服务体系建设补助资金</t>
  </si>
  <si>
    <t>区疾控中心</t>
  </si>
  <si>
    <t>2021年省级补助疾控体系现代化建设项目资金（汕市财社〔2021〕50号）</t>
  </si>
  <si>
    <t>二类疫苗储存配送费</t>
  </si>
  <si>
    <t>二类疫苗费</t>
  </si>
  <si>
    <t>团区委</t>
  </si>
  <si>
    <t>濠江区青年人才团建活动经费</t>
  </si>
  <si>
    <t>区人力资源社会保障局</t>
  </si>
  <si>
    <t>兑现加快产业发展人才配套补助经费</t>
  </si>
  <si>
    <t>开展公益类招聘会、校企对接活动、重点人员跟踪服务和公共就业等活动专项经费</t>
  </si>
  <si>
    <t>老渔工生活困难补助</t>
  </si>
  <si>
    <t>人力资源和社会保障工作经费</t>
  </si>
  <si>
    <t>中海信实训基地和博士博士后基地日常运转经费</t>
  </si>
  <si>
    <t>三支一扶大学生生活补助</t>
  </si>
  <si>
    <t>区人武部</t>
  </si>
  <si>
    <t>2022年区级国防动员专项经费</t>
  </si>
  <si>
    <t>2022年区级民兵事业费</t>
  </si>
  <si>
    <t>2022年区级民兵武器仓库管理费</t>
  </si>
  <si>
    <t>2022年区级营房管理费</t>
  </si>
  <si>
    <t>区审计局</t>
  </si>
  <si>
    <t>各项审计经费</t>
  </si>
  <si>
    <t>经济责任审计工作经费</t>
  </si>
  <si>
    <t>2021年区级社区审计经费</t>
  </si>
  <si>
    <t>区市场监管局</t>
  </si>
  <si>
    <t>市场监督管理各类登记、检查、抽检、专用材料、执法办案、专项整治、标准化、办公楼维护等工作经费</t>
  </si>
  <si>
    <t>明厨亮灶联网监管系统专项经费</t>
  </si>
  <si>
    <t>农贸市场食用农产品快速检测工作经费</t>
  </si>
  <si>
    <t>关于印发2022年濠江区农贸市场食用农产品快速检测工作方案的通知、粤食药监局财〔2016〕141号。</t>
  </si>
  <si>
    <t>区税务局</t>
  </si>
  <si>
    <t>征管经费</t>
  </si>
  <si>
    <t>10-12月预计每月370万元，合计1110万元。</t>
  </si>
  <si>
    <t>社会保险基金管理局濠江分局</t>
  </si>
  <si>
    <t>财政对机关事业单位养老保险的补助</t>
  </si>
  <si>
    <t>市公安局濠江分局</t>
  </si>
  <si>
    <t>2022年区级“平安濠江”视频监控线路租金</t>
  </si>
  <si>
    <t>“平安濠江”视频监控线路租金</t>
  </si>
  <si>
    <t>道路交通涉案车辆停放保管场购买服务经费</t>
  </si>
  <si>
    <t>2021年市级公安基层所队建设补助经费（濠江分局）</t>
  </si>
  <si>
    <t>2022年区级购买警械装备经费</t>
  </si>
  <si>
    <t>2022年区级社会治安辅助服务工作经费</t>
  </si>
  <si>
    <t>社会治安辅助服务工作经费</t>
  </si>
  <si>
    <t>2021年市级因公负伤和重大疾病民警住院医疗补助（濠江分局）</t>
  </si>
  <si>
    <t>预留公安专项经费</t>
  </si>
  <si>
    <t>市公共资源交易中心濠江分中心</t>
  </si>
  <si>
    <t>中海信物业水电费</t>
  </si>
  <si>
    <t>中介超市运营劳务服务外包购买服务包干经费</t>
  </si>
  <si>
    <t>医疗保障局濠江分局</t>
  </si>
  <si>
    <t>城乡居民基本医疗保险</t>
  </si>
  <si>
    <t>医保基金负担新冠病毒疫苗及接种费用补助-区级财政（城乡居民基本医疗保险）</t>
  </si>
  <si>
    <t>汕市财社〔2023〕104号。</t>
  </si>
  <si>
    <t>医保基金负担新冠病毒疫苗及接种费用补助-区级财政（职工基本医疗保险）</t>
  </si>
  <si>
    <t>金融股</t>
  </si>
  <si>
    <t>区财政局代编</t>
  </si>
  <si>
    <t>限售股股权转让交易奖励</t>
  </si>
  <si>
    <t>农村财务管理经费</t>
  </si>
  <si>
    <t>农业资源保护与修复利用</t>
  </si>
  <si>
    <t>农村财务管理平台升级专项经费</t>
  </si>
  <si>
    <t>预留各项扶持及奖励政策兑现资金</t>
  </si>
  <si>
    <t>粤鑫资产投资有限公司日常经费</t>
  </si>
  <si>
    <t>“平安汕头”智能视频监控系统租赁资金</t>
  </si>
  <si>
    <t>见义勇为奖励经费</t>
  </si>
  <si>
    <t>预留创建经费</t>
  </si>
  <si>
    <t>预留人才发展基金</t>
  </si>
  <si>
    <t>税收返还资金</t>
  </si>
  <si>
    <t>560万元安排到各街道，礐石街道公务用车运行维护费调增6.3万元。</t>
  </si>
  <si>
    <t>预留困难社区补助</t>
  </si>
  <si>
    <t>区委区政府交办重要事项</t>
  </si>
  <si>
    <t>可再生能源电价附加增值税返还资金上解</t>
  </si>
  <si>
    <t>上解支出。</t>
  </si>
  <si>
    <t>票据上解</t>
  </si>
  <si>
    <t>预留非税支出</t>
  </si>
  <si>
    <t>调剂85万元给南滨博美幼儿园（汕濠办文〔2023〕Z2-1682号）及预留非税类项目经费（含其他幼儿园经费）。</t>
  </si>
  <si>
    <t>各股室</t>
  </si>
  <si>
    <t>预留工作性和政策性专项经费</t>
  </si>
  <si>
    <t>附表4</t>
  </si>
  <si>
    <t>汕头市濠江区2023年公共财政上级财力性补助收支预算调整表</t>
  </si>
  <si>
    <t>上级财力性补助收入</t>
  </si>
  <si>
    <t>使用范围</t>
  </si>
  <si>
    <t>民生支出</t>
  </si>
  <si>
    <t>运转支出</t>
  </si>
  <si>
    <t>协调发展支出</t>
  </si>
  <si>
    <t>省</t>
  </si>
  <si>
    <t>市</t>
  </si>
  <si>
    <t>城市和农村居民最低生活保障金、被征地农民养老保障金</t>
  </si>
  <si>
    <t>农村、城镇特困人员供养</t>
  </si>
  <si>
    <t>城乡居民社会养老保险和基本医疗保险</t>
  </si>
  <si>
    <t>困难残疾人生活补贴和重度残疾人护理补贴、残疾学生及困难残疾人子女助学金、残疾人居家无障碍改造配套经费等</t>
  </si>
  <si>
    <t>食品安全监督抽检经费、农贸市场食用农产品快速检测</t>
  </si>
  <si>
    <t>城乡退伍士兵安置补助金、部分退役士兵社会保险接续等</t>
  </si>
  <si>
    <t>义务教育生均公用经费等</t>
  </si>
  <si>
    <t>助学金免学费补助</t>
  </si>
  <si>
    <t>教师奖励性绩效工资</t>
  </si>
  <si>
    <t>就业创业政策性补贴</t>
  </si>
  <si>
    <t>基本公共卫生</t>
  </si>
  <si>
    <t>二类疫苗费用</t>
  </si>
  <si>
    <t>省城镇独生子女父母计生奖励等</t>
  </si>
  <si>
    <t>高龄老人政府津贴、“银龄安康”行动60周岁以上老人保险费、百岁老人保健金</t>
  </si>
  <si>
    <t>严重精神障碍患者长效针剂资金、监护补助</t>
  </si>
  <si>
    <t>“平安濠江”“平安汕头”智能视频监控系统租赁资金等</t>
  </si>
  <si>
    <t>森林防火专项经费、消防经费（含装备款）等</t>
  </si>
  <si>
    <t>小计</t>
  </si>
  <si>
    <t>增值税和消费税税收返还收入</t>
  </si>
  <si>
    <t>增值税五五分成税收返还收入</t>
  </si>
  <si>
    <t>所得税基数返还收入</t>
  </si>
  <si>
    <t>成品油税费改革税收返还支出</t>
  </si>
  <si>
    <t>其他税收返还收入</t>
  </si>
  <si>
    <t>其他一般性转移支付收入（下划机构经费）</t>
  </si>
  <si>
    <t>其他一般性转移支付收入（划转原公安边防部队经费基数）</t>
  </si>
  <si>
    <t>其他一般性转移支付收入（监察体制改革划转基数）</t>
  </si>
  <si>
    <t>其他一般性转移支付收入（监察体制改革转隶人员经费）</t>
  </si>
  <si>
    <t>其他一般性转移支付收入（缓解县乡财政困难综合性财力补助）</t>
  </si>
  <si>
    <t>其他一般性转移支付收入（重点生态功能区转移支付收入）</t>
  </si>
  <si>
    <t>体制补助收入</t>
  </si>
  <si>
    <t>调整工资转移支付补助收入</t>
  </si>
  <si>
    <t>农村税费改革补助收入</t>
  </si>
  <si>
    <t>县级基本财力保障机制奖补资金收入</t>
  </si>
  <si>
    <t>边境地区转移支付资金</t>
  </si>
  <si>
    <t>濠江区“天际电器项目”专项补助</t>
  </si>
  <si>
    <t>中央支持基层落实减税降费和重点民生等转移支付资金</t>
  </si>
  <si>
    <t>临时救助资金</t>
  </si>
  <si>
    <t>中央均衡性补助收入</t>
  </si>
  <si>
    <t>说明：根据《广东省人民政府办公厅关于印发广东省财政一般性转移支付资金管理办法的通知》（粤府办〔2014〕31号）要求编制。</t>
  </si>
  <si>
    <t>附表5</t>
  </si>
  <si>
    <t>汕头市濠江区2023年政府性基金预算收入计划调整表</t>
  </si>
  <si>
    <t>一、非税收入</t>
  </si>
  <si>
    <t xml:space="preserve">    1.国有土地收益基金收入</t>
  </si>
  <si>
    <t xml:space="preserve">    2.农业土地开发资金收入</t>
  </si>
  <si>
    <t xml:space="preserve">    3.土地出让价款收入</t>
  </si>
  <si>
    <t xml:space="preserve">    4.其他土地出让收入</t>
  </si>
  <si>
    <t xml:space="preserve">    5.补缴的土地价款</t>
  </si>
  <si>
    <t xml:space="preserve">    6.划拨土地收入</t>
  </si>
  <si>
    <t xml:space="preserve">    7.缴纳新增建设用地土地有偿使用费</t>
  </si>
  <si>
    <t xml:space="preserve">    8.福利彩票公益金收入</t>
  </si>
  <si>
    <t xml:space="preserve">    9.城市基础设施配套费收入</t>
  </si>
  <si>
    <t>二、转移性收入</t>
  </si>
  <si>
    <t xml:space="preserve">   1.上级专项性补助收入</t>
  </si>
  <si>
    <t xml:space="preserve">   2.上年结余收入</t>
  </si>
  <si>
    <t xml:space="preserve">   3.新增专项债券收入</t>
  </si>
  <si>
    <t xml:space="preserve">   4.再融资专项债券转贷收入</t>
  </si>
  <si>
    <t>附表6</t>
  </si>
  <si>
    <t>汕头市濠江区2023年本级政府性基金预算收入项目调整表</t>
  </si>
  <si>
    <t>负责单位</t>
  </si>
  <si>
    <t>用地性质/项目</t>
  </si>
  <si>
    <t>用地位置</t>
  </si>
  <si>
    <t>面积（亩）</t>
  </si>
  <si>
    <t>单位上报</t>
  </si>
  <si>
    <t>截至9月实际收入</t>
  </si>
  <si>
    <t>尚欠收入</t>
  </si>
  <si>
    <t>出让方式</t>
  </si>
  <si>
    <r>
      <rPr>
        <b/>
        <sz val="11"/>
        <color theme="1"/>
        <rFont val="Tahoma"/>
        <charset val="134"/>
      </rPr>
      <t>1</t>
    </r>
    <r>
      <rPr>
        <b/>
        <sz val="11"/>
        <color indexed="8"/>
        <rFont val="宋体"/>
        <charset val="134"/>
      </rPr>
      <t>月</t>
    </r>
  </si>
  <si>
    <r>
      <rPr>
        <b/>
        <sz val="11"/>
        <color theme="1"/>
        <rFont val="Tahoma"/>
        <charset val="134"/>
      </rPr>
      <t>2月</t>
    </r>
  </si>
  <si>
    <r>
      <rPr>
        <b/>
        <sz val="11"/>
        <color theme="1"/>
        <rFont val="Tahoma"/>
        <charset val="134"/>
      </rPr>
      <t>3月</t>
    </r>
  </si>
  <si>
    <r>
      <rPr>
        <b/>
        <sz val="11"/>
        <color theme="1"/>
        <rFont val="Tahoma"/>
        <charset val="134"/>
      </rPr>
      <t>4月</t>
    </r>
  </si>
  <si>
    <r>
      <rPr>
        <b/>
        <sz val="11"/>
        <color theme="1"/>
        <rFont val="Tahoma"/>
        <charset val="134"/>
      </rPr>
      <t>5月</t>
    </r>
  </si>
  <si>
    <r>
      <rPr>
        <b/>
        <sz val="11"/>
        <color theme="1"/>
        <rFont val="Tahoma"/>
        <charset val="134"/>
      </rPr>
      <t>6月</t>
    </r>
  </si>
  <si>
    <r>
      <rPr>
        <b/>
        <sz val="11"/>
        <color theme="1"/>
        <rFont val="Tahoma"/>
        <charset val="134"/>
      </rPr>
      <t>7月</t>
    </r>
  </si>
  <si>
    <r>
      <rPr>
        <b/>
        <sz val="11"/>
        <color theme="1"/>
        <rFont val="Tahoma"/>
        <charset val="134"/>
      </rPr>
      <t>8月</t>
    </r>
  </si>
  <si>
    <r>
      <rPr>
        <b/>
        <sz val="11"/>
        <color theme="1"/>
        <rFont val="Tahoma"/>
        <charset val="134"/>
      </rPr>
      <t>9月</t>
    </r>
  </si>
  <si>
    <r>
      <rPr>
        <b/>
        <sz val="11"/>
        <color theme="1"/>
        <rFont val="Tahoma"/>
        <charset val="134"/>
      </rPr>
      <t>10月</t>
    </r>
  </si>
  <si>
    <r>
      <rPr>
        <b/>
        <sz val="11"/>
        <color theme="1"/>
        <rFont val="Tahoma"/>
        <charset val="134"/>
      </rPr>
      <t>11月</t>
    </r>
  </si>
  <si>
    <r>
      <rPr>
        <b/>
        <sz val="11"/>
        <color theme="1"/>
        <rFont val="Tahoma"/>
        <charset val="134"/>
      </rPr>
      <t>12月</t>
    </r>
  </si>
  <si>
    <t>区新城办
区土储中心</t>
  </si>
  <si>
    <t>居住用地</t>
  </si>
  <si>
    <t>南滨片区04-00205-01(统征地)</t>
  </si>
  <si>
    <t>挂牌</t>
  </si>
  <si>
    <t>原名南滨片区HJ-003-00205(统征地)，按成交价14921万元50%编列7460.5万元。</t>
  </si>
  <si>
    <t>南滨片区HJ-003-00202（统征地）</t>
  </si>
  <si>
    <t>限高从24米上升到54米。</t>
  </si>
  <si>
    <t>中信项目小计</t>
  </si>
  <si>
    <t>区招商局
区土储中心</t>
  </si>
  <si>
    <t>濠江区茂洲A15\B04地块</t>
  </si>
  <si>
    <t>渔港B-02地块</t>
  </si>
  <si>
    <t>马滘大桥东西侧(马滘综合体)</t>
  </si>
  <si>
    <t>商业用地</t>
  </si>
  <si>
    <t>汕头南新城市中心STN-02-03地块</t>
  </si>
  <si>
    <t>汕头南新城市中心HJ-023-02-00105地块</t>
  </si>
  <si>
    <t>2023年11月1日已出让。</t>
  </si>
  <si>
    <t>区工业和信息化局
区土储中心</t>
  </si>
  <si>
    <t>工业用地</t>
  </si>
  <si>
    <t>汕头南新城市中心STN-03-28地块</t>
  </si>
  <si>
    <t>锦伦项目，首期缴50%。</t>
  </si>
  <si>
    <t>汕头南新城市中心STN-03-31地块和STN-03-33地块</t>
  </si>
  <si>
    <t>原名汕头南新城市中心STN-03-33地块，首期缴50%，1年后缴50%。</t>
  </si>
  <si>
    <t>风电产业园HJ-022-02-00201-1地块</t>
  </si>
  <si>
    <t>原名青洲盐场海上风电产业园项目，8月10日，北京京能清洁能源电力股份有限公司11205万元竞得成交。</t>
  </si>
  <si>
    <t>风电产业园HJ-022-01-00402-3地块</t>
  </si>
  <si>
    <t>4月19日成交。</t>
  </si>
  <si>
    <t>汕头市濠江区风电产业园01-00402-2地块内</t>
  </si>
  <si>
    <t>2月1日成交。</t>
  </si>
  <si>
    <t>商务金融用地(商业用地)</t>
  </si>
  <si>
    <t>广澳物流园南片HJ-03003-01904-1地块内</t>
  </si>
  <si>
    <t>6月19日华润新能源公司成交，区分成2377.9426万元。</t>
  </si>
  <si>
    <t>中国（濠江）河浦片、台商片（电子电路工业基地）C05-03地块）</t>
  </si>
  <si>
    <t>8月25日盟信塑胶科技(汕头)有限公司1385万元竞得成交。</t>
  </si>
  <si>
    <t>区土储中心</t>
  </si>
  <si>
    <t>幼师二期项目地块</t>
  </si>
  <si>
    <t>划拨</t>
  </si>
  <si>
    <t>划拨项目</t>
  </si>
  <si>
    <t>用地项目划拨收入16000万元。</t>
  </si>
  <si>
    <t>补缴项目</t>
  </si>
  <si>
    <t>补缴</t>
  </si>
  <si>
    <t>其他土地出让收入</t>
  </si>
  <si>
    <t>其他</t>
  </si>
  <si>
    <t>含滞纳金。主要减少海工装备产业砂土出让。</t>
  </si>
  <si>
    <t>上缴新增建设用地有偿使用费及计提有关资金</t>
  </si>
  <si>
    <t>计提教育资金和农田水利建设资金等。</t>
  </si>
  <si>
    <t>土地基金区内项目小计</t>
  </si>
  <si>
    <t>一、土地基金合计</t>
  </si>
  <si>
    <t>二、城市基础设施配套费收入</t>
  </si>
  <si>
    <t>三、福彩公益金收入</t>
  </si>
  <si>
    <t>2023年度政府性基金收入合计</t>
  </si>
  <si>
    <t>其中：本级项目收入（不含中信项目）</t>
  </si>
  <si>
    <t>附表7</t>
  </si>
  <si>
    <t>汕头市濠江区2023年政府性基金预算支出科目调整表</t>
  </si>
  <si>
    <t>调整分解</t>
  </si>
  <si>
    <t>补列预算</t>
  </si>
  <si>
    <t>结转资金</t>
  </si>
  <si>
    <t>消化暂付款</t>
  </si>
  <si>
    <t>23年预算</t>
  </si>
  <si>
    <t>政策性
调整</t>
  </si>
  <si>
    <t>综合提供</t>
  </si>
  <si>
    <t>债券+调出</t>
  </si>
  <si>
    <t>结转</t>
  </si>
  <si>
    <t>205</t>
  </si>
  <si>
    <t>教育</t>
  </si>
  <si>
    <t>20510</t>
  </si>
  <si>
    <t xml:space="preserve">  地方教育附加安排的支出</t>
  </si>
  <si>
    <t>2051001</t>
  </si>
  <si>
    <t xml:space="preserve">    农村中小学校舍建设</t>
  </si>
  <si>
    <t>2051099</t>
  </si>
  <si>
    <t xml:space="preserve">    其他地方教育附加安排的支出</t>
  </si>
  <si>
    <t>文化体育与传媒</t>
  </si>
  <si>
    <t>国家电影事业发展专项资金及对应专项债务因收入安排的支出</t>
  </si>
  <si>
    <t>其他国家电影事业发展专项资金的支出</t>
  </si>
  <si>
    <t>社会保障和就业</t>
  </si>
  <si>
    <t>扶持农村残疾人生产</t>
  </si>
  <si>
    <t>其他残疾人就业保障金支出</t>
  </si>
  <si>
    <t>残疾人就业保障金支出</t>
  </si>
  <si>
    <t>城乡社区事务</t>
  </si>
  <si>
    <t>政府住房基金支出</t>
  </si>
  <si>
    <t>公共租赁住房租金支出</t>
  </si>
  <si>
    <t>其他政府住房基金支出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</si>
  <si>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</si>
  <si>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</si>
  <si>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</si>
  <si>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</si>
  <si>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</si>
  <si>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</si>
  <si>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</si>
  <si>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</si>
  <si>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教育资金安排的支出</t>
  </si>
  <si>
    <t>支付破产或改制企业职工安置费</t>
  </si>
  <si>
    <t>棚户区改造支出</t>
  </si>
  <si>
    <t>公共租赁住房支出</t>
  </si>
  <si>
    <t>农田水利建设资金安排的支出</t>
  </si>
  <si>
    <t>农业生产发展支出</t>
  </si>
  <si>
    <t>农业农村生态环境支出</t>
  </si>
  <si>
    <t>其他国有土地使用权出让收入安排的支出</t>
  </si>
  <si>
    <t>城市公用事业附加安排的支出</t>
  </si>
  <si>
    <t>城市公共设施</t>
  </si>
  <si>
    <t>城市环境卫生（城市公用事业附加安排的支出）</t>
  </si>
  <si>
    <t>其他城市公用事业附加安排的支出</t>
  </si>
  <si>
    <t>国有土地收益基金支出</t>
  </si>
  <si>
    <t>其他国有土地收益基金支出</t>
  </si>
  <si>
    <t>农业土地开发资金支出</t>
  </si>
  <si>
    <t>新增建设用地土地有偿使用费安排的支出</t>
  </si>
  <si>
    <t>基本农田建设和保护支出</t>
  </si>
  <si>
    <t>土地整理支出</t>
  </si>
  <si>
    <t>城市基础设施配套费安排的支出</t>
  </si>
  <si>
    <t>城市环境卫生</t>
  </si>
  <si>
    <t>其他城市基础设施配套费安排的支出</t>
  </si>
  <si>
    <t>国有土地使用权出让收入对应专项债务收入安排的支出安排的支出</t>
  </si>
  <si>
    <t>农林水事务</t>
  </si>
  <si>
    <t>森林植被恢复费安排的支出</t>
  </si>
  <si>
    <t>森林培育</t>
  </si>
  <si>
    <t>其他森林植被恢复费安排的支出</t>
  </si>
  <si>
    <t>地方水利建设基金支出</t>
  </si>
  <si>
    <t>其他地方水利建设基金支出</t>
  </si>
  <si>
    <t>水土保持补偿费安排的支出</t>
  </si>
  <si>
    <t>其他水土保持补偿费安排的支出</t>
  </si>
  <si>
    <t>交通运输</t>
  </si>
  <si>
    <t>船舶港务费安排的支出</t>
  </si>
  <si>
    <t>资源勘探信息等支出</t>
  </si>
  <si>
    <t>散装水泥专项资金及对应专项债务收入安排的支出</t>
  </si>
  <si>
    <t>散装水泥专项资金安排的支出</t>
  </si>
  <si>
    <t>新型墙体材料专项基金及对应专项债务收入安排的支出</t>
  </si>
  <si>
    <t>新型墙体材料专项基金安排的支出</t>
  </si>
  <si>
    <t>商业服务也等事务</t>
  </si>
  <si>
    <t>旅游发展基金支出</t>
  </si>
  <si>
    <t>地方旅游开发项目补助</t>
  </si>
  <si>
    <t>其他政府性基金及对应专项债务收入安排的支出</t>
  </si>
  <si>
    <t>其他政府性基金安排的支出</t>
  </si>
  <si>
    <t>其他地方自行试点项目收益专项债券收入安排的支出</t>
  </si>
  <si>
    <t>彩票发行销售机构业务费安排的支出</t>
  </si>
  <si>
    <t>福利彩票销售机构的业务费支出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</si>
  <si>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</si>
  <si>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</si>
  <si>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</si>
  <si>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</si>
  <si>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</si>
  <si>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用于残疾人事务的彩票公益金支出</t>
  </si>
  <si>
    <t>用于城市医疗救助的彩票公益金支出</t>
  </si>
  <si>
    <t>用于农村医疗救助的彩票公益金支出</t>
  </si>
  <si>
    <t>用于文化事业的彩票公益金支出</t>
  </si>
  <si>
    <t>用于城乡医疗救助的彩票公益金支出</t>
  </si>
  <si>
    <t>用于其他社会公益事业的彩票公益金支出</t>
  </si>
  <si>
    <t>政府性基金转移支付</t>
  </si>
  <si>
    <t>调出资金</t>
  </si>
  <si>
    <t>年终结余</t>
  </si>
  <si>
    <t>地方政府专项债务还本支出</t>
  </si>
  <si>
    <t>国有土地使用权出让金债务还本支出</t>
  </si>
  <si>
    <t>土地储备专项债券还本支出</t>
  </si>
  <si>
    <t>其他地方自行试点项目收益专项债券还本支出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</si>
  <si>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</si>
  <si>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</si>
  <si>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</si>
  <si>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</si>
  <si>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</si>
  <si>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</si>
  <si>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土地储备专项债券发行费用支出</t>
  </si>
  <si>
    <t>其他地方自行试点项目收益专项债券发行费用支出</t>
  </si>
  <si>
    <t>234</t>
  </si>
  <si>
    <t>抗疫特别国债安排的支出</t>
  </si>
  <si>
    <t>23401</t>
  </si>
  <si>
    <t xml:space="preserve">  基础设施建设</t>
  </si>
  <si>
    <t>2340101</t>
  </si>
  <si>
    <t xml:space="preserve">    公共卫生体系建设</t>
  </si>
  <si>
    <t>2340199</t>
  </si>
  <si>
    <t xml:space="preserve">    其他基础设施建设</t>
  </si>
  <si>
    <t>23402</t>
  </si>
  <si>
    <t xml:space="preserve">    抗疫相关支出</t>
  </si>
  <si>
    <t>2340299</t>
  </si>
  <si>
    <t xml:space="preserve">    其他抗疫相关支出</t>
  </si>
  <si>
    <t>支出合计</t>
  </si>
  <si>
    <t>附表8</t>
  </si>
  <si>
    <t>汕头市濠江区2023年本级政府性基金预算支出项目调整表</t>
  </si>
  <si>
    <t>（填及校对）支出功能科目（建议数为0的可空着）</t>
  </si>
  <si>
    <t>本级支出合计</t>
  </si>
  <si>
    <t>一、本级基金项目合计</t>
  </si>
  <si>
    <t>（一）土地基金小计</t>
  </si>
  <si>
    <t>综合股（土地基金）</t>
  </si>
  <si>
    <t>中信南滨片区统征地项目</t>
  </si>
  <si>
    <t>鉴于今年中信南滨片区统征地出让收入按照实际情况远不达预期，相应调减预算额度。</t>
  </si>
  <si>
    <t>征地收储小计</t>
  </si>
  <si>
    <t>三联工业区历史征地款及利息（违约金）</t>
  </si>
  <si>
    <t>河浦医院二期征地项目</t>
  </si>
  <si>
    <t>河浦粮库用地平整项目</t>
  </si>
  <si>
    <t>2120802</t>
  </si>
  <si>
    <t>滨海临港产业片区项目（征地）</t>
  </si>
  <si>
    <t>2120801</t>
  </si>
  <si>
    <t>滨海工业区征地项目（部分锦纶项目征地）</t>
  </si>
  <si>
    <t>风电培训基地用地项目（征地项目）</t>
  </si>
  <si>
    <t>濠江区风电产业园扩围征收项目（征地项目）</t>
  </si>
  <si>
    <t>茂州片区A-04-02与玉新街道北片区A-7-02土地整理开发工程（平整）</t>
  </si>
  <si>
    <t>达濠渔港一期平整项目</t>
  </si>
  <si>
    <t>青洲盐场一、二期平整项目</t>
  </si>
  <si>
    <t>青洲盐场一、二期项目</t>
  </si>
  <si>
    <t>马滘工业园区生活配套区基础设施工程项目（平整）</t>
  </si>
  <si>
    <t>广澳港海工装备产业园收储项目</t>
  </si>
  <si>
    <t>收回雅伦公司国有建设用地使用权</t>
  </si>
  <si>
    <t>收回河浦街道一工区18.366亩存量工业用地的国有建设用地使用权费用</t>
  </si>
  <si>
    <t>广澳溪头工业区5宗地征地平整包干费</t>
  </si>
  <si>
    <t>广东省汕头市濠江区茂洲片区新型城镇化综合开发PPP项目</t>
  </si>
  <si>
    <t>幼师二期征地款</t>
  </si>
  <si>
    <t>基建小计</t>
  </si>
  <si>
    <t>礐石街道改善乡村人居环境综合建设项目</t>
  </si>
  <si>
    <t>汕头市英国领事署旧址修缮工程</t>
  </si>
  <si>
    <t>礐石街道农村生活污水治理项目经费</t>
  </si>
  <si>
    <t>滨海街道改善乡村人居环境综合建设项目</t>
  </si>
  <si>
    <t>达濠街道改善乡村人居环境综合建设项目</t>
  </si>
  <si>
    <t>会汀港截污管道建设工程建设资金</t>
  </si>
  <si>
    <t>广澳街道改善乡村人居环境综合建设项目</t>
  </si>
  <si>
    <t>开放公园建设</t>
  </si>
  <si>
    <t>河浦街道</t>
  </si>
  <si>
    <t>河浦街道改善乡村人居环境综合建设项目</t>
  </si>
  <si>
    <t>马滘街道</t>
  </si>
  <si>
    <t>马滘街道改善乡村人居环境综合建设项目</t>
  </si>
  <si>
    <t>玉新街道改善乡村人居环境综合建设项目</t>
  </si>
  <si>
    <t>玉新街道中心幼儿园项目其他费用</t>
  </si>
  <si>
    <t>汕濠办文〔2023〕Z1—1476号。</t>
  </si>
  <si>
    <t>2022年濠江区大坪排洪沟河浦高级中学段改建工程</t>
  </si>
  <si>
    <t>区房管所</t>
  </si>
  <si>
    <t>公租房修缮</t>
  </si>
  <si>
    <t>濠江区棚户区抢险救灾工程项目</t>
  </si>
  <si>
    <t>区妇幼保健计划生育服务中心</t>
  </si>
  <si>
    <t>濠江区妇幼保健院门诊部建设工程尾款</t>
  </si>
  <si>
    <t>党群中心基建及采购固定资产</t>
  </si>
  <si>
    <t>汕头市滨海临港产业片区基础设施配套项目其他费用</t>
  </si>
  <si>
    <t>汕濠办文〔2023〕Z2-1123号。</t>
  </si>
  <si>
    <t>2120899</t>
  </si>
  <si>
    <t>汕头市台商投资区台纵二路、台横三路道路工程及配套（续建）工程</t>
  </si>
  <si>
    <t>科林路临时道路建设工程项目</t>
  </si>
  <si>
    <t>汕头市台商投资区（濠江片）道路及市政配套工程</t>
  </si>
  <si>
    <t>达濠华侨中学学生宿舍楼及配套建设</t>
  </si>
  <si>
    <t>区民政局办公用房维修专项资金</t>
  </si>
  <si>
    <t>2120803</t>
  </si>
  <si>
    <t>濠江区五南沟片区内涝整治工程</t>
  </si>
  <si>
    <t>濠江东西岸堤围达标加固工程尾款</t>
  </si>
  <si>
    <t>三屿围海堤达标加固工程</t>
  </si>
  <si>
    <t>后江湾海堤修复加固工程其他费用（暂时名）</t>
  </si>
  <si>
    <t>2120804</t>
  </si>
  <si>
    <t>区人民医院改扩建工程</t>
  </si>
  <si>
    <t>区综合文化活动中心建设项目夹胶钢化玻璃屋面及新建冲孔板外墙装饰面工程</t>
  </si>
  <si>
    <t>濠江区博物馆装饰装修工程项目</t>
  </si>
  <si>
    <t>濠江区图书馆搬迁修缮工程包干经费</t>
  </si>
  <si>
    <t>三路一桥</t>
  </si>
  <si>
    <t>濠江区改善乡村人居环境综合建设项目（雪亮工程)</t>
  </si>
  <si>
    <t>濠江“一江两岸”生态环境治理及产城融合开发建设项目</t>
  </si>
  <si>
    <t>汕头市濠江区全区污水管网完善建设PPP项目</t>
  </si>
  <si>
    <t>濠江北路（磊口大桥-河浦花桥）道路建设工程、濠江北路（河浦花桥-达南路）道路建设工程项目其他费用</t>
  </si>
  <si>
    <t>广达大道等道路公交站亭（牌）建设项目</t>
  </si>
  <si>
    <t>汕头市濠江区2019年四好农村路建设工程项目</t>
  </si>
  <si>
    <t>濠江区东湖东路和周边基础设施及东湖西路污水管网建设项目</t>
  </si>
  <si>
    <t>2020年市级涉农专项转移支付资金（市级“百村示范、千村整治”补助资金）</t>
  </si>
  <si>
    <t>汕头市濠江区达濠街道葛洲居委会现有耕地提质改造项目</t>
  </si>
  <si>
    <t>今年预计不开展。</t>
  </si>
  <si>
    <t>汕头市濠江区农村建设用地拆旧复垦项目</t>
  </si>
  <si>
    <t>汕头市濠江区智慧型机械式公共停车楼PPP项目绩效服务费</t>
  </si>
  <si>
    <t>粤鑫公司</t>
  </si>
  <si>
    <t>澳旺路、同盛路及三寮路建设项目</t>
  </si>
  <si>
    <t>土地有偿划拨相关项目小计</t>
  </si>
  <si>
    <t>经建股、综合股（土地基金）</t>
  </si>
  <si>
    <t>各受让主体单位</t>
  </si>
  <si>
    <t>濠江区批而未供土地进一步消化处置方案项目</t>
  </si>
  <si>
    <t>根据区政府批复《濠江区批而未供土地进一步消化处置方案项目》（汕濠办文〔2023〕Z2-1733号）进行具体分配拨付。</t>
  </si>
  <si>
    <t>其他小计</t>
  </si>
  <si>
    <t>324国道磊口-棉花路段两侧拆迁经费及社区补助资金</t>
  </si>
  <si>
    <t>324国道两侧环境风貌品质提升拆迁安置补偿经费</t>
  </si>
  <si>
    <t>汕头市濠江区2021年绿道建设项目（马滘凤岗段）</t>
  </si>
  <si>
    <t>燎原社区排洪改道青苗和附着物补偿</t>
  </si>
  <si>
    <t>达濠、礐石、马滘街道</t>
  </si>
  <si>
    <t>农村保洁员工资待遇保障补助区级配套（2022年，区级）</t>
  </si>
  <si>
    <t>农村保洁员工资待遇保障补助区级配套</t>
  </si>
  <si>
    <t>各相关单位</t>
  </si>
  <si>
    <t>2021年市级涉农专项转移支付资金（第二批）</t>
  </si>
  <si>
    <t>教师公寓、海马池、金碧湾公寓公租房物业管理费</t>
  </si>
  <si>
    <t>扶持村级集体经济发展试点区级配套资金</t>
  </si>
  <si>
    <t>驻镇帮镇扶村区级配套（2023年）</t>
  </si>
  <si>
    <t>2021年农村生活污水治理即“源头截污、雨污分流”市级奖补资金（第一批）</t>
  </si>
  <si>
    <t>2120816</t>
  </si>
  <si>
    <t>2021年乡村振兴战略专项资金-实施河长制“一河一策”市级财政奖补</t>
  </si>
  <si>
    <t>储备用地巡查和管养围护费用</t>
  </si>
  <si>
    <t>2120806</t>
  </si>
  <si>
    <t>土地储备业务费补充经费</t>
  </si>
  <si>
    <t>土地储备项目前期经费支出</t>
  </si>
  <si>
    <t>增设汕头南站保函手续费</t>
  </si>
  <si>
    <t>汕汕铁路汕头段征地拆迁不可预见费</t>
  </si>
  <si>
    <t>基本农田保护经济补偿区级补助资金</t>
  </si>
  <si>
    <t>规划编制经费</t>
  </si>
  <si>
    <t>汕头市国土空间总体规划濠江区发展规划大纲（2020-2035年）</t>
  </si>
  <si>
    <t>汕头市濠江区“一江两岸”城市设计整合优化及开发建设行动计划</t>
  </si>
  <si>
    <t>濠江区国土空间生态修复规划(2020-2035年)编制工作方案</t>
  </si>
  <si>
    <t>濠江区土地利用总体规划调整完善</t>
  </si>
  <si>
    <t>规划管理工作经费</t>
  </si>
  <si>
    <t>濠江区全域土地综合整治专项规划</t>
  </si>
  <si>
    <t>2021年市级绿道规划建设、南粤古驿道活化利用工作补助资金</t>
  </si>
  <si>
    <t>自然资源业务工作经费</t>
  </si>
  <si>
    <t>不动产登记业务经费</t>
  </si>
  <si>
    <t>农村地籍调查项目</t>
  </si>
  <si>
    <t>执法工作经费</t>
  </si>
  <si>
    <t>围填海历史遗留问题生态保护修复项目</t>
  </si>
  <si>
    <t>土地征收与土地出让工作经费</t>
  </si>
  <si>
    <r>
      <rPr>
        <sz val="11"/>
        <rFont val="Times New Roman"/>
        <charset val="134"/>
      </rPr>
      <t>2120801</t>
    </r>
    <r>
      <rPr>
        <sz val="11"/>
        <rFont val="宋体"/>
        <charset val="134"/>
      </rPr>
      <t xml:space="preserve"> 33万、</t>
    </r>
    <r>
      <rPr>
        <sz val="11"/>
        <rFont val="Times New Roman"/>
        <charset val="134"/>
      </rPr>
      <t>2120806 17</t>
    </r>
    <r>
      <rPr>
        <sz val="11"/>
        <rFont val="宋体"/>
        <charset val="134"/>
      </rPr>
      <t>万</t>
    </r>
  </si>
  <si>
    <t>汕头市濠江区“房地一体”农村宅基地和集体建设用地确权登记发证</t>
  </si>
  <si>
    <t>濠江区农村占用耕地建房摸排工作数据处理及外业核查服务</t>
  </si>
  <si>
    <t>第三次全国土地调查</t>
  </si>
  <si>
    <t>自然资源管理业务工作与其他业务工作委托业务费</t>
  </si>
  <si>
    <t>自然资源调查监测与确权登记相关工作经费</t>
  </si>
  <si>
    <t>濠江区国土空间基础信息平台与一张图实施监督系统</t>
  </si>
  <si>
    <t>项目尚未实施。</t>
  </si>
  <si>
    <t>执法监督经费</t>
  </si>
  <si>
    <t>2022年区级购置新建学生宿舍楼和综合实训楼及周边监控设备及网络设备项目</t>
  </si>
  <si>
    <t>2022年区级购置新建学生宿舍楼和综合实训楼空气能热水系统设备项目</t>
  </si>
  <si>
    <t>汕汕铁路（濠江段）项目区级储备用地管养经费</t>
  </si>
  <si>
    <t>2023年区级涉农资金</t>
  </si>
  <si>
    <t>2021年市级标准厂房建设资金（第一批）</t>
  </si>
  <si>
    <t>2021年市级工业企业上规模专项资金（贷款贴息）</t>
  </si>
  <si>
    <t>2020年市级生活垃圾分类专项资金</t>
  </si>
  <si>
    <t>因分配原因需由城管局分配至街道。</t>
  </si>
  <si>
    <t>汕头市产业转移工业园濠江片区土地集约利用监测</t>
  </si>
  <si>
    <t>地方政府专项债券还本支出</t>
  </si>
  <si>
    <r>
      <rPr>
        <sz val="11"/>
        <rFont val="Times New Roman"/>
        <charset val="134"/>
      </rPr>
      <t>2310411 6960</t>
    </r>
    <r>
      <rPr>
        <sz val="11"/>
        <rFont val="宋体"/>
        <charset val="134"/>
      </rPr>
      <t>万、</t>
    </r>
    <r>
      <rPr>
        <sz val="11"/>
        <rFont val="Times New Roman"/>
        <charset val="134"/>
      </rPr>
      <t>2310431 24000</t>
    </r>
    <r>
      <rPr>
        <sz val="11"/>
        <rFont val="宋体"/>
        <charset val="134"/>
      </rPr>
      <t>万</t>
    </r>
  </si>
  <si>
    <t>地方政府专项债券付息支出</t>
  </si>
  <si>
    <r>
      <rPr>
        <sz val="11"/>
        <rFont val="Times New Roman"/>
        <charset val="134"/>
      </rPr>
      <t xml:space="preserve"> 2320411 3245.906</t>
    </r>
    <r>
      <rPr>
        <sz val="11"/>
        <rFont val="宋体"/>
        <charset val="134"/>
      </rPr>
      <t>万、</t>
    </r>
    <r>
      <rPr>
        <sz val="11"/>
        <rFont val="Times New Roman"/>
        <charset val="134"/>
      </rPr>
      <t>2320431 975.2</t>
    </r>
    <r>
      <rPr>
        <sz val="11"/>
        <rFont val="宋体"/>
        <charset val="134"/>
      </rPr>
      <t>万、</t>
    </r>
    <r>
      <rPr>
        <sz val="11"/>
        <rFont val="Times New Roman"/>
        <charset val="134"/>
      </rPr>
      <t>2320498 22326.84</t>
    </r>
    <r>
      <rPr>
        <sz val="11"/>
        <rFont val="宋体"/>
        <charset val="134"/>
      </rPr>
      <t>万</t>
    </r>
  </si>
  <si>
    <r>
      <rPr>
        <sz val="11"/>
        <rFont val="Times New Roman"/>
        <charset val="134"/>
      </rPr>
      <t>2330411 3.067097</t>
    </r>
    <r>
      <rPr>
        <sz val="11"/>
        <rFont val="宋体"/>
        <charset val="134"/>
      </rPr>
      <t>万、</t>
    </r>
    <r>
      <rPr>
        <sz val="11"/>
        <rFont val="Times New Roman"/>
        <charset val="134"/>
      </rPr>
      <t>2330431 20.44876</t>
    </r>
    <r>
      <rPr>
        <sz val="11"/>
        <rFont val="宋体"/>
        <charset val="134"/>
      </rPr>
      <t>万、</t>
    </r>
    <r>
      <rPr>
        <sz val="11"/>
        <rFont val="Times New Roman"/>
        <charset val="134"/>
      </rPr>
      <t>2330498 106.649636</t>
    </r>
    <r>
      <rPr>
        <sz val="11"/>
        <rFont val="宋体"/>
        <charset val="134"/>
      </rPr>
      <t>万</t>
    </r>
  </si>
  <si>
    <t>预留土地基金相关项目资金小计</t>
  </si>
  <si>
    <t>国资预留经费</t>
  </si>
  <si>
    <t>预留重点项目前期及建设费用</t>
  </si>
  <si>
    <t>预留城市基础设施配套费</t>
  </si>
  <si>
    <t>2121399</t>
  </si>
  <si>
    <t>预留土地收储平整资金</t>
  </si>
  <si>
    <t>预留资金。其中根据汕濠办文（2023〕Z3—0724号已安排30万元，汕濠办文（2023〕Z4—1513号安排80万元。</t>
  </si>
  <si>
    <t>（二）城市基础设施配套费支出（市政路灯管养、保洁、规划编制项目）小计</t>
  </si>
  <si>
    <t>市政设施路灯电费</t>
  </si>
  <si>
    <t>付至2023年12月电费。</t>
  </si>
  <si>
    <t>疏港大道助航标志养护经费</t>
  </si>
  <si>
    <t>因分配原因需调整给玉新街道。</t>
  </si>
  <si>
    <t>排水设施管养及内涝布防抢险项目</t>
  </si>
  <si>
    <t>市政设施购买服务管养维护经费</t>
  </si>
  <si>
    <t>濠江区道路环卫作业市场化管理采购项目</t>
  </si>
  <si>
    <t>区管公园管养经费</t>
  </si>
  <si>
    <t>濠江区（河浦片区）环卫作业市场化运营管理项目</t>
  </si>
  <si>
    <t>汕濠办文〔2022〕Z3-N0866号，按实际工作量调整。</t>
  </si>
  <si>
    <t>濠江区（达濠片区）环卫作业市场化运营管理项目</t>
  </si>
  <si>
    <t>汕濠办文〔2021〕Z3-N0866号，按实际工作量调整。</t>
  </si>
  <si>
    <t>濠江区园区道路环卫作业市场化管理采购项目</t>
  </si>
  <si>
    <t>公厕管理项目</t>
  </si>
  <si>
    <t>南山湾绿道沙滩管养经费</t>
  </si>
  <si>
    <t>2121302</t>
  </si>
  <si>
    <t>全区生活垃圾前端转运项目</t>
  </si>
  <si>
    <t>全区生活垃圾后端转运项目</t>
  </si>
  <si>
    <t>环卫作业市场化管理经费（主次干道清扫保洁项目）</t>
  </si>
  <si>
    <t>达南路西侧南山湾产业公园配套工程项目</t>
  </si>
  <si>
    <t>疏港大道、广达大道交通信号灯和电子警察等设施拆除项目</t>
  </si>
  <si>
    <t>（三）彩票公益金支出小计</t>
  </si>
  <si>
    <t>市医疗保障局濠江分局</t>
  </si>
  <si>
    <t>区级福彩公益金用于养老服务体系（“汕头呼援通”濠江区长者呼援公益服务平台）</t>
  </si>
  <si>
    <t>含2022年结余33万元。调剂至达濠、广澳、马滘街道办事处。</t>
  </si>
  <si>
    <t>2296099</t>
  </si>
  <si>
    <t>区残疾人联合会</t>
  </si>
  <si>
    <t>残疾人医疗康复救助基金区级配套</t>
  </si>
  <si>
    <t>0-6周岁残疾儿童康复训练购买服务经费</t>
  </si>
  <si>
    <t>2296006</t>
  </si>
  <si>
    <t>2021年度市级福彩公益金</t>
  </si>
  <si>
    <t>2296002</t>
  </si>
  <si>
    <t>2021年中央专项彩票公益金支持地方社会公益事业发展资金-0-6岁残疾儿童机构康复（汕市财社〔2021〕178号）</t>
  </si>
  <si>
    <t>2021中央集中彩票公益金支持社会福利事业专项资金（濠江区）-广澳街道</t>
  </si>
  <si>
    <t>二、消化2022年暂付款调整支出</t>
  </si>
  <si>
    <t>三、调出资金</t>
  </si>
  <si>
    <t>四、上年结转支出</t>
  </si>
  <si>
    <t>五、新增专项债券支出</t>
  </si>
  <si>
    <t>附表9</t>
  </si>
  <si>
    <t>汕头市濠江区2023年国有资本经营预算收入计划调整表</t>
  </si>
  <si>
    <t>一、国有资本经营收入</t>
  </si>
  <si>
    <t xml:space="preserve">    1.利润收入</t>
  </si>
  <si>
    <t xml:space="preserve">    2.股利、股息收入</t>
  </si>
  <si>
    <t xml:space="preserve">    3.产权转让收入</t>
  </si>
  <si>
    <t xml:space="preserve">    4.清算收入</t>
  </si>
  <si>
    <t xml:space="preserve">    5.其他国有资本经营预算收入</t>
  </si>
  <si>
    <t>二、上级专项补助收入</t>
  </si>
  <si>
    <t>三、上年结余收入</t>
  </si>
  <si>
    <t xml:space="preserve">    其中：净结余</t>
  </si>
  <si>
    <t>附表10</t>
  </si>
  <si>
    <t>汕头市濠江区2023年国有资本经营预算支出计划调整表</t>
  </si>
  <si>
    <t>一、国有资本经营预算支出</t>
  </si>
  <si>
    <t>解决历史遗留问题及改革成本支出</t>
  </si>
  <si>
    <t>国有企业退休人员社会化管理补助支出</t>
  </si>
  <si>
    <t>其他解决历史遗留问题及改革成本支出</t>
  </si>
  <si>
    <t>国有企业资本金注入</t>
  </si>
  <si>
    <t>其他国有企业资本金注入</t>
  </si>
  <si>
    <t>其他国有资本经营预算支出</t>
  </si>
  <si>
    <t>二、转移性支出</t>
  </si>
  <si>
    <t>附表11</t>
  </si>
  <si>
    <t>汕头市濠江区2023年社会保险基金预算收入计划调整表</t>
  </si>
  <si>
    <t>科目</t>
  </si>
  <si>
    <t>一、社会保险基金预算收入</t>
  </si>
  <si>
    <t xml:space="preserve">    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</si>
  <si>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</si>
  <si>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</si>
  <si>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</si>
  <si>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机关事业单位基本养老保险基金转移收入</t>
  </si>
  <si>
    <t xml:space="preserve">       机关事业单位基本养老保险基金其他收入</t>
  </si>
  <si>
    <t xml:space="preserve">     上年结余收入</t>
  </si>
  <si>
    <t xml:space="preserve">         机关养老保险</t>
  </si>
  <si>
    <t xml:space="preserve">     机关事业单位基本养老保险基金上级补助收入</t>
  </si>
  <si>
    <t>附表十二</t>
  </si>
  <si>
    <t>附表12</t>
  </si>
  <si>
    <t>汕头市濠江区2023年社会保险基金预算支出计划调整表</t>
  </si>
  <si>
    <t>科目分类</t>
  </si>
  <si>
    <t>209</t>
  </si>
  <si>
    <t>社会保险基金预算支出</t>
  </si>
  <si>
    <t xml:space="preserve">   机关事业单位基本养老保险基金支出</t>
  </si>
  <si>
    <t xml:space="preserve">     基本养老金支出</t>
  </si>
  <si>
    <t xml:space="preserve">     转移支出</t>
  </si>
  <si>
    <t xml:space="preserve">     其他支出</t>
  </si>
  <si>
    <t>230</t>
  </si>
  <si>
    <t xml:space="preserve">   机关事业单位基本养老保险基金上解上级支出</t>
  </si>
  <si>
    <t>2300903</t>
  </si>
  <si>
    <t xml:space="preserve">   社会保险基金预算年终结余</t>
  </si>
  <si>
    <t xml:space="preserve">       机关养老保险年终结余</t>
  </si>
  <si>
    <t>附表13</t>
  </si>
  <si>
    <t>汕头市濠江区2023年新增债券资金年限利率表</t>
  </si>
  <si>
    <t>债券类型</t>
  </si>
  <si>
    <t>债券期限</t>
  </si>
  <si>
    <t>其中：</t>
  </si>
  <si>
    <t>1月发行
（已纳入年初预算）</t>
  </si>
  <si>
    <t>4月发行</t>
  </si>
  <si>
    <t>5月发行</t>
  </si>
  <si>
    <t>8月上旬发行</t>
  </si>
  <si>
    <t>8月下旬发行</t>
  </si>
  <si>
    <t>金额</t>
  </si>
  <si>
    <t>利率</t>
  </si>
  <si>
    <t>一般债券</t>
  </si>
  <si>
    <t>10年</t>
  </si>
  <si>
    <t>专项债券</t>
  </si>
  <si>
    <t>15年</t>
  </si>
  <si>
    <t>20年</t>
  </si>
  <si>
    <t>30年</t>
  </si>
  <si>
    <t>15年（分年还本，第11-15年每年还本20%）</t>
  </si>
  <si>
    <t>30年（分年还本，第21-30年每年还本10%）</t>
  </si>
  <si>
    <t>附表14</t>
  </si>
  <si>
    <t>汕头市濠江区2023年新增债券资金分配表</t>
  </si>
  <si>
    <t>项目单位</t>
  </si>
  <si>
    <t>调整</t>
  </si>
  <si>
    <t>9月调整</t>
  </si>
  <si>
    <t>11月调整</t>
  </si>
  <si>
    <t>债券名称</t>
  </si>
  <si>
    <t>合计（17个）</t>
  </si>
  <si>
    <t>（一）一般债券小计（4个）</t>
  </si>
  <si>
    <t>汕头市濠江区住房和城乡建设局</t>
  </si>
  <si>
    <t>汕头市濠江区东湖路（X053河棣线东湖至澳头线）及延长线改造工程以及汕头市濠江区濠江一桥建设工程</t>
  </si>
  <si>
    <t>2023年广东省政府一般债券（一期）</t>
  </si>
  <si>
    <t>2023年广东省政府一般债券（九期）</t>
  </si>
  <si>
    <t>汕头市濠江区水利与渔港建设管养中心</t>
  </si>
  <si>
    <t>濠江区铁鸟坑水库、大脚虾水库、陈厝坑水库、长坑水库除险加固工程</t>
  </si>
  <si>
    <t>濠江区水望底水库、东南坑水库、井仔内水库、径内水库除险加固工程</t>
  </si>
  <si>
    <t>2023年广东省政府一般债券（十三期）</t>
  </si>
  <si>
    <t>汕头市濠江区教育局</t>
  </si>
  <si>
    <t>濠江区教育校舍综合改造及运动场配套设施建设项目</t>
  </si>
  <si>
    <t>2023年广东省政府一般债券（十一期）</t>
  </si>
  <si>
    <t>（二）专项债券小计（13个）</t>
  </si>
  <si>
    <t>汕头市濠江区人民政府达濠街道办事处</t>
  </si>
  <si>
    <t>汕头市达濠古城及周边老旧小区改造项目</t>
  </si>
  <si>
    <t>2023年广东省政府专项债券（三期）</t>
  </si>
  <si>
    <t>2023年广东省政府专项债券（三十五期）</t>
  </si>
  <si>
    <t>2023年广东省政府专项债券（五十二期）</t>
  </si>
  <si>
    <t>汕头市濠江区卫生健康局</t>
  </si>
  <si>
    <t>汕头市濠江区公共医疗卫生基础设施及信息化改造提升工程项目</t>
  </si>
  <si>
    <t>汕头市濠江区乡村振兴战略发展中心</t>
  </si>
  <si>
    <t>汕头市濠江区乡村振兴示范带建设项目（一期）</t>
  </si>
  <si>
    <t>汕头市濠江区农产品质量安全中心</t>
  </si>
  <si>
    <t>濠江区农田综合整治项目</t>
  </si>
  <si>
    <t>2023年广东省政府专项债券（二十二期）</t>
  </si>
  <si>
    <t>濠江区东湖园区基础设施及污水管网建设项目</t>
  </si>
  <si>
    <t>2023年广东省政府专项债券（五期）</t>
  </si>
  <si>
    <t>2023年广东省政府专项债券（二十三期）</t>
  </si>
  <si>
    <t>新建汕头至汕尾铁路汕头南站项目</t>
  </si>
  <si>
    <t>2023年广东省政府专项债券（十三期）</t>
  </si>
  <si>
    <t>汕头市濠江区渔港新产业集聚与综合体验区建设项目</t>
  </si>
  <si>
    <t>2023年广东省政府专项债券（二十五期）</t>
  </si>
  <si>
    <t>2023年广东省政府专项债券（五十五期）</t>
  </si>
  <si>
    <t>汕头南站站前广场建设项目（配套项目）</t>
  </si>
  <si>
    <t>2023年广东省政府专项债券（二十七期）</t>
  </si>
  <si>
    <t>2023年广东省政府专项债券（三十六期）</t>
  </si>
  <si>
    <t>2023年广东省政府专项债券（五十四期）</t>
  </si>
  <si>
    <t>汕头市濠江区城市管理和综合执法局</t>
  </si>
  <si>
    <t>濠江区城乡基础设施治理及配套建设项目</t>
  </si>
  <si>
    <t>汕头市濠江区工业园区办公室</t>
  </si>
  <si>
    <t>汕头市滨海临港产业片区基础设施配套项目</t>
  </si>
  <si>
    <t>2023年广东省政府专项债券（三十七期）</t>
  </si>
  <si>
    <t>汕头海上风电产业园基础设施配套项目</t>
  </si>
  <si>
    <t>2023年广东省政府专项债券（四十期）</t>
  </si>
  <si>
    <t>2023年广东省政府专项债券（五十七期）</t>
  </si>
  <si>
    <t>汕头国际风电创新港基础设施配套项目</t>
  </si>
  <si>
    <t>汕头市濠江区水利设施和水系综合治理建设项目</t>
  </si>
  <si>
    <t>附表15</t>
  </si>
  <si>
    <t>汕头市濠江区新增债券资金用途调整明细表</t>
  </si>
  <si>
    <t>地市</t>
  </si>
  <si>
    <t>债券全称</t>
  </si>
  <si>
    <t>发行
年度</t>
  </si>
  <si>
    <t>原项目信息</t>
  </si>
  <si>
    <t>调整情形</t>
  </si>
  <si>
    <t>拟调整项目信息</t>
  </si>
  <si>
    <t>县区</t>
  </si>
  <si>
    <t>建设状态</t>
  </si>
  <si>
    <t>本次拟调整用途金额</t>
  </si>
  <si>
    <t>其中：用于资本金金额</t>
  </si>
  <si>
    <t>项目投向</t>
  </si>
  <si>
    <t>本次拟安排债券金额</t>
  </si>
  <si>
    <t>汕头市</t>
  </si>
  <si>
    <t>2022年广东省政府专项债券（二十四期）</t>
  </si>
  <si>
    <t>2022年</t>
  </si>
  <si>
    <t>濠江区</t>
  </si>
  <si>
    <t>濠江区学前教育园舍及配套设施建设项目</t>
  </si>
  <si>
    <t>在建</t>
  </si>
  <si>
    <t>其他需要调整情形</t>
  </si>
  <si>
    <t>产业园区基础设施</t>
  </si>
  <si>
    <t>濠江区医疗产业园区基础设施建设项目</t>
  </si>
  <si>
    <t>其他农村建设</t>
  </si>
  <si>
    <t>濠江区迎亚青会礐石大桥南岸片区及南滨基础设施改造项目</t>
  </si>
  <si>
    <t>2022年广东省政府专项债券（二十一期）</t>
  </si>
  <si>
    <t>汕头市濠江区河玉围农田片区综合整治项目</t>
  </si>
  <si>
    <t>高标准农田建设</t>
  </si>
  <si>
    <t>2022年广东省政府专项债券（二十二期）</t>
  </si>
  <si>
    <t>汕头市濠江区会汀港排洪渠污水整治及生态修复工程</t>
  </si>
  <si>
    <t>城镇老旧小区改造</t>
  </si>
  <si>
    <t>2022年广东省政府专项债券（三十期）</t>
  </si>
  <si>
    <t>汕头市濠江区疾病预防控制中心易地重建工程</t>
  </si>
  <si>
    <t>公共卫生设施</t>
  </si>
  <si>
    <t>2022年广东省政府专项债券（十五期）</t>
  </si>
  <si>
    <t>汕头市濠江区老旧小区改造项目</t>
  </si>
  <si>
    <t>2022年广东省政府专项债券（二十九期）</t>
  </si>
  <si>
    <t>汕头市台商投资区（濠江区二期）市政配套工程、台商投资区产业公园（一期）</t>
  </si>
  <si>
    <t>2023年</t>
  </si>
  <si>
    <t>未开工</t>
  </si>
  <si>
    <t>附表16</t>
  </si>
  <si>
    <t>汕头市濠江区2023年收回存量资金及安排表</t>
  </si>
  <si>
    <t>收回存量资金收入合计</t>
  </si>
  <si>
    <t>汕头海上风电产业园基础设施配套项目（2022年重大项目前期工作经费）</t>
  </si>
  <si>
    <t>年初预算原列2165万元，已使用100万元，余额重新收回。</t>
  </si>
  <si>
    <t>财政委托业务支出经费</t>
  </si>
  <si>
    <t>年初预算原列507万元，已使用28万元，余额重新收回。</t>
  </si>
  <si>
    <t>各单位</t>
  </si>
  <si>
    <t>缴入存量资金</t>
  </si>
  <si>
    <t>上年度多计提利息挂账</t>
  </si>
  <si>
    <t>安排存量资金支出合计</t>
  </si>
  <si>
    <t>工业用地划拨成本</t>
  </si>
  <si>
    <t>结余</t>
  </si>
  <si>
    <t>年度终了时将12月收回的存量资金和本次结余资金统筹用于预算内项目。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</si>
</sst>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_ "/>
    <numFmt numFmtId="178" formatCode="0.00_ "/>
    <numFmt numFmtId="179" formatCode="#,##0_ "/>
    <numFmt numFmtId="180" formatCode="0.000000_);[Red]\(0.000000\)"/>
    <numFmt numFmtId="181" formatCode="0.00_);[Red]\(0.00\)"/>
    <numFmt numFmtId="182" formatCode="#,##0.0000_ "/>
    <numFmt numFmtId="183" formatCode="0_);[Red]\(0\)"/>
    <numFmt numFmtId="184" formatCode="00000"/>
    <numFmt numFmtId="185" formatCode="0.0000000_ "/>
    <numFmt numFmtId="186" formatCode="#,##0.00_ "/>
    <numFmt numFmtId="187" formatCode="#,##0.0_ "/>
  </numFmts>
  <fonts count="69">
    <font>
      <sz val="12"/>
      <name val="宋体"/>
      <charset val="134"/>
    </font>
    <font>
      <sz val="11"/>
      <color indexed="8"/>
      <name val="宋体"/>
      <charset val="134"/>
    </font>
    <font>
      <sz val="11"/>
      <color theme="1"/>
      <name val="宋体"/>
      <charset val="134"/>
      <scheme val="minor"/>
    </font>
    <font>
      <b/>
      <sz val="20"/>
      <color indexed="8"/>
      <name val="宋体"/>
      <charset val="134"/>
    </font>
    <font>
      <sz val="11"/>
      <color indexed="8"/>
      <name val="宋体"/>
      <charset val="134"/>
      <scheme val="minor"/>
    </font>
    <font>
      <b/>
      <sz val="12"/>
      <color indexed="8"/>
      <name val="宋体"/>
      <charset val="134"/>
      <scheme val="minor"/>
    </font>
    <font>
      <b/>
      <sz val="11"/>
      <color indexed="8"/>
      <name val="宋体"/>
      <charset val="134"/>
      <scheme val="minor"/>
    </font>
    <font>
      <b/>
      <sz val="11"/>
      <name val="Times New Roman"/>
      <charset val="134"/>
    </font>
    <font>
      <sz val="11"/>
      <name val="Times New Roman"/>
      <charset val="134"/>
    </font>
    <font>
      <b/>
      <sz val="11"/>
      <name val="宋体"/>
      <charset val="134"/>
    </font>
    <font>
      <sz val="11"/>
      <name val="宋体"/>
      <charset val="134"/>
    </font>
    <font>
      <b/>
      <sz val="12"/>
      <name val="宋体"/>
      <charset val="134"/>
    </font>
    <font>
      <sz val="11"/>
      <color theme="1"/>
      <name val="宋体"/>
      <charset val="134"/>
    </font>
    <font>
      <b/>
      <sz val="20"/>
      <name val="宋体"/>
      <charset val="134"/>
    </font>
    <font>
      <sz val="48"/>
      <color theme="1"/>
      <name val="宋体"/>
      <charset val="134"/>
    </font>
    <font>
      <b/>
      <sz val="11"/>
      <color theme="1"/>
      <name val="宋体"/>
      <charset val="134"/>
    </font>
    <font>
      <b/>
      <sz val="12"/>
      <color theme="1"/>
      <name val="宋体"/>
      <charset val="134"/>
    </font>
    <font>
      <b/>
      <sz val="16"/>
      <color theme="1"/>
      <name val="宋体"/>
      <charset val="134"/>
    </font>
    <font>
      <sz val="16"/>
      <color theme="1"/>
      <name val="宋体"/>
      <charset val="134"/>
    </font>
    <font>
      <sz val="12"/>
      <color theme="1"/>
      <name val="宋体"/>
      <charset val="134"/>
    </font>
    <font>
      <b/>
      <sz val="36"/>
      <color theme="1"/>
      <name val="宋体"/>
      <charset val="134"/>
    </font>
    <font>
      <b/>
      <sz val="11"/>
      <color theme="1"/>
      <name val="宋体"/>
      <charset val="0"/>
    </font>
    <font>
      <b/>
      <sz val="20"/>
      <color theme="1"/>
      <name val="宋体"/>
      <charset val="134"/>
    </font>
    <font>
      <sz val="9"/>
      <name val="宋体"/>
      <charset val="134"/>
    </font>
    <font>
      <b/>
      <sz val="9"/>
      <name val="宋体"/>
      <charset val="134"/>
    </font>
    <font>
      <b/>
      <sz val="11"/>
      <name val="宋体"/>
      <charset val="134"/>
      <scheme val="minor"/>
    </font>
    <font>
      <sz val="11"/>
      <name val="宋体"/>
      <charset val="134"/>
      <scheme val="minor"/>
    </font>
    <font>
      <sz val="10"/>
      <name val="宋体"/>
      <charset val="134"/>
    </font>
    <font>
      <b/>
      <sz val="10"/>
      <name val="Times New Roman"/>
      <charset val="134"/>
    </font>
    <font>
      <sz val="10"/>
      <name val="Times New Roman"/>
      <charset val="134"/>
    </font>
    <font>
      <b/>
      <sz val="10"/>
      <name val="宋体"/>
      <charset val="134"/>
    </font>
    <font>
      <b/>
      <sz val="12"/>
      <name val="Arial"/>
      <charset val="0"/>
    </font>
    <font>
      <sz val="8"/>
      <name val="宋体"/>
      <charset val="134"/>
    </font>
    <font>
      <b/>
      <sz val="20"/>
      <name val="宋体"/>
      <charset val="134"/>
      <scheme val="major"/>
    </font>
    <font>
      <sz val="11"/>
      <color theme="1"/>
      <name val="Times New Roman"/>
      <charset val="134"/>
    </font>
    <font>
      <b/>
      <sz val="11"/>
      <color indexed="8"/>
      <name val="宋体"/>
      <charset val="134"/>
    </font>
    <font>
      <b/>
      <sz val="11"/>
      <color theme="1"/>
      <name val="Times New Roman"/>
      <charset val="134"/>
    </font>
    <font>
      <b/>
      <sz val="11"/>
      <color theme="1"/>
      <name val="Tahoma"/>
      <charset val="134"/>
    </font>
    <font>
      <sz val="10"/>
      <color theme="1"/>
      <name val="仿宋"/>
      <charset val="134"/>
    </font>
    <font>
      <b/>
      <sz val="10"/>
      <color theme="1"/>
      <name val="仿宋"/>
      <charset val="134"/>
    </font>
    <font>
      <b/>
      <sz val="11"/>
      <color indexed="8"/>
      <name val="Times New Roman"/>
      <charset val="134"/>
    </font>
    <font>
      <sz val="11"/>
      <color indexed="8"/>
      <name val="Times New Roman"/>
      <charset val="134"/>
    </font>
    <font>
      <sz val="20"/>
      <name val="宋体"/>
      <charset val="134"/>
    </font>
    <font>
      <b/>
      <sz val="12"/>
      <name val="宋体"/>
      <charset val="134"/>
      <scheme val="major"/>
    </font>
    <font>
      <sz val="10"/>
      <color indexed="8"/>
      <name val="宋体"/>
      <charset val="134"/>
      <scheme val="minor"/>
    </font>
    <font>
      <sz val="16"/>
      <name val="宋体"/>
      <charset val="134"/>
    </font>
    <font>
      <b/>
      <sz val="2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font>
    <font>
      <b/>
      <sz val="9"/>
      <name val="宋体"/>
      <charset val="134"/>
    </font>
  </fonts>
  <fills count="39">
    <fill>
      <patternFill patternType="none"/>
    </fill>
    <fill>
      <patternFill patternType="gray125"/>
    </fill>
    <fill>
      <patternFill patternType="solid">
        <fgColor rgb="FFFFFF00"/>
        <bgColor indexed="64"/>
      </patternFill>
    </fill>
    <fill>
      <patternFill patternType="solid">
        <fgColor theme="0" tint="-0.5"/>
        <bgColor indexed="64"/>
      </patternFill>
    </fill>
    <fill>
      <patternFill patternType="solid">
        <fgColor rgb="FF92D050"/>
        <bgColor indexed="64"/>
      </patternFill>
    </fill>
    <fill>
      <patternFill patternType="solid">
        <fgColor rgb="FFFF0000"/>
        <bgColor indexed="64"/>
      </patternFill>
    </fill>
    <fill>
      <patternFill patternType="solid">
        <fgColor theme="0" tint="-0.35"/>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8" borderId="14"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5" applyNumberFormat="0" applyFill="0" applyAlignment="0" applyProtection="0">
      <alignment vertical="center"/>
    </xf>
    <xf numFmtId="0" fontId="53" fillId="0" borderId="15" applyNumberFormat="0" applyFill="0" applyAlignment="0" applyProtection="0">
      <alignment vertical="center"/>
    </xf>
    <xf numFmtId="0" fontId="54" fillId="0" borderId="16" applyNumberFormat="0" applyFill="0" applyAlignment="0" applyProtection="0">
      <alignment vertical="center"/>
    </xf>
    <xf numFmtId="0" fontId="54" fillId="0" borderId="0" applyNumberFormat="0" applyFill="0" applyBorder="0" applyAlignment="0" applyProtection="0">
      <alignment vertical="center"/>
    </xf>
    <xf numFmtId="0" fontId="55" fillId="9" borderId="17" applyNumberFormat="0" applyAlignment="0" applyProtection="0">
      <alignment vertical="center"/>
    </xf>
    <xf numFmtId="0" fontId="56" fillId="10" borderId="18" applyNumberFormat="0" applyAlignment="0" applyProtection="0">
      <alignment vertical="center"/>
    </xf>
    <xf numFmtId="0" fontId="57" fillId="10" borderId="17" applyNumberFormat="0" applyAlignment="0" applyProtection="0">
      <alignment vertical="center"/>
    </xf>
    <xf numFmtId="0" fontId="58" fillId="11" borderId="19" applyNumberFormat="0" applyAlignment="0" applyProtection="0">
      <alignment vertical="center"/>
    </xf>
    <xf numFmtId="0" fontId="59" fillId="0" borderId="20" applyNumberFormat="0" applyFill="0" applyAlignment="0" applyProtection="0">
      <alignment vertical="center"/>
    </xf>
    <xf numFmtId="0" fontId="60" fillId="0" borderId="21" applyNumberFormat="0" applyFill="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64" fillId="38" borderId="0" applyNumberFormat="0" applyBorder="0" applyAlignment="0" applyProtection="0">
      <alignment vertical="center"/>
    </xf>
    <xf numFmtId="0" fontId="0" fillId="0" borderId="0">
      <alignment vertical="center"/>
    </xf>
    <xf numFmtId="0" fontId="1" fillId="0" borderId="0"/>
    <xf numFmtId="0" fontId="66" fillId="0" borderId="0"/>
    <xf numFmtId="0" fontId="27" fillId="0" borderId="0"/>
    <xf numFmtId="0" fontId="27" fillId="0" borderId="0"/>
    <xf numFmtId="0" fontId="27" fillId="0" borderId="0"/>
    <xf numFmtId="0" fontId="1" fillId="0" borderId="0">
      <alignment vertical="center"/>
    </xf>
    <xf numFmtId="0" fontId="2" fillId="0" borderId="0">
      <alignment vertical="center"/>
    </xf>
    <xf numFmtId="0" fontId="0" fillId="0" borderId="0"/>
    <xf numFmtId="0" fontId="0" fillId="0" borderId="0"/>
    <xf numFmtId="0" fontId="2" fillId="0" borderId="0"/>
    <xf numFmtId="0" fontId="0" fillId="0" borderId="0"/>
    <xf numFmtId="176" fontId="0" fillId="0" borderId="0" applyFont="0" applyFill="0" applyBorder="0" applyAlignment="0" applyProtection="0">
      <alignment vertical="center"/>
    </xf>
    <xf numFmtId="43" fontId="0" fillId="0" borderId="0" applyFont="0" applyFill="0" applyBorder="0" applyAlignment="0" applyProtection="0"/>
  </cellStyleXfs>
  <cellXfs count="360">
    <xf numFmtId="0" fontId="0" fillId="0" borderId="0" xfId="0"/>
    <xf numFmtId="0" fontId="1" fillId="0" borderId="0" xfId="0" applyFont="1" applyFill="1" applyBorder="1" applyAlignment="1">
      <alignment vertical="center" wrapText="1"/>
    </xf>
    <xf numFmtId="177" fontId="1" fillId="0" borderId="0" xfId="0" applyNumberFormat="1" applyFont="1" applyFill="1" applyBorder="1" applyAlignment="1">
      <alignment vertical="center" wrapText="1"/>
    </xf>
    <xf numFmtId="178" fontId="1" fillId="0" borderId="0" xfId="0" applyNumberFormat="1"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179" fontId="7" fillId="2" borderId="1" xfId="62" applyNumberFormat="1" applyFont="1" applyFill="1" applyBorder="1" applyAlignment="1">
      <alignment horizontal="right" vertical="center" wrapText="1"/>
    </xf>
    <xf numFmtId="0" fontId="6" fillId="2" borderId="1" xfId="0" applyFont="1" applyFill="1" applyBorder="1" applyAlignment="1">
      <alignment vertical="center"/>
    </xf>
    <xf numFmtId="0" fontId="4" fillId="0" borderId="1" xfId="0" applyFont="1" applyFill="1" applyBorder="1" applyAlignment="1">
      <alignment vertical="center" wrapText="1"/>
    </xf>
    <xf numFmtId="179" fontId="8" fillId="0" borderId="1" xfId="62"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xf>
    <xf numFmtId="0" fontId="4" fillId="0" borderId="1" xfId="0" applyFont="1" applyFill="1" applyBorder="1" applyAlignment="1">
      <alignment vertical="center"/>
    </xf>
    <xf numFmtId="0" fontId="10" fillId="2" borderId="1"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10" fillId="0" borderId="0" xfId="0" applyFont="1" applyFill="1" applyBorder="1" applyAlignment="1">
      <alignment horizontal="left" vertical="center" wrapText="1"/>
    </xf>
    <xf numFmtId="177" fontId="10" fillId="0" borderId="0" xfId="0" applyNumberFormat="1" applyFont="1" applyFill="1" applyBorder="1" applyAlignment="1">
      <alignment vertical="center" wrapText="1"/>
    </xf>
    <xf numFmtId="0" fontId="13"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43" fontId="10"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3" fontId="11"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0" xfId="0" applyNumberFormat="1" applyFont="1" applyFill="1" applyBorder="1" applyAlignment="1">
      <alignment vertical="center" wrapText="1"/>
    </xf>
    <xf numFmtId="0" fontId="10"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43" fontId="11" fillId="0" borderId="2"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2" fillId="0" borderId="0" xfId="0" applyFont="1" applyFill="1" applyBorder="1" applyAlignment="1">
      <alignment vertical="center"/>
    </xf>
    <xf numFmtId="177" fontId="12" fillId="0" borderId="0" xfId="0" applyNumberFormat="1" applyFont="1" applyFill="1" applyBorder="1" applyAlignment="1">
      <alignment vertical="center"/>
    </xf>
    <xf numFmtId="177" fontId="19" fillId="0" borderId="0" xfId="0" applyNumberFormat="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0" fillId="0" borderId="0" xfId="0" applyFont="1" applyFill="1" applyBorder="1" applyAlignment="1">
      <alignment horizontal="left" vertical="center"/>
    </xf>
    <xf numFmtId="177" fontId="10" fillId="0" borderId="0" xfId="0" applyNumberFormat="1" applyFont="1" applyFill="1" applyBorder="1" applyAlignment="1">
      <alignment vertical="center"/>
    </xf>
    <xf numFmtId="0" fontId="20" fillId="0" borderId="0"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43" fontId="15" fillId="0" borderId="1" xfId="0" applyNumberFormat="1" applyFont="1" applyFill="1" applyBorder="1" applyAlignment="1">
      <alignment horizontal="center" vertical="center" wrapText="1"/>
    </xf>
    <xf numFmtId="179" fontId="7" fillId="0" borderId="1" xfId="62" applyNumberFormat="1" applyFont="1" applyFill="1" applyBorder="1" applyAlignment="1">
      <alignment horizontal="right" vertical="center" wrapText="1"/>
    </xf>
    <xf numFmtId="179" fontId="21" fillId="0" borderId="1" xfId="0" applyNumberFormat="1" applyFont="1" applyFill="1" applyBorder="1" applyAlignment="1">
      <alignment horizontal="right" vertical="center"/>
    </xf>
    <xf numFmtId="43" fontId="15" fillId="0" borderId="2" xfId="0" applyNumberFormat="1" applyFont="1" applyFill="1" applyBorder="1" applyAlignment="1">
      <alignment horizontal="left" vertical="center" wrapText="1"/>
    </xf>
    <xf numFmtId="43" fontId="15" fillId="0" borderId="7" xfId="0" applyNumberFormat="1" applyFont="1" applyFill="1" applyBorder="1" applyAlignment="1">
      <alignment horizontal="left" vertical="center" wrapText="1"/>
    </xf>
    <xf numFmtId="43" fontId="15" fillId="0" borderId="9"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0" xfId="0" applyNumberFormat="1" applyFont="1" applyFill="1" applyBorder="1" applyAlignment="1">
      <alignment vertical="center"/>
    </xf>
    <xf numFmtId="0" fontId="12" fillId="0" borderId="0" xfId="0" applyFont="1" applyFill="1" applyBorder="1" applyAlignment="1">
      <alignment horizontal="righ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8" fillId="0" borderId="1" xfId="0" applyFont="1" applyFill="1" applyBorder="1" applyAlignment="1">
      <alignment vertical="center"/>
    </xf>
    <xf numFmtId="0" fontId="22" fillId="0" borderId="0" xfId="0"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0" fontId="8" fillId="0" borderId="1" xfId="62" applyNumberFormat="1" applyFont="1" applyFill="1" applyBorder="1" applyAlignment="1">
      <alignment horizontal="right" vertical="center" wrapText="1"/>
    </xf>
    <xf numFmtId="0" fontId="2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49" fontId="0" fillId="0" borderId="0" xfId="60" applyNumberFormat="1" applyFill="1" applyBorder="1" applyAlignment="1">
      <alignment horizontal="center" vertical="center"/>
    </xf>
    <xf numFmtId="49" fontId="10" fillId="0" borderId="0" xfId="60" applyNumberFormat="1" applyFont="1" applyFill="1" applyBorder="1" applyAlignment="1">
      <alignment horizontal="left" vertical="center"/>
    </xf>
    <xf numFmtId="0" fontId="13" fillId="0" borderId="0" xfId="0" applyFont="1" applyFill="1" applyBorder="1" applyAlignment="1">
      <alignment horizontal="center" vertical="center"/>
    </xf>
    <xf numFmtId="49" fontId="24" fillId="0" borderId="0" xfId="0" applyNumberFormat="1" applyFont="1" applyFill="1" applyBorder="1" applyAlignment="1">
      <alignment vertical="center" wrapText="1"/>
    </xf>
    <xf numFmtId="0" fontId="10" fillId="0" borderId="0" xfId="0" applyFont="1" applyFill="1" applyBorder="1" applyAlignment="1">
      <alignment horizontal="right" vertical="center"/>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11" fillId="0" borderId="1" xfId="0"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0" fontId="0" fillId="0" borderId="1" xfId="0" applyFont="1" applyFill="1" applyBorder="1" applyAlignment="1">
      <alignment vertical="center"/>
    </xf>
    <xf numFmtId="177" fontId="10" fillId="0" borderId="1" xfId="1" applyNumberFormat="1" applyFont="1" applyFill="1" applyBorder="1" applyAlignment="1">
      <alignment horizontal="right" vertical="center"/>
    </xf>
    <xf numFmtId="0" fontId="9" fillId="0" borderId="1" xfId="0" applyFont="1" applyFill="1" applyBorder="1" applyAlignment="1">
      <alignment horizontal="center" vertical="center"/>
    </xf>
    <xf numFmtId="177" fontId="9" fillId="0" borderId="1" xfId="1" applyNumberFormat="1" applyFont="1" applyFill="1" applyBorder="1" applyAlignment="1">
      <alignment horizontal="right" vertical="center"/>
    </xf>
    <xf numFmtId="0" fontId="11" fillId="0" borderId="10"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0" fontId="23"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49" fontId="0" fillId="0" borderId="0" xfId="60" applyNumberFormat="1" applyAlignment="1">
      <alignment horizontal="center" vertical="center"/>
    </xf>
    <xf numFmtId="0" fontId="0" fillId="0" borderId="0" xfId="60" applyAlignment="1">
      <alignment vertical="center"/>
    </xf>
    <xf numFmtId="0" fontId="0" fillId="0" borderId="0" xfId="0" applyFont="1" applyAlignment="1">
      <alignment vertical="center"/>
    </xf>
    <xf numFmtId="49" fontId="10" fillId="0" borderId="0" xfId="60" applyNumberFormat="1" applyFont="1" applyFill="1" applyAlignment="1">
      <alignment horizontal="left" vertical="center"/>
    </xf>
    <xf numFmtId="0" fontId="13" fillId="0" borderId="0" xfId="0" applyFont="1" applyFill="1" applyAlignment="1">
      <alignment horizontal="center" vertical="center"/>
    </xf>
    <xf numFmtId="49" fontId="24" fillId="0" borderId="0" xfId="0" applyNumberFormat="1" applyFont="1" applyFill="1" applyAlignment="1">
      <alignment vertical="center" wrapText="1"/>
    </xf>
    <xf numFmtId="0" fontId="24" fillId="0" borderId="0" xfId="0" applyFont="1" applyFill="1" applyAlignment="1">
      <alignment vertical="center" wrapText="1"/>
    </xf>
    <xf numFmtId="0" fontId="23" fillId="0" borderId="0" xfId="0" applyFont="1" applyFill="1" applyAlignment="1">
      <alignment vertical="center"/>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2"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10" fillId="0" borderId="0" xfId="0" applyFont="1" applyFill="1" applyAlignment="1">
      <alignment horizontal="right"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0" xfId="0" applyFont="1"/>
    <xf numFmtId="0" fontId="11" fillId="0" borderId="0" xfId="0" applyFont="1" applyAlignment="1">
      <alignment vertical="center"/>
    </xf>
    <xf numFmtId="0" fontId="10" fillId="0" borderId="0" xfId="0" applyFont="1" applyFill="1" applyAlignment="1">
      <alignment horizontal="left" vertical="center"/>
    </xf>
    <xf numFmtId="0" fontId="11" fillId="0" borderId="10" xfId="0" applyFont="1" applyFill="1" applyBorder="1" applyAlignment="1">
      <alignment horizontal="center" vertical="center"/>
    </xf>
    <xf numFmtId="41" fontId="9" fillId="0" borderId="1" xfId="0" applyNumberFormat="1" applyFont="1" applyFill="1" applyBorder="1" applyAlignment="1">
      <alignment horizontal="left" vertical="center"/>
    </xf>
    <xf numFmtId="0" fontId="11" fillId="0" borderId="0" xfId="0" applyFont="1" applyFill="1" applyBorder="1" applyAlignment="1">
      <alignment vertical="center"/>
    </xf>
    <xf numFmtId="41" fontId="10" fillId="0" borderId="1" xfId="0" applyNumberFormat="1" applyFont="1" applyFill="1" applyBorder="1" applyAlignment="1">
      <alignment horizontal="left" vertical="center"/>
    </xf>
    <xf numFmtId="0" fontId="0" fillId="0" borderId="1" xfId="0" applyFont="1" applyFill="1" applyBorder="1" applyAlignment="1">
      <alignment horizontal="right" vertical="center"/>
    </xf>
    <xf numFmtId="41" fontId="9" fillId="0" borderId="1" xfId="0" applyNumberFormat="1" applyFont="1" applyFill="1" applyBorder="1" applyAlignment="1">
      <alignment horizontal="center" vertical="center"/>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right" vertical="center" wrapText="1"/>
    </xf>
    <xf numFmtId="0" fontId="11" fillId="3"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179" fontId="7" fillId="2" borderId="1" xfId="0" applyNumberFormat="1" applyFont="1" applyFill="1" applyBorder="1" applyAlignment="1">
      <alignment horizontal="right"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177" fontId="10" fillId="2"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right" vertical="center" wrapText="1"/>
    </xf>
    <xf numFmtId="179" fontId="8" fillId="2" borderId="1" xfId="0" applyNumberFormat="1"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49" fontId="8" fillId="0" borderId="1" xfId="0" applyNumberFormat="1" applyFont="1" applyFill="1" applyBorder="1" applyAlignment="1">
      <alignment horizontal="right" vertical="center" wrapText="1"/>
    </xf>
    <xf numFmtId="49" fontId="8" fillId="2" borderId="1" xfId="0" applyNumberFormat="1" applyFont="1" applyFill="1" applyBorder="1" applyAlignment="1">
      <alignment horizontal="right" vertical="center" wrapText="1"/>
    </xf>
    <xf numFmtId="49" fontId="8" fillId="4" borderId="1" xfId="0" applyNumberFormat="1" applyFont="1" applyFill="1" applyBorder="1" applyAlignment="1">
      <alignment horizontal="right" vertical="center" wrapText="1"/>
    </xf>
    <xf numFmtId="181" fontId="10" fillId="0" borderId="1" xfId="0" applyNumberFormat="1" applyFont="1" applyFill="1" applyBorder="1" applyAlignment="1">
      <alignment horizontal="left" vertical="center" wrapText="1"/>
    </xf>
    <xf numFmtId="182" fontId="8"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183" fontId="10"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right" vertical="center" wrapText="1"/>
    </xf>
    <xf numFmtId="49" fontId="8" fillId="5" borderId="1" xfId="0" applyNumberFormat="1" applyFont="1" applyFill="1" applyBorder="1" applyAlignment="1">
      <alignment horizontal="right" vertical="center" wrapText="1"/>
    </xf>
    <xf numFmtId="0" fontId="23" fillId="0" borderId="0" xfId="0" applyFont="1" applyFill="1" applyAlignment="1">
      <alignment vertical="center" wrapText="1"/>
    </xf>
    <xf numFmtId="0" fontId="0" fillId="0" borderId="0" xfId="0" applyFont="1" applyFill="1" applyAlignment="1">
      <alignment vertical="center"/>
    </xf>
    <xf numFmtId="49" fontId="0" fillId="0" borderId="0" xfId="60" applyNumberFormat="1" applyFill="1" applyAlignment="1">
      <alignment horizontal="center" vertical="center" wrapText="1"/>
    </xf>
    <xf numFmtId="0" fontId="0" fillId="0" borderId="0" xfId="60" applyFill="1" applyAlignment="1">
      <alignment vertical="center"/>
    </xf>
    <xf numFmtId="0" fontId="0" fillId="6" borderId="0" xfId="0" applyFont="1" applyFill="1" applyAlignment="1">
      <alignment vertical="center"/>
    </xf>
    <xf numFmtId="177" fontId="0" fillId="0" borderId="0" xfId="0" applyNumberFormat="1" applyFont="1" applyFill="1" applyAlignment="1">
      <alignment vertical="center" wrapText="1"/>
    </xf>
    <xf numFmtId="49" fontId="10" fillId="0" borderId="0" xfId="60" applyNumberFormat="1" applyFont="1" applyFill="1" applyAlignment="1">
      <alignment horizontal="left" vertical="center" wrapText="1"/>
    </xf>
    <xf numFmtId="0" fontId="13" fillId="6" borderId="0" xfId="0" applyFont="1" applyFill="1" applyAlignment="1">
      <alignment horizontal="center" vertical="center"/>
    </xf>
    <xf numFmtId="0" fontId="23" fillId="6" borderId="0" xfId="0" applyFont="1" applyFill="1" applyAlignment="1">
      <alignment vertical="center"/>
    </xf>
    <xf numFmtId="0" fontId="9" fillId="0" borderId="1"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1" xfId="0" applyFont="1" applyFill="1" applyBorder="1" applyAlignment="1">
      <alignment horizontal="center" vertical="center" wrapText="1"/>
    </xf>
    <xf numFmtId="49" fontId="27" fillId="7" borderId="10" xfId="0" applyNumberFormat="1" applyFont="1" applyFill="1" applyBorder="1" applyAlignment="1">
      <alignment horizontal="left" vertical="center" wrapText="1"/>
    </xf>
    <xf numFmtId="49" fontId="11" fillId="0" borderId="10" xfId="0" applyNumberFormat="1" applyFont="1" applyFill="1" applyBorder="1" applyAlignment="1">
      <alignment horizontal="center" vertical="center" wrapText="1"/>
    </xf>
    <xf numFmtId="49" fontId="27" fillId="0" borderId="8" xfId="0" applyNumberFormat="1" applyFont="1" applyFill="1" applyBorder="1" applyAlignment="1">
      <alignment horizontal="left" vertical="center" wrapText="1"/>
    </xf>
    <xf numFmtId="41" fontId="28" fillId="0" borderId="1" xfId="62" applyNumberFormat="1" applyFont="1" applyFill="1" applyBorder="1" applyAlignment="1">
      <alignment horizontal="right" vertical="center"/>
    </xf>
    <xf numFmtId="41" fontId="29" fillId="7" borderId="1" xfId="62" applyNumberFormat="1" applyFont="1" applyFill="1" applyBorder="1" applyAlignment="1">
      <alignment horizontal="right" vertical="center"/>
    </xf>
    <xf numFmtId="41" fontId="29" fillId="0" borderId="1" xfId="62" applyNumberFormat="1" applyFont="1" applyFill="1" applyBorder="1" applyAlignment="1">
      <alignment horizontal="right" vertical="center"/>
    </xf>
    <xf numFmtId="184"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179" fontId="8" fillId="0" borderId="1" xfId="62" applyNumberFormat="1" applyFont="1" applyFill="1" applyBorder="1" applyAlignment="1">
      <alignment horizontal="right" vertical="center"/>
    </xf>
    <xf numFmtId="0" fontId="10" fillId="7" borderId="1" xfId="0" applyNumberFormat="1" applyFont="1" applyFill="1" applyBorder="1" applyAlignment="1">
      <alignment horizontal="left" vertical="center" wrapText="1"/>
    </xf>
    <xf numFmtId="49" fontId="10" fillId="7" borderId="1" xfId="0"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0" fontId="11" fillId="0" borderId="9" xfId="0"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79" fontId="30" fillId="7" borderId="2" xfId="0" applyNumberFormat="1" applyFont="1" applyFill="1" applyBorder="1" applyAlignment="1">
      <alignment horizontal="center" vertical="center" wrapText="1"/>
    </xf>
    <xf numFmtId="179" fontId="30" fillId="7" borderId="7" xfId="0" applyNumberFormat="1" applyFont="1" applyFill="1" applyBorder="1" applyAlignment="1">
      <alignment horizontal="center" vertical="center" wrapText="1"/>
    </xf>
    <xf numFmtId="179" fontId="30" fillId="7" borderId="9"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183" fontId="11" fillId="0" borderId="11" xfId="0" applyNumberFormat="1" applyFont="1" applyFill="1" applyBorder="1" applyAlignment="1" applyProtection="1">
      <alignment horizontal="center" vertical="center" wrapText="1"/>
    </xf>
    <xf numFmtId="179" fontId="30" fillId="7" borderId="1" xfId="0" applyNumberFormat="1" applyFont="1" applyFill="1" applyBorder="1" applyAlignment="1">
      <alignment horizontal="center" vertical="center" wrapText="1"/>
    </xf>
    <xf numFmtId="177" fontId="23" fillId="0" borderId="0" xfId="0" applyNumberFormat="1" applyFont="1" applyFill="1" applyAlignment="1">
      <alignment vertical="center" wrapText="1"/>
    </xf>
    <xf numFmtId="0" fontId="10" fillId="0" borderId="0" xfId="0" applyFont="1" applyFill="1" applyAlignment="1">
      <alignment horizontal="right" vertical="center" wrapText="1"/>
    </xf>
    <xf numFmtId="178" fontId="11" fillId="0" borderId="12" xfId="0" applyNumberFormat="1" applyFont="1" applyFill="1" applyBorder="1" applyAlignment="1">
      <alignment horizontal="center" vertical="center" wrapText="1"/>
    </xf>
    <xf numFmtId="178" fontId="31" fillId="0" borderId="13" xfId="0" applyNumberFormat="1" applyFont="1" applyFill="1" applyBorder="1" applyAlignment="1">
      <alignment horizontal="center" vertical="center" wrapText="1"/>
    </xf>
    <xf numFmtId="41" fontId="29" fillId="0" borderId="1" xfId="0" applyNumberFormat="1" applyFont="1" applyFill="1" applyBorder="1" applyAlignment="1">
      <alignment horizontal="right" vertical="center"/>
    </xf>
    <xf numFmtId="179" fontId="8" fillId="0" borderId="1" xfId="0" applyNumberFormat="1" applyFont="1" applyFill="1" applyBorder="1" applyAlignment="1">
      <alignment vertical="center" wrapText="1"/>
    </xf>
    <xf numFmtId="0" fontId="23"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0" fillId="0" borderId="1" xfId="0" applyFont="1" applyFill="1" applyBorder="1" applyAlignment="1">
      <alignment vertical="center" wrapText="1"/>
    </xf>
    <xf numFmtId="179" fontId="8" fillId="0" borderId="1" xfId="0" applyNumberFormat="1" applyFont="1" applyFill="1" applyBorder="1" applyAlignment="1">
      <alignment horizontal="right" vertical="center"/>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84" fontId="10" fillId="0" borderId="1" xfId="0" applyNumberFormat="1" applyFont="1" applyFill="1" applyBorder="1" applyAlignment="1">
      <alignment vertical="center" wrapText="1"/>
    </xf>
    <xf numFmtId="49" fontId="27" fillId="7" borderId="1" xfId="0" applyNumberFormat="1" applyFont="1" applyFill="1" applyBorder="1" applyAlignment="1">
      <alignment horizontal="left" vertical="center" wrapText="1"/>
    </xf>
    <xf numFmtId="184" fontId="27"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1" fontId="29" fillId="6" borderId="1" xfId="62" applyNumberFormat="1" applyFont="1" applyFill="1" applyBorder="1" applyAlignment="1">
      <alignment horizontal="right" vertical="center"/>
    </xf>
    <xf numFmtId="179" fontId="7" fillId="0" borderId="1" xfId="62" applyNumberFormat="1" applyFont="1" applyFill="1" applyBorder="1" applyAlignment="1">
      <alignment horizontal="right" vertical="center"/>
    </xf>
    <xf numFmtId="0" fontId="26" fillId="0" borderId="0" xfId="0" applyFont="1" applyFill="1" applyAlignment="1">
      <alignment wrapText="1"/>
    </xf>
    <xf numFmtId="0" fontId="12" fillId="0" borderId="0" xfId="0" applyFont="1" applyFill="1" applyBorder="1" applyAlignment="1">
      <alignment wrapText="1"/>
    </xf>
    <xf numFmtId="0" fontId="15" fillId="0" borderId="0" xfId="0" applyFont="1" applyFill="1" applyBorder="1" applyAlignment="1">
      <alignment vertical="center" wrapText="1"/>
    </xf>
    <xf numFmtId="0" fontId="10" fillId="0" borderId="0" xfId="0" applyFont="1" applyFill="1" applyBorder="1" applyAlignment="1">
      <alignment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0" fillId="0" borderId="0" xfId="0" applyFont="1" applyFill="1" applyAlignment="1">
      <alignment horizontal="left" vertical="center" wrapText="1"/>
    </xf>
    <xf numFmtId="179" fontId="0" fillId="0" borderId="0" xfId="0" applyNumberFormat="1" applyFont="1" applyFill="1" applyAlignment="1">
      <alignment vertical="center" wrapText="1"/>
    </xf>
    <xf numFmtId="0" fontId="33" fillId="0" borderId="0" xfId="0" applyFont="1" applyFill="1" applyAlignment="1">
      <alignment horizontal="center" vertical="center" wrapText="1"/>
    </xf>
    <xf numFmtId="0" fontId="33" fillId="0" borderId="0" xfId="0" applyFont="1" applyFill="1" applyAlignment="1">
      <alignment horizontal="right" vertical="center" wrapText="1"/>
    </xf>
    <xf numFmtId="179" fontId="33" fillId="0" borderId="0" xfId="0" applyNumberFormat="1" applyFont="1" applyFill="1" applyAlignment="1">
      <alignment horizontal="right" vertical="center" wrapText="1"/>
    </xf>
    <xf numFmtId="0" fontId="11" fillId="0" borderId="1" xfId="53" applyFont="1" applyFill="1" applyBorder="1" applyAlignment="1">
      <alignment horizontal="center" vertical="center" wrapText="1"/>
    </xf>
    <xf numFmtId="0" fontId="11" fillId="3" borderId="1" xfId="53" applyFont="1" applyFill="1" applyBorder="1" applyAlignment="1">
      <alignment horizontal="center" vertical="center" wrapText="1"/>
    </xf>
    <xf numFmtId="0" fontId="10" fillId="0" borderId="1" xfId="53" applyFont="1" applyFill="1" applyBorder="1" applyAlignment="1">
      <alignment horizontal="center" vertical="center" wrapText="1"/>
    </xf>
    <xf numFmtId="0" fontId="12" fillId="0" borderId="1" xfId="0" applyFont="1" applyFill="1" applyBorder="1" applyAlignment="1">
      <alignment horizontal="center" vertical="center" wrapText="1"/>
    </xf>
    <xf numFmtId="179" fontId="34" fillId="0" borderId="1" xfId="0" applyNumberFormat="1" applyFont="1" applyFill="1" applyBorder="1" applyAlignment="1">
      <alignment horizontal="right" vertical="center" wrapText="1"/>
    </xf>
    <xf numFmtId="179" fontId="8" fillId="0" borderId="1" xfId="1" applyNumberFormat="1" applyFont="1" applyFill="1" applyBorder="1" applyAlignment="1">
      <alignment horizontal="right" vertical="center" wrapText="1"/>
    </xf>
    <xf numFmtId="0" fontId="15" fillId="2" borderId="1" xfId="0" applyFont="1" applyFill="1" applyBorder="1" applyAlignment="1">
      <alignment horizontal="center" vertical="center" wrapText="1"/>
    </xf>
    <xf numFmtId="179" fontId="7" fillId="2" borderId="1" xfId="53" applyNumberFormat="1" applyFont="1" applyFill="1" applyBorder="1" applyAlignment="1">
      <alignment horizontal="right" vertical="center" wrapText="1"/>
    </xf>
    <xf numFmtId="0" fontId="10" fillId="0" borderId="1" xfId="52"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179" fontId="8" fillId="0" borderId="1" xfId="58" applyNumberFormat="1" applyFont="1" applyFill="1" applyBorder="1" applyAlignment="1">
      <alignment horizontal="right" vertical="center" wrapText="1"/>
    </xf>
    <xf numFmtId="0" fontId="35" fillId="2" borderId="1" xfId="0" applyNumberFormat="1" applyFont="1" applyFill="1" applyBorder="1" applyAlignment="1" applyProtection="1">
      <alignment horizontal="center" vertical="center" wrapText="1"/>
    </xf>
    <xf numFmtId="179" fontId="7" fillId="2" borderId="1" xfId="52" applyNumberFormat="1" applyFont="1" applyFill="1" applyBorder="1" applyAlignment="1">
      <alignment horizontal="right" vertical="center" wrapText="1"/>
    </xf>
    <xf numFmtId="179" fontId="36" fillId="2" borderId="1" xfId="0" applyNumberFormat="1" applyFont="1" applyFill="1" applyBorder="1" applyAlignment="1">
      <alignment horizontal="right" vertical="center" wrapText="1"/>
    </xf>
    <xf numFmtId="179" fontId="34" fillId="2" borderId="1" xfId="0" applyNumberFormat="1" applyFont="1" applyFill="1" applyBorder="1" applyAlignment="1">
      <alignment horizontal="right" vertical="center" wrapText="1"/>
    </xf>
    <xf numFmtId="179" fontId="7" fillId="2" borderId="1" xfId="58" applyNumberFormat="1" applyFont="1" applyFill="1" applyBorder="1" applyAlignment="1">
      <alignment horizontal="right" vertical="center" wrapText="1"/>
    </xf>
    <xf numFmtId="0" fontId="33" fillId="0" borderId="0" xfId="0" applyFont="1" applyFill="1" applyAlignment="1">
      <alignment horizontal="left" vertical="center" wrapText="1"/>
    </xf>
    <xf numFmtId="0" fontId="37" fillId="0" borderId="1" xfId="0" applyFont="1" applyFill="1" applyBorder="1" applyAlignment="1">
      <alignment horizontal="center" vertical="center" wrapText="1"/>
    </xf>
    <xf numFmtId="177" fontId="34" fillId="0" borderId="1" xfId="0" applyNumberFormat="1" applyFont="1" applyFill="1" applyBorder="1" applyAlignment="1">
      <alignment horizontal="right" vertical="center" wrapText="1"/>
    </xf>
    <xf numFmtId="179" fontId="10" fillId="0" borderId="1" xfId="58" applyNumberFormat="1" applyFont="1" applyFill="1" applyBorder="1" applyAlignment="1">
      <alignment horizontal="center" vertical="center" wrapText="1"/>
    </xf>
    <xf numFmtId="0" fontId="10" fillId="0" borderId="1" xfId="53" applyFont="1" applyFill="1" applyBorder="1" applyAlignment="1">
      <alignment horizontal="left" vertical="center" wrapText="1"/>
    </xf>
    <xf numFmtId="0" fontId="38" fillId="0" borderId="1" xfId="0" applyFont="1" applyFill="1" applyBorder="1" applyAlignment="1">
      <alignment vertical="center" wrapText="1"/>
    </xf>
    <xf numFmtId="177" fontId="36" fillId="2" borderId="1" xfId="0" applyNumberFormat="1" applyFont="1" applyFill="1" applyBorder="1" applyAlignment="1">
      <alignment horizontal="right" vertical="center" wrapText="1"/>
    </xf>
    <xf numFmtId="179" fontId="9" fillId="2" borderId="1" xfId="53" applyNumberFormat="1" applyFont="1" applyFill="1" applyBorder="1" applyAlignment="1">
      <alignment horizontal="center" vertical="center" wrapText="1"/>
    </xf>
    <xf numFmtId="0" fontId="9" fillId="2" borderId="1" xfId="53" applyFont="1" applyFill="1" applyBorder="1" applyAlignment="1">
      <alignment horizontal="left" vertical="center" wrapText="1"/>
    </xf>
    <xf numFmtId="0" fontId="38" fillId="0" borderId="1" xfId="0" applyFont="1" applyFill="1" applyBorder="1" applyAlignment="1">
      <alignment wrapText="1"/>
    </xf>
    <xf numFmtId="177" fontId="7" fillId="2" borderId="1" xfId="52" applyNumberFormat="1" applyFont="1" applyFill="1" applyBorder="1" applyAlignment="1">
      <alignment horizontal="right" vertical="center" wrapText="1"/>
    </xf>
    <xf numFmtId="183" fontId="9" fillId="2" borderId="1" xfId="52" applyNumberFormat="1" applyFont="1" applyFill="1" applyBorder="1" applyAlignment="1">
      <alignment horizontal="center" vertical="center" wrapText="1"/>
    </xf>
    <xf numFmtId="183" fontId="10" fillId="2" borderId="1" xfId="52" applyNumberFormat="1" applyFont="1" applyFill="1" applyBorder="1" applyAlignment="1">
      <alignment horizontal="left" vertical="center" wrapText="1"/>
    </xf>
    <xf numFmtId="177" fontId="7" fillId="0" borderId="1" xfId="52" applyNumberFormat="1" applyFont="1" applyFill="1" applyBorder="1" applyAlignment="1">
      <alignment horizontal="right" vertical="center" wrapText="1"/>
    </xf>
    <xf numFmtId="179" fontId="15" fillId="2" borderId="1" xfId="0" applyNumberFormat="1" applyFont="1" applyFill="1" applyBorder="1" applyAlignment="1">
      <alignment horizontal="center" vertical="center" wrapText="1"/>
    </xf>
    <xf numFmtId="179" fontId="12" fillId="2" borderId="1" xfId="0" applyNumberFormat="1" applyFont="1" applyFill="1" applyBorder="1" applyAlignment="1">
      <alignment horizontal="left" vertical="center" wrapText="1"/>
    </xf>
    <xf numFmtId="177" fontId="36" fillId="0" borderId="1" xfId="0" applyNumberFormat="1" applyFont="1" applyFill="1" applyBorder="1" applyAlignment="1">
      <alignment horizontal="right" vertical="center" wrapText="1"/>
    </xf>
    <xf numFmtId="179" fontId="9" fillId="2" borderId="1" xfId="58" applyNumberFormat="1" applyFont="1" applyFill="1" applyBorder="1" applyAlignment="1">
      <alignment horizontal="center" vertical="center" wrapText="1"/>
    </xf>
    <xf numFmtId="0" fontId="10" fillId="2" borderId="1" xfId="54" applyFont="1" applyFill="1" applyBorder="1" applyAlignment="1">
      <alignment horizontal="left" vertical="center" wrapText="1"/>
    </xf>
    <xf numFmtId="0" fontId="39"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177" fontId="10" fillId="2" borderId="1" xfId="58" applyNumberFormat="1" applyFont="1" applyFill="1" applyBorder="1" applyAlignment="1">
      <alignment horizontal="left" vertical="center" wrapText="1"/>
    </xf>
    <xf numFmtId="0" fontId="12" fillId="0" borderId="1" xfId="0" applyFont="1" applyFill="1" applyBorder="1" applyAlignment="1">
      <alignment horizontal="right" vertical="center" wrapText="1"/>
    </xf>
    <xf numFmtId="177" fontId="7" fillId="2" borderId="1" xfId="58" applyNumberFormat="1" applyFont="1" applyFill="1" applyBorder="1" applyAlignment="1">
      <alignment horizontal="right" vertical="center" wrapText="1"/>
    </xf>
    <xf numFmtId="179" fontId="10" fillId="2" borderId="1" xfId="58" applyNumberFormat="1" applyFont="1" applyFill="1" applyBorder="1" applyAlignment="1">
      <alignment horizontal="left" vertical="center" wrapText="1"/>
    </xf>
    <xf numFmtId="177" fontId="7" fillId="0" borderId="1" xfId="58" applyNumberFormat="1" applyFont="1" applyFill="1" applyBorder="1" applyAlignment="1">
      <alignment horizontal="right" vertical="center" wrapText="1"/>
    </xf>
    <xf numFmtId="185" fontId="7" fillId="0" borderId="1" xfId="58" applyNumberFormat="1" applyFont="1" applyFill="1" applyBorder="1" applyAlignment="1">
      <alignment horizontal="right" vertical="center" wrapText="1"/>
    </xf>
    <xf numFmtId="0" fontId="0" fillId="0" borderId="0" xfId="0" applyFont="1" applyFill="1" applyAlignment="1">
      <alignment wrapText="1"/>
    </xf>
    <xf numFmtId="0" fontId="10" fillId="0" borderId="0" xfId="0" applyFont="1" applyFill="1" applyAlignment="1">
      <alignment vertical="center" wrapText="1"/>
    </xf>
    <xf numFmtId="0" fontId="11" fillId="0" borderId="0" xfId="0" applyFont="1" applyFill="1" applyAlignment="1">
      <alignment wrapText="1"/>
    </xf>
    <xf numFmtId="41"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9" fontId="1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left" vertical="center" wrapText="1"/>
    </xf>
    <xf numFmtId="179" fontId="7" fillId="0" borderId="1" xfId="0" applyNumberFormat="1" applyFont="1" applyFill="1" applyBorder="1" applyAlignment="1">
      <alignment horizontal="right" vertical="center" wrapText="1"/>
    </xf>
    <xf numFmtId="179" fontId="40" fillId="0" borderId="1" xfId="0" applyNumberFormat="1" applyFont="1" applyFill="1" applyBorder="1" applyAlignment="1">
      <alignment horizontal="right" vertical="center" wrapText="1"/>
    </xf>
    <xf numFmtId="179" fontId="41" fillId="0" borderId="1" xfId="0" applyNumberFormat="1" applyFont="1" applyFill="1" applyBorder="1" applyAlignment="1">
      <alignment horizontal="right" vertical="center" wrapText="1"/>
    </xf>
    <xf numFmtId="0" fontId="23" fillId="0" borderId="0" xfId="0" applyFont="1" applyFill="1" applyBorder="1" applyAlignment="1">
      <alignment vertical="center" wrapText="1"/>
    </xf>
    <xf numFmtId="41" fontId="1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0" xfId="0" applyFont="1" applyFill="1" applyAlignment="1">
      <alignment vertical="center" wrapText="1"/>
    </xf>
    <xf numFmtId="0" fontId="27" fillId="0" borderId="0" xfId="0" applyFont="1" applyFill="1" applyAlignment="1">
      <alignment wrapText="1"/>
    </xf>
    <xf numFmtId="0" fontId="42" fillId="0" borderId="0" xfId="0" applyFont="1" applyFill="1" applyAlignment="1">
      <alignment wrapText="1"/>
    </xf>
    <xf numFmtId="0" fontId="30" fillId="0" borderId="0" xfId="0" applyFont="1" applyFill="1" applyAlignment="1">
      <alignment vertical="center" wrapText="1"/>
    </xf>
    <xf numFmtId="0" fontId="27" fillId="0" borderId="0" xfId="0" applyFont="1" applyFill="1" applyAlignment="1">
      <alignment vertical="center" wrapText="1"/>
    </xf>
    <xf numFmtId="177" fontId="27" fillId="0" borderId="0" xfId="0" applyNumberFormat="1" applyFont="1" applyFill="1" applyAlignment="1">
      <alignment horizontal="center" wrapText="1"/>
    </xf>
    <xf numFmtId="177" fontId="27" fillId="0" borderId="0" xfId="0" applyNumberFormat="1" applyFont="1" applyFill="1" applyAlignment="1">
      <alignment wrapTex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9" xfId="0" applyFont="1" applyFill="1" applyBorder="1" applyAlignment="1">
      <alignment horizontal="center" vertical="center" wrapText="1"/>
    </xf>
    <xf numFmtId="177" fontId="43" fillId="0" borderId="1" xfId="0"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right" vertical="center" wrapText="1"/>
    </xf>
    <xf numFmtId="0" fontId="30" fillId="0" borderId="1" xfId="0" applyFont="1" applyFill="1" applyBorder="1" applyAlignment="1">
      <alignment horizontal="center" vertical="center" wrapText="1"/>
    </xf>
    <xf numFmtId="177" fontId="28" fillId="0" borderId="1" xfId="0" applyNumberFormat="1" applyFont="1" applyFill="1" applyBorder="1" applyAlignment="1">
      <alignment horizontal="right" vertical="center" wrapText="1"/>
    </xf>
    <xf numFmtId="0" fontId="27" fillId="0" borderId="0" xfId="0" applyFont="1" applyFill="1" applyAlignment="1">
      <alignment horizontal="left" vertical="center" wrapText="1"/>
    </xf>
    <xf numFmtId="0" fontId="27" fillId="0" borderId="9" xfId="0" applyFont="1" applyFill="1" applyBorder="1" applyAlignment="1">
      <alignment vertical="center" wrapText="1"/>
    </xf>
    <xf numFmtId="0" fontId="30" fillId="0" borderId="9" xfId="0" applyFont="1"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justify" vertical="center" wrapText="1"/>
    </xf>
    <xf numFmtId="0" fontId="10" fillId="0" borderId="4" xfId="0" applyFont="1" applyFill="1" applyBorder="1" applyAlignment="1">
      <alignment horizontal="right"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79" fontId="7" fillId="2" borderId="1" xfId="1" applyNumberFormat="1" applyFont="1" applyFill="1" applyBorder="1" applyAlignment="1">
      <alignment horizontal="right" vertical="center" wrapText="1"/>
    </xf>
    <xf numFmtId="0" fontId="10" fillId="2"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186" fontId="8" fillId="0" borderId="1" xfId="1" applyNumberFormat="1" applyFont="1" applyFill="1" applyBorder="1" applyAlignment="1">
      <alignment horizontal="right" vertical="center" wrapText="1"/>
    </xf>
    <xf numFmtId="187" fontId="8" fillId="0" borderId="1" xfId="1" applyNumberFormat="1" applyFont="1" applyFill="1" applyBorder="1" applyAlignment="1">
      <alignment horizontal="right" vertical="center" wrapText="1"/>
    </xf>
    <xf numFmtId="178"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justify" vertical="center" wrapText="1"/>
    </xf>
    <xf numFmtId="183" fontId="10" fillId="0" borderId="0" xfId="0" applyNumberFormat="1"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81" fontId="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181" fontId="10" fillId="0" borderId="0" xfId="0" applyNumberFormat="1" applyFont="1" applyFill="1" applyBorder="1" applyAlignment="1">
      <alignment horizontal="center" vertical="center"/>
    </xf>
    <xf numFmtId="183" fontId="13" fillId="0" borderId="0" xfId="0" applyNumberFormat="1" applyFont="1" applyFill="1" applyAlignment="1">
      <alignment horizontal="center" vertical="center"/>
    </xf>
    <xf numFmtId="0" fontId="9" fillId="0" borderId="2"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applyFill="1" applyBorder="1" applyAlignment="1">
      <alignment horizontal="right" vertical="center" wrapText="1"/>
    </xf>
    <xf numFmtId="178" fontId="9" fillId="0" borderId="1" xfId="0" applyNumberFormat="1" applyFont="1" applyFill="1" applyBorder="1" applyAlignment="1">
      <alignment horizontal="center" vertical="center" wrapText="1"/>
    </xf>
    <xf numFmtId="181" fontId="27" fillId="0" borderId="1" xfId="0" applyNumberFormat="1" applyFont="1" applyFill="1" applyBorder="1" applyAlignment="1">
      <alignment vertical="center" wrapText="1"/>
    </xf>
    <xf numFmtId="0" fontId="44" fillId="0" borderId="1" xfId="0"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183" fontId="9" fillId="0" borderId="2" xfId="0" applyNumberFormat="1" applyFont="1" applyFill="1" applyBorder="1" applyAlignment="1">
      <alignment horizontal="center" vertical="center" wrapText="1"/>
    </xf>
    <xf numFmtId="183" fontId="9" fillId="0" borderId="9" xfId="0" applyNumberFormat="1" applyFont="1" applyFill="1" applyBorder="1" applyAlignment="1">
      <alignment horizontal="center" vertical="center" wrapText="1"/>
    </xf>
    <xf numFmtId="181" fontId="30" fillId="0" borderId="1" xfId="0" applyNumberFormat="1" applyFont="1" applyFill="1" applyBorder="1" applyAlignment="1">
      <alignment vertical="center" wrapText="1"/>
    </xf>
    <xf numFmtId="0" fontId="23" fillId="0" borderId="0" xfId="0" applyFont="1" applyAlignment="1">
      <alignment vertical="center" wrapText="1"/>
    </xf>
    <xf numFmtId="0" fontId="11" fillId="0" borderId="0" xfId="0" applyFont="1" applyAlignment="1">
      <alignment vertical="center" wrapText="1"/>
    </xf>
    <xf numFmtId="0" fontId="0" fillId="0" borderId="0" xfId="0" applyNumberFormat="1" applyFont="1" applyFill="1" applyAlignment="1">
      <alignment vertical="center" wrapText="1"/>
    </xf>
    <xf numFmtId="0" fontId="0" fillId="0" borderId="0" xfId="0" applyFont="1" applyAlignment="1">
      <alignment vertical="center" wrapText="1"/>
    </xf>
    <xf numFmtId="179" fontId="23" fillId="0" borderId="0" xfId="0" applyNumberFormat="1" applyFont="1" applyFill="1" applyAlignment="1">
      <alignment vertical="center" wrapText="1"/>
    </xf>
    <xf numFmtId="0" fontId="11" fillId="2" borderId="1" xfId="0" applyFont="1" applyFill="1" applyBorder="1" applyAlignment="1">
      <alignment horizontal="center" vertical="center" wrapText="1"/>
    </xf>
    <xf numFmtId="0" fontId="0" fillId="0" borderId="1" xfId="0" applyFont="1" applyFill="1" applyBorder="1" applyAlignment="1">
      <alignment wrapText="1"/>
    </xf>
    <xf numFmtId="179" fontId="7" fillId="0" borderId="1" xfId="1" applyNumberFormat="1" applyFont="1" applyFill="1" applyBorder="1" applyAlignment="1">
      <alignment horizontal="right" vertical="center" wrapText="1"/>
    </xf>
    <xf numFmtId="0" fontId="10" fillId="7" borderId="1" xfId="0" applyFont="1" applyFill="1" applyBorder="1" applyAlignment="1">
      <alignment horizontal="left" vertical="center" wrapText="1"/>
    </xf>
    <xf numFmtId="0" fontId="13" fillId="0" borderId="0" xfId="0" applyNumberFormat="1" applyFont="1" applyFill="1" applyAlignment="1">
      <alignment horizontal="center" vertical="center" wrapText="1"/>
    </xf>
    <xf numFmtId="0" fontId="23" fillId="0" borderId="0" xfId="0" applyNumberFormat="1" applyFont="1" applyFill="1" applyAlignment="1">
      <alignment vertical="center" wrapText="1"/>
    </xf>
    <xf numFmtId="0" fontId="11" fillId="0"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11" fillId="0" borderId="1" xfId="0" applyNumberFormat="1" applyFont="1" applyFill="1" applyBorder="1" applyAlignment="1">
      <alignment horizontal="center" vertical="center" wrapText="1" shrinkToFit="1"/>
    </xf>
    <xf numFmtId="0" fontId="0" fillId="0" borderId="0" xfId="0" applyAlignment="1">
      <alignment vertical="center" wrapText="1"/>
    </xf>
    <xf numFmtId="0" fontId="11" fillId="0" borderId="0" xfId="0" applyFont="1" applyFill="1" applyAlignment="1">
      <alignment vertical="center"/>
    </xf>
    <xf numFmtId="0" fontId="0" fillId="0" borderId="0" xfId="0" applyFill="1" applyAlignment="1">
      <alignment vertical="center"/>
    </xf>
    <xf numFmtId="0" fontId="0" fillId="0" borderId="0" xfId="0" applyFill="1" applyAlignment="1"/>
    <xf numFmtId="0" fontId="45" fillId="0" borderId="0" xfId="0" applyFont="1" applyFill="1" applyAlignment="1">
      <alignment horizontal="left"/>
    </xf>
    <xf numFmtId="0" fontId="45" fillId="0" borderId="0" xfId="0" applyFont="1" applyFill="1" applyAlignment="1"/>
    <xf numFmtId="0" fontId="46" fillId="0" borderId="0" xfId="0" applyFont="1" applyFill="1" applyAlignment="1">
      <alignment horizontal="center" vertical="center"/>
    </xf>
    <xf numFmtId="0" fontId="45" fillId="0" borderId="0" xfId="0" applyFont="1" applyFill="1" applyAlignment="1">
      <alignment horizontal="center"/>
    </xf>
    <xf numFmtId="0" fontId="45" fillId="0" borderId="0" xfId="0" applyFont="1" applyFill="1" applyAlignment="1">
      <alignment horizontal="right"/>
    </xf>
    <xf numFmtId="0" fontId="46" fillId="0" borderId="0" xfId="0" applyFont="1" applyFill="1" applyAlignment="1">
      <alignment vertical="center"/>
    </xf>
    <xf numFmtId="0" fontId="10" fillId="0" borderId="1" xfId="0" applyFont="1" applyFill="1" applyBorder="1" applyAlignment="1" quotePrefix="1">
      <alignment vertical="center" wrapText="1"/>
    </xf>
    <xf numFmtId="0" fontId="10" fillId="0" borderId="1" xfId="0" applyFont="1" applyFill="1" applyBorder="1" applyAlignment="1" quotePrefix="1">
      <alignment horizontal="left" vertical="center" wrapText="1"/>
    </xf>
    <xf numFmtId="0" fontId="10" fillId="7" borderId="1" xfId="0" applyFont="1" applyFill="1" applyBorder="1" applyAlignment="1" quotePrefix="1">
      <alignment horizontal="left"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3" xfId="49"/>
    <cellStyle name="常规 10 2 2 3" xfId="50"/>
    <cellStyle name="常规 195" xfId="51"/>
    <cellStyle name="常规 10" xfId="52"/>
    <cellStyle name="常规 30" xfId="53"/>
    <cellStyle name="常规 33" xfId="54"/>
    <cellStyle name="常规 193" xfId="55"/>
    <cellStyle name="常规 194" xfId="56"/>
    <cellStyle name="常规_土地基金收入调整" xfId="57"/>
    <cellStyle name="常规 32 2" xfId="58"/>
    <cellStyle name="常规 197" xfId="59"/>
    <cellStyle name="常规_2006区级预算追加情况表" xfId="60"/>
    <cellStyle name="千位分隔 15" xfId="61"/>
    <cellStyle name="千位分隔 2 10" xfId="62"/>
  </cellStyles>
  <dxfs count="1">
    <dxf>
      <fill>
        <patternFill patternType="none"/>
      </fill>
    </dxf>
  </dxfs>
  <tableStyles count="0" defaultTableStyle="TableStyleMedium9" defaultPivotStyle="PivotStyleLight16"/>
  <colors>
    <mruColors>
      <color rgb="00F1D90D"/>
      <color rgb="00F2E9CA"/>
      <color rgb="00EEF2CA"/>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externalLink" Target="externalLinks/externalLink35.xml"/><Relationship Id="rId53" Type="http://schemas.openxmlformats.org/officeDocument/2006/relationships/externalLink" Target="externalLinks/externalLink34.xml"/><Relationship Id="rId52" Type="http://schemas.openxmlformats.org/officeDocument/2006/relationships/externalLink" Target="externalLinks/externalLink33.xml"/><Relationship Id="rId51" Type="http://schemas.openxmlformats.org/officeDocument/2006/relationships/externalLink" Target="externalLinks/externalLink32.xml"/><Relationship Id="rId50" Type="http://schemas.openxmlformats.org/officeDocument/2006/relationships/externalLink" Target="externalLinks/externalLink31.xml"/><Relationship Id="rId5" Type="http://schemas.openxmlformats.org/officeDocument/2006/relationships/worksheet" Target="worksheets/sheet5.xml"/><Relationship Id="rId49" Type="http://schemas.openxmlformats.org/officeDocument/2006/relationships/externalLink" Target="externalLinks/externalLink30.xml"/><Relationship Id="rId48" Type="http://schemas.openxmlformats.org/officeDocument/2006/relationships/externalLink" Target="externalLinks/externalLink29.xml"/><Relationship Id="rId47" Type="http://schemas.openxmlformats.org/officeDocument/2006/relationships/externalLink" Target="externalLinks/externalLink28.xml"/><Relationship Id="rId46" Type="http://schemas.openxmlformats.org/officeDocument/2006/relationships/externalLink" Target="externalLinks/externalLink27.xml"/><Relationship Id="rId45" Type="http://schemas.openxmlformats.org/officeDocument/2006/relationships/externalLink" Target="externalLinks/externalLink26.xml"/><Relationship Id="rId44" Type="http://schemas.openxmlformats.org/officeDocument/2006/relationships/externalLink" Target="externalLinks/externalLink25.xml"/><Relationship Id="rId43" Type="http://schemas.openxmlformats.org/officeDocument/2006/relationships/externalLink" Target="externalLinks/externalLink24.xml"/><Relationship Id="rId42" Type="http://schemas.openxmlformats.org/officeDocument/2006/relationships/externalLink" Target="externalLinks/externalLink23.xml"/><Relationship Id="rId41" Type="http://schemas.openxmlformats.org/officeDocument/2006/relationships/externalLink" Target="externalLinks/externalLink22.xml"/><Relationship Id="rId40" Type="http://schemas.openxmlformats.org/officeDocument/2006/relationships/externalLink" Target="externalLinks/externalLink21.xml"/><Relationship Id="rId4" Type="http://schemas.openxmlformats.org/officeDocument/2006/relationships/worksheet" Target="worksheets/sheet4.xml"/><Relationship Id="rId39" Type="http://schemas.openxmlformats.org/officeDocument/2006/relationships/externalLink" Target="externalLinks/externalLink20.xml"/><Relationship Id="rId38" Type="http://schemas.openxmlformats.org/officeDocument/2006/relationships/externalLink" Target="externalLinks/externalLink19.xml"/><Relationship Id="rId37" Type="http://schemas.openxmlformats.org/officeDocument/2006/relationships/externalLink" Target="externalLinks/externalLink18.xml"/><Relationship Id="rId36" Type="http://schemas.openxmlformats.org/officeDocument/2006/relationships/externalLink" Target="externalLinks/externalLink17.xml"/><Relationship Id="rId35" Type="http://schemas.openxmlformats.org/officeDocument/2006/relationships/externalLink" Target="externalLinks/externalLink16.xml"/><Relationship Id="rId34" Type="http://schemas.openxmlformats.org/officeDocument/2006/relationships/externalLink" Target="externalLinks/externalLink15.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0</xdr:colOff>
      <xdr:row>19</xdr:row>
      <xdr:rowOff>0</xdr:rowOff>
    </xdr:from>
    <xdr:to>
      <xdr:col>15</xdr:col>
      <xdr:colOff>9525</xdr:colOff>
      <xdr:row>29</xdr:row>
      <xdr:rowOff>0</xdr:rowOff>
    </xdr:to>
    <xdr:cxnSp>
      <xdr:nvCxnSpPr>
        <xdr:cNvPr id="2" name="直接连接符 1"/>
        <xdr:cNvCxnSpPr/>
      </xdr:nvCxnSpPr>
      <xdr:spPr>
        <a:xfrm>
          <a:off x="11477625" y="6985000"/>
          <a:ext cx="7534275" cy="3810000"/>
        </a:xfrm>
        <a:prstGeom prst="line">
          <a:avLst/>
        </a:prstGeom>
        <a:ln w="12700" cmpd="sng">
          <a:solidFill>
            <a:schemeClr val="tx1"/>
          </a:solidFill>
          <a:prstDash val="solid"/>
        </a:ln>
      </xdr:spPr>
      <xdr:style>
        <a:lnRef idx="2">
          <a:prstClr val="black"/>
        </a:lnRef>
        <a:fillRef idx="0">
          <a:srgbClr val="FFFFFF"/>
        </a:fillRef>
        <a:effectRef idx="0">
          <a:srgbClr val="FFFFFF"/>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7\&#37329;&#34701;&#31185;\AnyShare%20(2)\&#39044;&#31639;&#21496;\&#20538;&#21153;&#22788;\0.&#20013;&#36716;\&#19977;&#30465;&#25968;&#25454;%20(2)\&#27743;&#33487;&#12289;&#28246;&#21335;&#12289;&#20113;&#21335;&#25968;&#25454;&#65288;20170830&#65289;&#12304;&#20998;&#39033;&#30446;&#31867;&#22411;&#12305;\&#27743;&#33487;&#30465;&#25130;&#33267;2017&#24180;6&#26376;&#26411;&#26377;&#20851;&#24773;&#20917;&#27719;&#24635;&#32479;&#35745;&#34920;(20170829)&#12304;&#36820;&#27743;&#33487;&#36130;&#25919;&#21381;&#34917;&#25968;&#12305;-&#34917;&#39033;&#30446;&#31867;&#22411;&#65288;2017.8.30&#20013;&#21320;&#19978;&#25253;&#65289;&#12304;2&#31295;&#65292;&#25968;&#25454;&#24050;&#20998;&#31867;&#123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7\&#37329;&#34701;&#31185;\&#25509;&#25910;&#25991;&#20214;\&#22320;&#26041;&#25919;&#24220;&#34701;&#36164;&#24179;&#21488;&#20844;&#21496;&#20538;&#21153;&#31561;&#24773;&#20917;&#34920;&#65288;&#26032;2017072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3609;&#26446;&#23792;\02&#25919;&#24220;&#20538;&#21048;\01.&#19968;&#33324;&#20538;&#21048;\2011&#24180;&#22320;&#26041;&#25919;&#24220;&#20538;&#21048;\&#25353;&#27969;&#31243;\02&#35268;&#27169;&#27979;&#31639;\&#21608;&#23045;\03&#20538;&#21153;&#25253;&#34920;\&#27719;&#24635;\2009\2010&#24180;10&#26376;\2009&#24180;&#20538;&#21153;&#20998;&#26512;&#34920;&#65288;20101026&#25171;&#21360;&#31295;&#65289;\07&#26684;&#24335;\2009&#22522;&#26412;&#24773;&#20917;&#65288;1026&#25171;&#21360;&#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28.2.15\&#21508;&#22320;&#39044;&#31639;\2011&#24180;&#22320;&#26041;&#20538;&#21048;&#39033;&#30446;&#35843;&#25972;&#65288;06.15&#65289;\&#38468;&#20214;1&#65306;&#20538;&#21153;&#39069;&#24230;&#20998;&#37197;&#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10&#21439;&#32423;&#25104;&#26412;&#24046;&#24322;&#31995;&#25968;(0902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22522;&#30784;&#25968;&#25454;&#34920;031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6449;&#324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dministrator\Application%20Data\Microsoft\Excel\2007&#24180;&#22320;&#26041;&#25919;&#24220;&#24615;&#20538;&#21153;&#25253;&#34920;&#27719;&#24635;&#65288;20080708&#65289;&#12304;&#23450;&#31295;&#123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ugdet-server\&#22320;&#26041;&#22788;\05&#22320;&#26041;&#20915;&#31639;\&#20004;&#32423;&#32467;&#31639;\2014&#24180;&#32467;&#31639;\&#20004;&#32423;&#32467;&#31639;&#19982;&#22320;&#26041;&#23545;&#36134;\&#31532;&#19977;&#27425;&#23545;&#36134;\2014&#24180;&#23545;&#36134;&#21333;(20150408&#65289;-&#31532;&#19977;&#27425;&#23545;&#3613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309;&#26126;&#29113;\&#22791;&#26597;&#36164;&#26009;\2010&#24180;&#20538;&#21153;&#25253;&#34920;\&#34701;&#36164;&#24179;&#21488;&#20844;&#21496;&#20538;&#21153;&#28165;&#29702;&#26680;&#23454;&#25253;&#34920;\&#24405;&#20837;&#34920;\9&#26376;20&#26085;&#29256;&#26412;\&#34701;&#36164;&#24179;&#21488;&#20844;&#21496;&#20538;&#21153;&#28165;&#29702;&#26680;&#23454;&#24773;&#20917;&#24405;&#20837;&#34920;&#65288;20100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1382;&#24180;&#22269;&#23478;&#20915;&#31639;\1993-2002&#24180;&#22269;&#23478;&#25910;&#20837;&#27604;&#36739;&#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1&#27719;&#24635;&#34701;&#36164;&#24179;&#21488;&#21517;&#21333;&#21644;&#20313;&#39069;&#34920;&#26680;&#23545;&#34920;&#65288;&#27491;&#24335;&#34920;&#65292;&#21516;&#38134;&#30417;&#26680;&#23545;&#21069;&#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5104;&#26412;&#24046;&#24322;&#31995;&#25968;032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998;&#32423;&#23454;&#38469;&#25903;&#20986;&#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1160;&#24577;&#26597;&#35810;&#25968;&#2545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ocuments%20and%20Settings\sz005933\&#26700;&#38754;\&#28145;&#22323;&#25311;&#25253;&#38134;&#30417;&#20250;&#25919;&#24220;&#24179;&#21488;&#28165;&#29702;&#22522;&#30784;&#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34920;031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bugdet-server\&#20307;&#21046;&#31649;&#29702;&#22788;\02&#19968;&#33324;&#36716;&#31227;&#25903;&#20184;\2014&#24180;&#22343;&#34913;&#24615;&#36716;&#31227;&#25903;&#20184;\02-&#21021;&#27493;&#32467;&#26524;\0421\&#24635;&#34920;-&#21152;&#35268;&#27169;&#21152;&#25903;&#2098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998;&#21439;&#21306;&#25910;&#38598;&#34920;&#26684;\03&#25856;&#26525;&#33457;\&#25856;&#26525;&#33457;&#24066;&#24066;&#26412;&#32423;&#36335;&#26725;&#24314;&#35774;&#24320;&#21457;&#26377;&#38480;&#36131;&#20219;&#20844;&#21496;&#20538;&#21153;&#28165;&#29702;&#26680;&#23454;&#24773;&#2091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gdet-server\&#20538;&#21153;&#22788;\&#21016;&#20122;&#20255;\7000%20&#27979;&#31639;\&#21496;&#39046;&#23548;&#12304;&#20851;&#20110;7000&#20159;&#20803;&#22312;&#24314;&#39033;&#30446;&#21518;&#32493;&#34701;&#36164;&#20538;&#21153;&#36164;&#37329;&#20998;&#37197;&#26377;&#20851;&#38382;&#39064;&#30340;&#35831;&#31034;&#12305;&#65288;20150730&#65289;&#12304;3&#31295;&#65292;&#26681;&#25454;&#38472;&#21496;&#38271;&#24847;&#35265;&#25913;&#65293;&#21016;&#22635;&#25968;&#12305;\2015&#24180;&#22312;&#24314;&#39033;&#30446;&#21450;&#26842;&#25143;&#21306;&#25913;&#36896;&#34920;\00%20&#27719;&#24635;&#34920;\06%20&#36797;&#23425;&#30465;\&#36797;&#2342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128.2.15\&#21508;&#22320;&#39044;&#31639;\&#36130;&#25919;&#20379;&#20859;&#20154;&#21592;&#20449;&#24687;&#34920;\&#25945;&#32946;\&#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Administrator\Application%20Data\Microsoft\Excel\&#19977;&#26041;&#23545;&#36134;&#21333;%20(version%201).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esktop\2023&#24180;&#39044;&#31639;\&#27719;&#25253;&#29256;&#26412;\311&#39044;&#31639;\3.10&#39044;&#31639;\&#20648;&#22791;&#39033;&#30446;\&#65288;&#8730;&#65289;2020.03.21-2020&#24180;&#22320;&#26041;&#25919;&#24220;&#26032;&#22686;&#20538;&#21048;&#38656;&#27714;&#34920;&#65288;&#20840;&#37096;&#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XCEL\&#26412;&#20070;&#33539;&#20363;\chap5\chap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6032;&#24314;&#25991;&#20214;&#22841;\&#35838;&#39064;&#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SERVER\private\XHC\XLS\XJ.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7\&#37329;&#34701;&#31185;\Users\sucy\AppData\Local\Temp\NTKOFTmpFiles\04-&#22269;&#21153;&#38498;&#19987;&#39033;&#35843;&#30740;\201709090%20&#22320;&#26041;&#19978;&#25253;&#38544;&#24615;&#20538;&#21153;&#25237;&#21521;&#24773;&#20917;&#65288;&#27743;&#33487;&#12289;&#28246;&#21335;&#12289;&#20113;&#21335;&#12289;&#20869;&#33945;&#21476;&#12289;&#40657;&#40857;&#27743;&#25968;&#25454;&#65289;&#12304;&#20998;&#39033;&#30446;&#31867;&#22411;&#12305;\&#34917;&#20805;&#39033;&#30446;&#31867;&#22411;\2017&#24180;\&#25919;&#24220;&#24615;&#20538;&#21153;\20170829%20%20&#21452;&#23792;&#38544;&#24615;&#20538;&#21153;&#32479;&#35745;&#22871;&#34920;--&#34917;&#39033;&#30446;&#31867;&#22411;\&#21508;&#21333;&#20301;&#19978;&#25253;\&#22478;&#24314;&#25237;%20%20&#21452;%20&#23792;&#38544;&#24615;&#20538;&#21153;&#32479;&#35745;&#22871;&#34920;--&#34917;&#39033;&#30446;&#31867;&#224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2.15\&#21508;&#22320;&#39044;&#31639;\bugdet-server\BY\YS3\97&#20915;&#31639;&#21306;&#21439;&#26368;&#21518;&#27719;&#246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2.7\&#37329;&#34701;&#31185;\&#23384;&#26723;&#25991;&#20214;\04-&#22269;&#21153;&#38498;&#19987;&#39033;&#35843;&#30740;\05%205&#30465;&#19978;&#25253;&#25968;&#25454;\&#28246;&#21335;&#30465;&#38544;&#24615;&#20538;&#21153;&#32479;&#35745;&#22871;&#34920;&#65288;20170829&#65289;&#12304;&#36820;&#20113;&#21335;&#36130;&#25919;&#21381;&#34917;&#25968;&#12305;-&#34917;&#39033;&#30446;&#31867;&#224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下拉选项"/>
      <sheetName val="Sheet2"/>
      <sheetName val="mmm"/>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表1 （打印版）"/>
      <sheetName val="表2 （市县打印版）"/>
      <sheetName val="表3（打印版）"/>
      <sheetName val="表4"/>
      <sheetName val="表5"/>
      <sheetName val="表6"/>
      <sheetName val="项目类型"/>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封面"/>
      <sheetName val="目录"/>
      <sheetName val="1-1.资金来源汇总表"/>
      <sheetName val="1-2.资金投向汇总表"/>
      <sheetName val="1-3.政府承诺偿还的债务余额明细表"/>
      <sheetName val="1-4.政府提供担保的债务余额明细表"/>
      <sheetName val="2-1.政府支出事项总表"/>
      <sheetName val="2-2.政府支出事项对应项目情况"/>
      <sheetName val="2-3.政府支出事项明细表 "/>
      <sheetName val="下拉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图数据表"/>
      <sheetName val="1-1风险分析表"/>
      <sheetName val="1-2市级风险分析"/>
      <sheetName val="1-3风险分析"/>
      <sheetName val="1-4余额表"/>
      <sheetName val="1-5余额结构表"/>
      <sheetName val="1-6余额增长情况图"/>
      <sheetName val="1-7余额增长表一"/>
      <sheetName val="1-8余额增长表二"/>
      <sheetName val="1-9余额构成图"/>
      <sheetName val="1-10余额分布图"/>
      <sheetName val="1-11余额人均排序表"/>
      <sheetName val="1-12负债率表"/>
      <sheetName val="1-13债务率表"/>
      <sheetName val="1-14资金性质表"/>
      <sheetName val="1-15资金性质分级表一"/>
      <sheetName val="1-16资金性质分级表二"/>
      <sheetName val="1-17资金性质分级表三"/>
      <sheetName val="1-18直接债务资金性质表"/>
      <sheetName val="1-19担保债务资金性质表"/>
      <sheetName val="1-20资金性质增长表"/>
      <sheetName val="1-21资金性质分级增长表一"/>
      <sheetName val="1-22资金性质分级增长表二"/>
      <sheetName val="1-23资金性质分级增长表三"/>
      <sheetName val="1-24直接债务资金性质增长表"/>
      <sheetName val="1-25担保债务资金性质增长表"/>
      <sheetName val="2-1余额分级表"/>
      <sheetName val="2-2余额分级增长表1"/>
      <sheetName val="2-3余额分级增长表2"/>
      <sheetName val="2-4直接分级表"/>
      <sheetName val="2-5直接分级增长表"/>
      <sheetName val="2-6担保分级表"/>
      <sheetName val="2-7担保分级增长表"/>
      <sheetName val="2-8余额分部门1"/>
      <sheetName val="2-9余额分部门2"/>
      <sheetName val="2-10余额分部门增长图"/>
      <sheetName val="2-11余额分部门增长表1"/>
      <sheetName val="2-12余额分部门增长表2"/>
      <sheetName val="2-13余额分部门增长表3"/>
      <sheetName val="2-14余额分部门增长表4"/>
      <sheetName val="2-15余额分部门增长表5"/>
      <sheetName val="2-16直接分部门1"/>
      <sheetName val="2-17直接分部门2"/>
      <sheetName val="2-18直接分部门增长表1"/>
      <sheetName val="2-19直接分部门增长表2"/>
      <sheetName val="2-20直接分部门增长表3"/>
      <sheetName val="2-21直接分部门增长表4"/>
      <sheetName val="2-22直接分部门增长表5"/>
      <sheetName val="2-23担保分部门1"/>
      <sheetName val="2-24担保分部门2"/>
      <sheetName val="2-25担保分部门增长表1"/>
      <sheetName val="2-26担保分部门增长表2"/>
      <sheetName val="2-27担保分部门增长表3"/>
      <sheetName val="2-28担保分部门增长表4"/>
      <sheetName val="2-29担保分部门增长表5"/>
      <sheetName val="2-13余额分部门增长表1 (机关)"/>
      <sheetName val="2-14余额分部门增长表2 (机关)"/>
      <sheetName val="2-15余额分部门增长表3 (机关)"/>
      <sheetName val="2-16余额分部门增长表4 (机关)"/>
      <sheetName val="2-17余额分部门增长表5 (机关)"/>
      <sheetName val="2-18直接分部门增长表1 (机关)"/>
      <sheetName val="2-19直接分部门增长表2 (机关)"/>
      <sheetName val="2-20直接分部门增长表3 (机关)"/>
      <sheetName val="2-21直接分部门增长表4 (机关)"/>
      <sheetName val="2-22直接分部门增长表5 (机关)"/>
      <sheetName val="2-33担保分部门增长表1 (机关)"/>
      <sheetName val="2-34担保分部门增长表2 (机关)"/>
      <sheetName val="2-35担保分部门增长表3 (机关)"/>
      <sheetName val="2-36担保分部门增长表4 (机关)"/>
      <sheetName val="2-37担保分部门增长表5 (机关)"/>
      <sheetName val="余额直接_机关"/>
      <sheetName val="余额担保_机关"/>
      <sheetName val="2-13余额分部门增长表1 (事业)"/>
      <sheetName val="2-14余额分部门增长表2 (事业)"/>
      <sheetName val="2-15余额分部门增长表3 (事业)"/>
      <sheetName val="2-16余额分部门增长表4 (事业)"/>
      <sheetName val="2-17余额分部门增长表5 (事业)"/>
      <sheetName val="2-18直接分部门增长表1 (事业)"/>
      <sheetName val="2-19直接分部门增长表2 (事业)"/>
      <sheetName val="2-20直接分部门增长表3 (事业)"/>
      <sheetName val="2-21直接分部门增长表4 (事业)"/>
      <sheetName val="2-22直接分部门增长表5 (事业)"/>
      <sheetName val="2-33担保分部门增长表1 (事业)"/>
      <sheetName val="2-34担保分部门增长表2 (事业)"/>
      <sheetName val="2-35担保分部门增长表3 (事业)"/>
      <sheetName val="2-36担保分部门增长表4 (事业)"/>
      <sheetName val="2-37担保分部门增长表5 (事业)"/>
      <sheetName val="余额直接_事业"/>
      <sheetName val="余额担保_事业"/>
      <sheetName val="2-13余额分部门增长表1 (融资平台公司)"/>
      <sheetName val="2-14余额分部门增长表2 (融资平台公司)"/>
      <sheetName val="2-15余额分部门增长表3 (融资平台公司)"/>
      <sheetName val="2-16余额分部门增长表4 (融资平台公司)"/>
      <sheetName val="2-17余额分部门增长表5 (融资平台公司)"/>
      <sheetName val="2-18直接分部门增长表1 (融资平台公司)"/>
      <sheetName val="2-19直接分部门增长表2 (融资平台公司)"/>
      <sheetName val="2-20直接分部门增长表3 (融资平台公司)"/>
      <sheetName val="2-21直接分部门增长表4 (融资平台公司)"/>
      <sheetName val="2-22直接分部门增长表5 (融资平台公司)"/>
      <sheetName val="2-33担保分部门增长表1 (融资平台公司)"/>
      <sheetName val="2-34担保分部门增长表2 (融资平台公司)"/>
      <sheetName val="2-35担保分部门增长表3 (融资平台公司)"/>
      <sheetName val="2-36担保分部门增长表4 (融资平台公司)"/>
      <sheetName val="2-37担保分部门增长表5 (融资平台公司)"/>
      <sheetName val="余额直接_融资平台公司"/>
      <sheetName val="余额担保_融资平台公司"/>
      <sheetName val="3-1机关余额分部门1"/>
      <sheetName val="3-1机关余额分部门2"/>
      <sheetName val="3-3机关直接分部门1"/>
      <sheetName val="3-3机关直接分部门2"/>
      <sheetName val="3-7机关担保分部门1"/>
      <sheetName val="3-7机关担保分部门2"/>
      <sheetName val="3-1事业余额分部门1"/>
      <sheetName val="3-1事业余额分部门"/>
      <sheetName val="3-3事业直接分部门1"/>
      <sheetName val="3-3事业直接分部门2"/>
      <sheetName val="3-7事业担保分部门1"/>
      <sheetName val="3-7事业担保分部门2"/>
      <sheetName val="3-1_融资平台公司余额分部门1"/>
      <sheetName val="3-1_融资平台公司余额分部门"/>
      <sheetName val="3-3_融资平台公司直接分部门1"/>
      <sheetName val="3-3_融资平台公司直接分部门2"/>
      <sheetName val="3-7_融资平台公司担保分部门1"/>
      <sheetName val="3-7_融资平台公司担保分部门2"/>
      <sheetName val="4-1余额来源表"/>
      <sheetName val="4-2余额来源比重表"/>
      <sheetName val="4-3余额来源增长表"/>
      <sheetName val="(来源)债务债权－机关"/>
      <sheetName val="(来源)债务债权－事业单位"/>
      <sheetName val="(来源)债务债权-融资平台公司"/>
      <sheetName val="(余额)年初-年末"/>
      <sheetName val="4-4来源构成图"/>
      <sheetName val="4-5来源构成图(银行存款)"/>
      <sheetName val="4-6来源情况图"/>
      <sheetName val="5-1当年收支平衡表"/>
      <sheetName val="5-2当年余额变动表"/>
      <sheetName val="5-3当年收入分部门表1"/>
      <sheetName val="5-4当年收入分部门表2"/>
      <sheetName val="5-5当年支出分部门表1"/>
      <sheetName val="5-6当年支出分部门表2"/>
      <sheetName val="5-7当年支出用途1"/>
      <sheetName val="5-8当年支出用途2"/>
      <sheetName val="5-7当年支出用途"/>
      <sheetName val="5-7当年支出用途1 (省)"/>
      <sheetName val="5-8当年支出用途2 (省)"/>
      <sheetName val="5-7当年支出用途1 (市)"/>
      <sheetName val="5-8当年支出用途2 (市)"/>
      <sheetName val="5-7当年支出用途1 (县)"/>
      <sheetName val="5-8当年支出用途2 (县)"/>
      <sheetName val="5-9当年偿本付息表"/>
      <sheetName val="5-10偿还来源结构"/>
      <sheetName val="5-11偿还计划"/>
      <sheetName val="6-1历年来政府性债务统计情况"/>
      <sheetName val="6-2历年来总额分地区"/>
      <sheetName val="6-3历年来直接债务分地区"/>
      <sheetName val="6-4历年来担保债务分地区"/>
      <sheetName val="6-5历年来债务（省级）"/>
      <sheetName val="6-6历年来债务（市级）"/>
      <sheetName val="6-7历年来债务（县级）"/>
      <sheetName val="6-8历年来债务（乡镇）"/>
      <sheetName val="6-9历年来债务分来源表1（金融机构）"/>
      <sheetName val="6-10历年来债务分来源表2（上级财政）"/>
      <sheetName val="6-11历年来债务分来源表3（其他）"/>
      <sheetName val="6-12历年来人均债务排序表"/>
      <sheetName val="6-13历年来各地区负债率表"/>
      <sheetName val="6-14历年来各地区债务率表"/>
      <sheetName val="6-15历年来逾期债务表"/>
      <sheetName val="6-16历年来逾期率表"/>
      <sheetName val="人民银行"/>
      <sheetName val="01北京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债券分配统计（未调整前）"/>
      <sheetName val="分配计算表（非扩权县）"/>
      <sheetName val="分配计算表（扩权县）"/>
      <sheetName val="基础数据汇总表"/>
      <sheetName val="基1项目需求"/>
      <sheetName val="基2举债空间"/>
      <sheetName val="需财政资金偿还债务"/>
      <sheetName val="债务逾期表"/>
      <sheetName val="2010年财力表"/>
      <sheetName val="04-09可用财力"/>
      <sheetName val="融资平台投资需求"/>
      <sheetName val="公路里程"/>
      <sheetName val="基础编码"/>
      <sheetName val="1-4余额表"/>
      <sheetName val="C01-1"/>
      <sheetName val="差异系数"/>
      <sheetName val="data"/>
      <sheetName val="中央"/>
      <sheetName val="P1012001"/>
      <sheetName val="基础数据"/>
      <sheetName val="01北京市"/>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1-1余额表"/>
      <sheetName val="2-11担保分级表"/>
      <sheetName val="2-7一般分级表"/>
      <sheetName val="2-1余额分级表"/>
      <sheetName val="2-5直接分级表"/>
      <sheetName val="2-9专项分级表"/>
      <sheetName val="基础数据"/>
      <sheetName val="中央"/>
      <sheetName val="公路里程"/>
      <sheetName val="区划对应表"/>
      <sheetName val="基础编码"/>
      <sheetName val="四月份月报"/>
      <sheetName val="Sheet1"/>
      <sheetName val="1-4余额表"/>
      <sheetName val="P1012001"/>
      <sheetName val="参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07"/>
      <sheetName val="2009"/>
      <sheetName val="第6行"/>
      <sheetName val="动态分析报表"/>
      <sheetName val="C01-1"/>
      <sheetName val="公路里程"/>
      <sheetName val="参数表"/>
      <sheetName val="差异系数"/>
      <sheetName val="data"/>
      <sheetName val="中央"/>
      <sheetName val="01北京市"/>
      <sheetName val="经费权重"/>
      <sheetName val="四月份月报"/>
      <sheetName val="Sheet1"/>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L24"/>
      <sheetName val="08村级"/>
      <sheetName val="经费权重"/>
      <sheetName val="参数表"/>
      <sheetName val="2009"/>
      <sheetName val="分县数据"/>
      <sheetName val="基础编码"/>
      <sheetName val="公路里程"/>
      <sheetName val="差异系数"/>
      <sheetName val="data"/>
      <sheetName val="区划对应表"/>
      <sheetName val="中央"/>
      <sheetName val="有效性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封面"/>
      <sheetName val="目录"/>
      <sheetName val="逻辑关系图"/>
      <sheetName val="1-1余额表"/>
      <sheetName val="1-2余额结构表"/>
      <sheetName val="1-3余额增长表一"/>
      <sheetName val="1-4余额增长表二"/>
      <sheetName val="1-5余额增长表三"/>
      <sheetName val="1-6余额构成图"/>
      <sheetName val="1-7余额分布图"/>
      <sheetName val="1-8余额人均排序表"/>
      <sheetName val="1-9负债率表"/>
      <sheetName val="财力"/>
      <sheetName val="1-10债务率表"/>
      <sheetName val="2-1余额分级表"/>
      <sheetName val="2-2余额分级图"/>
      <sheetName val="2-3余额分级增长表1"/>
      <sheetName val="2-4余额分级增长表2"/>
      <sheetName val="2-5直接分级表"/>
      <sheetName val="2-6直接分级增长表"/>
      <sheetName val="2-7一般分级表"/>
      <sheetName val="2-8一般分级增长表"/>
      <sheetName val="2-9专项分级表"/>
      <sheetName val="2-10专项分级增长表"/>
      <sheetName val="2-11担保分级表"/>
      <sheetName val="2-12担保分级增长表"/>
      <sheetName val="3-1余额分部门1"/>
      <sheetName val="3-1余额分部门2"/>
      <sheetName val="3-2余额分部门比重1"/>
      <sheetName val="3-2余额分部门比重2"/>
      <sheetName val="3-3直接分部门1"/>
      <sheetName val="3-3直接分部门2"/>
      <sheetName val="3-4直接分部门比重1"/>
      <sheetName val="3-4直接分部门比重2"/>
      <sheetName val="3-5一般分部门1"/>
      <sheetName val="3-5一般分部门2"/>
      <sheetName val="3-6专项分部门1"/>
      <sheetName val="3-6专项分部门2"/>
      <sheetName val="3-7担保分部门1"/>
      <sheetName val="3-7担保分部门2"/>
      <sheetName val="2-13余额分部门增长表1"/>
      <sheetName val="2-14余额分部门增长表2"/>
      <sheetName val="2-15余额分部门增长表3"/>
      <sheetName val="2-16余额分部门增长表4"/>
      <sheetName val="2-17余额分部门增长表5"/>
      <sheetName val="2-18直接分部门增长表1"/>
      <sheetName val="2-19直接分部门增长表2"/>
      <sheetName val="2-20直接分部门增长表3"/>
      <sheetName val="2-21直接分部门增长表4"/>
      <sheetName val="2-22直接分部门增长表5"/>
      <sheetName val="2-23一般分部门增长表1"/>
      <sheetName val="2-24一般分部门增长表2"/>
      <sheetName val="2-25一般分部门增长表3"/>
      <sheetName val="2-26一般分部门增长表4"/>
      <sheetName val="2-27一般分部门增长表5"/>
      <sheetName val="2-28专项分部门增长表1"/>
      <sheetName val="2-29专项分部门增长表2"/>
      <sheetName val="2-30专项分部门增长表3"/>
      <sheetName val="2-31专项分部门增长表4"/>
      <sheetName val="2-32专项分部门增长表5"/>
      <sheetName val="2-33担保分部门增长表1"/>
      <sheetName val="2-34担保分部门增长表2"/>
      <sheetName val="2-35担保分部门增长表3"/>
      <sheetName val="2-36担保分部门增长表4"/>
      <sheetName val="2-37担保分部门增长表5"/>
      <sheetName val="4-1余额逾期"/>
      <sheetName val="4-2余额vs逾期图"/>
      <sheetName val="4-3余额逾期增长"/>
      <sheetName val="4-4余额逾期分级"/>
      <sheetName val="4-5直接逾期"/>
      <sheetName val="4-6直接逾期分级"/>
      <sheetName val="4-7担保逾期"/>
      <sheetName val="4-8担保逾期分级"/>
      <sheetName val="4-9当年逾期增减"/>
      <sheetName val="5-1余额来源表"/>
      <sheetName val="5-2余额来源比重表"/>
      <sheetName val="5-3余额来源增长表"/>
      <sheetName val="5-4余额来源构成图"/>
      <sheetName val="5-5余额来源情况图"/>
      <sheetName val="6-1当年收支平衡表"/>
      <sheetName val="6-2当年余额变动表"/>
      <sheetName val="6-3当年收入分部门表1"/>
      <sheetName val="6-3当年收入分部门表2"/>
      <sheetName val="6-4当年支出分部门表1"/>
      <sheetName val="6-4当年支出分部门表2"/>
      <sheetName val="6-5当年支出用途1"/>
      <sheetName val="6-5当年支出用途2"/>
      <sheetName val="6-6当年偿本付息表"/>
      <sheetName val="6-7偿还计划"/>
      <sheetName val="〇七年初"/>
      <sheetName val="县级表"/>
      <sheetName val="风险指标"/>
      <sheetName val="2006年末"/>
      <sheetName val="〇六年末整理"/>
      <sheetName val="年末"/>
      <sheetName val="基础表"/>
      <sheetName val="省级"/>
      <sheetName val="市级表"/>
      <sheetName val="编码"/>
      <sheetName val="图数据表"/>
      <sheetName val="DB"/>
      <sheetName val="基础数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2014年横排表"/>
      <sheetName val="01北京市"/>
      <sheetName val="02天津市"/>
      <sheetName val="03河北省"/>
      <sheetName val="04山西省"/>
      <sheetName val="05内蒙古"/>
      <sheetName val="06辽宁省"/>
      <sheetName val="06辽宁地区"/>
      <sheetName val="07大连市"/>
      <sheetName val="08吉林省"/>
      <sheetName val="09黑龙江"/>
      <sheetName val="10上海市"/>
      <sheetName val="11江苏省"/>
      <sheetName val="12浙江省"/>
      <sheetName val="12浙江地区"/>
      <sheetName val="13宁波市"/>
      <sheetName val="14安徽省"/>
      <sheetName val="15福建省"/>
      <sheetName val="15福建地区"/>
      <sheetName val="16厦门市"/>
      <sheetName val="17江西省"/>
      <sheetName val="18山东省"/>
      <sheetName val="18山东地区"/>
      <sheetName val="19青岛市"/>
      <sheetName val="20河南省"/>
      <sheetName val="21湖北省"/>
      <sheetName val="22湖南省"/>
      <sheetName val="23广东省"/>
      <sheetName val="23广东地区"/>
      <sheetName val="24深圳市"/>
      <sheetName val="25广西自治区"/>
      <sheetName val="26海南省"/>
      <sheetName val="27重庆市"/>
      <sheetName val="28四川省"/>
      <sheetName val="29贵州省"/>
      <sheetName val="30云南省"/>
      <sheetName val="31西藏自治区"/>
      <sheetName val="32陕西省"/>
      <sheetName val="33甘肃省"/>
      <sheetName val="34青海省"/>
      <sheetName val="35宁夏自治区"/>
      <sheetName val="36新疆自治区"/>
      <sheetName val="2014年平衡"/>
      <sheetName val="2014年补助"/>
      <sheetName val="2014年上解"/>
      <sheetName val="分县数据"/>
      <sheetName val="1-4余额表"/>
      <sheetName val="Chap5_1"/>
      <sheetName val="人民银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区划对应表"/>
      <sheetName val="举借方式"/>
      <sheetName val="银行"/>
      <sheetName val="有效性列表"/>
      <sheetName val="00 目录"/>
      <sheetName val="公司债务项目情况表"/>
      <sheetName val="公司资产、在建项目情况表"/>
      <sheetName val="01个数"/>
      <sheetName val="02余额--汇总"/>
      <sheetName val="03来源--汇总"/>
      <sheetName val="04来源--省级"/>
      <sheetName val="05来源--市级"/>
      <sheetName val="06来源--县级"/>
      <sheetName val="08方式--省级"/>
      <sheetName val="09方式--市级"/>
      <sheetName val="10方式--县级"/>
      <sheetName val="07方式--汇总"/>
      <sheetName val="11资产负债--汇总"/>
      <sheetName val="12在建项目--汇总"/>
      <sheetName val="经费权重"/>
      <sheetName val="1-1余额表"/>
      <sheetName val="2-11担保分级表"/>
      <sheetName val="2-7一般分级表"/>
      <sheetName val="2-1余额分级表"/>
      <sheetName val="2-5直接分级表"/>
      <sheetName val="2-9专项分级表"/>
      <sheetName val="P1012001"/>
      <sheetName val="01北京市"/>
      <sheetName val="基础编码"/>
      <sheetName val="C01-1"/>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人民银行"/>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0000000"/>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StartUp_13"/>
      <sheetName val="StartUp_14"/>
      <sheetName val="StartUp_15"/>
      <sheetName val="StartUp_16"/>
      <sheetName val="StartUp_17"/>
      <sheetName val="StartUp_18"/>
      <sheetName val="StartUp_19"/>
      <sheetName val="StartUp_20"/>
      <sheetName val="StartUp_21"/>
      <sheetName val="StartUp_22"/>
      <sheetName val="StartUp_23"/>
      <sheetName val="StartUp_24"/>
      <sheetName val="StartUp_25"/>
      <sheetName val="StartUp_26"/>
      <sheetName val="StartUp_27"/>
      <sheetName val="StartUp_28"/>
      <sheetName val="StartUp_29"/>
      <sheetName val="StartUp_30"/>
      <sheetName val="StartUp_31"/>
      <sheetName val="StartUp_32"/>
      <sheetName val="StartUp_33"/>
      <sheetName val="StartUp_34"/>
      <sheetName val="StartUp_35"/>
      <sheetName val="StartUp_36"/>
      <sheetName val="StartUp_37"/>
      <sheetName val="StartUp_38"/>
      <sheetName val="StartUp_39"/>
      <sheetName val="StartUp_40"/>
      <sheetName val="StartUp_41"/>
      <sheetName val="StartUp_42"/>
      <sheetName val="StartUp_43"/>
      <sheetName val="StartUp_44"/>
      <sheetName val="StartUp_45"/>
      <sheetName val="StartUp_46"/>
      <sheetName val="StartUp_47"/>
      <sheetName val="StartUp_48"/>
      <sheetName val="StartUp_49"/>
      <sheetName val="StartUp_50"/>
      <sheetName val="StartUp_51"/>
      <sheetName val="StartUp_52"/>
      <sheetName val="StartUp_53"/>
      <sheetName val="StartUp_54"/>
      <sheetName val="StartUp_55"/>
      <sheetName val="StartUp_56"/>
      <sheetName val="StartUp_57"/>
      <sheetName val="StartUp_58"/>
      <sheetName val="StartUp_59"/>
      <sheetName val="StartUp_60"/>
      <sheetName val="StartUp_61"/>
      <sheetName val="StartUp_62"/>
      <sheetName val="StartUp_63"/>
      <sheetName val="StartUp_64"/>
      <sheetName val="StartUp_65"/>
      <sheetName val="StartUp_66"/>
      <sheetName val="StartUp_67"/>
      <sheetName val="StartUp_68"/>
      <sheetName val="StartUp_69"/>
      <sheetName val="StartUp_70"/>
      <sheetName val="StartUp_71"/>
      <sheetName val="StartUp_72"/>
      <sheetName val="StartUp_73"/>
      <sheetName val="StartUp_74"/>
      <sheetName val="StartUp_75"/>
      <sheetName val="StartUp_76"/>
      <sheetName val="StartUp_77"/>
      <sheetName val="StartUp_78"/>
      <sheetName val="StartUp_79"/>
      <sheetName val="StartUp_80"/>
      <sheetName val="StartUp_81"/>
      <sheetName val="StartUp_82"/>
      <sheetName val="StartUp_83"/>
      <sheetName val="StartUp_84"/>
      <sheetName val="StartUp_85"/>
      <sheetName val="StartUp_86"/>
      <sheetName val="StartUp_87"/>
      <sheetName val="StartUp_88"/>
      <sheetName val="StartUp_89"/>
      <sheetName val="StartUp_90"/>
      <sheetName val="StartUp_91"/>
      <sheetName val="StartUp_92"/>
      <sheetName val="StartUp_93"/>
      <sheetName val="StartUp_94"/>
      <sheetName val="StartUp_95"/>
      <sheetName val="StartUp_96"/>
      <sheetName val="StartUp_97"/>
      <sheetName val="StartUp_98"/>
      <sheetName val="StartUp_99"/>
      <sheetName val="StartUp_100"/>
      <sheetName val="StartUp_101"/>
      <sheetName val="StartUp_102"/>
      <sheetName val="StartUp_103"/>
      <sheetName val="StartUp_104"/>
      <sheetName val="StartUp_105"/>
      <sheetName val="StartUp_106"/>
      <sheetName val="StartUp_107"/>
      <sheetName val="StartUp_108"/>
      <sheetName val="StartUp_109"/>
      <sheetName val="StartUp_110"/>
      <sheetName val="StartUp_111"/>
      <sheetName val="StartUp_112"/>
      <sheetName val="StartUp_113"/>
      <sheetName val="StartUp_114"/>
      <sheetName val="StartUp_115"/>
      <sheetName val="StartUp_116"/>
      <sheetName val="StartUp_117"/>
      <sheetName val="StartUp_118"/>
      <sheetName val="StartUp_119"/>
      <sheetName val="StartUp_120"/>
      <sheetName val="StartUp_121"/>
      <sheetName val="StartUp_122"/>
      <sheetName val="StartUp_123"/>
      <sheetName val="StartUp_124"/>
      <sheetName val="StartUp_125"/>
      <sheetName val="StartUp_126"/>
      <sheetName val="StartUp_127"/>
      <sheetName val="StartUp_128"/>
      <sheetName val="StartUp_129"/>
      <sheetName val="StartUp_130"/>
      <sheetName val="StartUp_131"/>
      <sheetName val="StartUp_132"/>
      <sheetName val="StartUp_133"/>
      <sheetName val="StartUp_134"/>
      <sheetName val="StartUp_135"/>
      <sheetName val="StartUp_136"/>
      <sheetName val="StartUp_137"/>
      <sheetName val="StartUp_138"/>
      <sheetName val="StartUp_139"/>
      <sheetName val="StartUp_140"/>
      <sheetName val="StartUp_141"/>
      <sheetName val="StartUp_142"/>
      <sheetName val="StartUp_143"/>
      <sheetName val="StartUp_144"/>
      <sheetName val="StartUp_145"/>
      <sheetName val="StartUp_146"/>
      <sheetName val="StartUp_147"/>
      <sheetName val="StartUp_148"/>
      <sheetName val="StartUp_149"/>
      <sheetName val="StartUp_150"/>
      <sheetName val="StartUp_151"/>
      <sheetName val="StartUp_152"/>
      <sheetName val="StartUp_153"/>
      <sheetName val="StartUp_154"/>
      <sheetName val="StartUp_155"/>
      <sheetName val="StartUp_156"/>
      <sheetName val="StartUp_157"/>
      <sheetName val="StartUp_158"/>
      <sheetName val="StartUp_159"/>
      <sheetName val="StartUp_160"/>
      <sheetName val="StartUp_161"/>
      <sheetName val="StartUp_162"/>
      <sheetName val="StartUp_163"/>
      <sheetName val="StartUp_164"/>
      <sheetName val="StartUp_165"/>
      <sheetName val="StartUp_166"/>
      <sheetName val="StartUp_167"/>
      <sheetName val="StartUp_168"/>
      <sheetName val="StartUp_169"/>
      <sheetName val="StartUp_170"/>
      <sheetName val="StartUp_171"/>
      <sheetName val="StartUp_172"/>
      <sheetName val="StartUp_173"/>
      <sheetName val="StartUp_174"/>
      <sheetName val="StartUp_175"/>
      <sheetName val="StartUp_176"/>
      <sheetName val="StartUp_177"/>
      <sheetName val="StartUp_178"/>
      <sheetName val="StartUp_179"/>
      <sheetName val="StartUp_180"/>
      <sheetName val="StartUp_181"/>
      <sheetName val="StartUp_182"/>
      <sheetName val="StartUp_183"/>
      <sheetName val="StartUp_184"/>
      <sheetName val="StartUp_185"/>
      <sheetName val="StartUp_186"/>
      <sheetName val="StartUp_187"/>
      <sheetName val="StartUp_188"/>
      <sheetName val="StartUp_189"/>
      <sheetName val="StartUp_190"/>
      <sheetName val="StartUp_191"/>
      <sheetName val="StartUp_192"/>
      <sheetName val="StartUp_193"/>
      <sheetName val="StartUp_194"/>
      <sheetName val="StartUp_195"/>
      <sheetName val="StartUp_196"/>
      <sheetName val="StartUp_197"/>
      <sheetName val="StartUp_198"/>
      <sheetName val="StartUp_199"/>
      <sheetName val="StartUp_200"/>
      <sheetName val="StartUp_201"/>
      <sheetName val="StartUp_202"/>
      <sheetName val="StartUp_203"/>
      <sheetName val="StartUp_204"/>
      <sheetName val="StartUp_205"/>
      <sheetName val="StartUp_206"/>
      <sheetName val="StartUp_207"/>
      <sheetName val="StartUp_208"/>
      <sheetName val="StartUp_209"/>
      <sheetName val="StartUp_210"/>
      <sheetName val="StartUp_211"/>
      <sheetName val="StartUp_212"/>
      <sheetName val="StartUp_213"/>
      <sheetName val="StartUp_214"/>
      <sheetName val="StartUp_215"/>
      <sheetName val="StartUp_216"/>
      <sheetName val="StartUp_217"/>
      <sheetName val="StartUp_218"/>
      <sheetName val="StartUp_219"/>
      <sheetName val="StartUp_220"/>
      <sheetName val="StartUp_221"/>
      <sheetName val="StartUp_222"/>
      <sheetName val="StartUp_223"/>
      <sheetName val="StartUp_224"/>
      <sheetName val="StartUp_225"/>
      <sheetName val="StartUp_226"/>
      <sheetName val="StartUp_227"/>
      <sheetName val="StartUp_228"/>
      <sheetName val="StartUp_229"/>
      <sheetName val="StartUp_230"/>
      <sheetName val="StartUp_231"/>
      <sheetName val="StartUp_232"/>
      <sheetName val="StartUp_233"/>
      <sheetName val="StartUp_234"/>
      <sheetName val="StartUp_235"/>
      <sheetName val="StartUp_236"/>
      <sheetName val="StartUp_237"/>
      <sheetName val="StartUp_238"/>
      <sheetName val="StartUp_239"/>
      <sheetName val="StartUp_240"/>
      <sheetName val="StartUp_241"/>
      <sheetName val="StartUp_242"/>
      <sheetName val="StartUp_243"/>
      <sheetName val="StartUp_244"/>
      <sheetName val="StartUp_245"/>
      <sheetName val="StartUp_246"/>
      <sheetName val="StartUp_247"/>
      <sheetName val="StartUp_248"/>
      <sheetName val="StartUp_249"/>
      <sheetName val="StartUp_250"/>
      <sheetName val="StartUp_251"/>
      <sheetName val="StartUp_252"/>
      <sheetName val="StartUp_253"/>
      <sheetName val="StartUp_254"/>
      <sheetName val="StartUp_255"/>
      <sheetName val="StartUp_256"/>
      <sheetName val="StartUp_257"/>
      <sheetName val="StartUp_258"/>
      <sheetName val="StartUp_259"/>
      <sheetName val="StartUp_260"/>
      <sheetName val="StartUp_261"/>
      <sheetName val="StartUp_262"/>
      <sheetName val="StartUp_263"/>
      <sheetName val="StartUp_264"/>
      <sheetName val="StartUp_265"/>
      <sheetName val="StartUp_266"/>
      <sheetName val="StartUp_267"/>
      <sheetName val="StartUp_268"/>
      <sheetName val="StartUp_269"/>
      <sheetName val="StartUp_270"/>
      <sheetName val="StartUp_271"/>
      <sheetName val="StartUp_272"/>
      <sheetName val="StartUp_273"/>
      <sheetName val="StartUp_274"/>
      <sheetName val="StartUp_275"/>
      <sheetName val="StartUp_276"/>
      <sheetName val="StartUp_277"/>
      <sheetName val="StartUp_278"/>
      <sheetName val="StartUp_279"/>
      <sheetName val="StartUp_280"/>
      <sheetName val="StartUp_281"/>
      <sheetName val="StartUp_282"/>
      <sheetName val="StartUp_283"/>
      <sheetName val="StartUp_284"/>
      <sheetName val="StartUp_285"/>
      <sheetName val="StartUp_286"/>
      <sheetName val="StartUp_287"/>
      <sheetName val="StartUp_288"/>
      <sheetName val="StartUp_289"/>
      <sheetName val="StartUp_290"/>
      <sheetName val="StartUp_291"/>
      <sheetName val="StartUp_292"/>
      <sheetName val="StartUp_293"/>
      <sheetName val="StartUp_294"/>
      <sheetName val="StartUp_295"/>
      <sheetName val="StartUp_296"/>
      <sheetName val="StartUp_297"/>
      <sheetName val="StartUp_298"/>
      <sheetName val="StartUp_299"/>
      <sheetName val="StartUp_300"/>
      <sheetName val="StartUp_301"/>
      <sheetName val="StartUp_302"/>
      <sheetName val="StartUp_303"/>
      <sheetName val="StartUp_304"/>
      <sheetName val="StartUp_305"/>
      <sheetName val="StartUp_306"/>
      <sheetName val="StartUp_307"/>
      <sheetName val="StartUp_308"/>
      <sheetName val="StartUp_309"/>
      <sheetName val="StartUp_310"/>
      <sheetName val="StartUp_311"/>
      <sheetName val="StartUp_312"/>
      <sheetName val="StartUp_313"/>
      <sheetName val="StartUp_314"/>
      <sheetName val="StartUp_315"/>
      <sheetName val="StartUp_316"/>
      <sheetName val="StartUp_317"/>
      <sheetName val="StartUp_318"/>
      <sheetName val="StartUp_319"/>
      <sheetName val="StartUp_320"/>
      <sheetName val="StartUp_321"/>
      <sheetName val="StartUp_322"/>
      <sheetName val="StartUp_323"/>
      <sheetName val="StartUp_324"/>
      <sheetName val="StartUp_325"/>
      <sheetName val="StartUp_326"/>
      <sheetName val="StartUp_327"/>
      <sheetName val="StartUp_328"/>
      <sheetName val="StartUp_329"/>
      <sheetName val="StartUp_330"/>
      <sheetName val="StartUp_331"/>
      <sheetName val="StartUp_332"/>
      <sheetName val="StartUp_333"/>
      <sheetName val="StartUp_334"/>
      <sheetName val="StartUp_335"/>
      <sheetName val="StartUp_336"/>
      <sheetName val="StartUp_337"/>
      <sheetName val="StartUp_338"/>
      <sheetName val="StartUp_339"/>
      <sheetName val="StartUp_340"/>
      <sheetName val="StartUp_341"/>
      <sheetName val="StartUp_342"/>
      <sheetName val="StartUp_343"/>
      <sheetName val="StartUp_344"/>
      <sheetName val="StartUp_345"/>
      <sheetName val="StartUp_346"/>
      <sheetName val="StartUp_347"/>
      <sheetName val="StartUp_348"/>
      <sheetName val="StartUp_349"/>
      <sheetName val="StartUp_350"/>
      <sheetName val="StartUp_351"/>
      <sheetName val="StartUp_352"/>
      <sheetName val="StartUp_353"/>
      <sheetName val="StartUp_354"/>
      <sheetName val="StartUp_355"/>
      <sheetName val="StartUp_356"/>
      <sheetName val="StartUp_357"/>
      <sheetName val="StartUp_358"/>
      <sheetName val="StartUp_359"/>
      <sheetName val="StartUp_360"/>
      <sheetName val="StartUp_361"/>
      <sheetName val="StartUp_362"/>
      <sheetName val="StartUp_363"/>
      <sheetName val="StartUp_364"/>
      <sheetName val="StartUp_365"/>
      <sheetName val="StartUp_366"/>
      <sheetName val="StartUp_367"/>
      <sheetName val="StartUp_368"/>
      <sheetName val="StartUp_369"/>
      <sheetName val="StartUp_370"/>
      <sheetName val="StartUp_371"/>
      <sheetName val="StartUp_372"/>
      <sheetName val="StartUp_373"/>
      <sheetName val="StartUp_374"/>
      <sheetName val="StartUp_375"/>
      <sheetName val="StartUp_376"/>
      <sheetName val="StartUp_377"/>
      <sheetName val="StartUp_378"/>
      <sheetName val="区划对应表"/>
      <sheetName val="四川-对账表"/>
      <sheetName val="核对表"/>
      <sheetName val="四川-对账表 (2)"/>
      <sheetName val="四月份月报"/>
      <sheetName val="C01-1"/>
      <sheetName val="有效性列表"/>
      <sheetName val="D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四月份月报"/>
      <sheetName val="国家"/>
      <sheetName val="P1012001"/>
      <sheetName val="Sheet1"/>
      <sheetName val="有效性列表"/>
      <sheetName val="区划对应表"/>
      <sheetName val="参数表"/>
      <sheetName val="分县数据"/>
      <sheetName val="公路里程"/>
      <sheetName val="人民银行"/>
      <sheetName val="01北京市"/>
      <sheetName val="L24"/>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录入13"/>
      <sheetName val="录入14"/>
      <sheetName val="合计"/>
      <sheetName val="分县数据"/>
      <sheetName val="P1012001"/>
      <sheetName val="区划对应表"/>
      <sheetName val="L24"/>
      <sheetName val="四月份月报"/>
      <sheetName val="经费权重"/>
      <sheetName val="国家"/>
      <sheetName val="总表"/>
      <sheetName val="Sheet1"/>
      <sheetName val="01北京市"/>
      <sheetName val="1-1余额表"/>
      <sheetName val="2-11担保分级表"/>
      <sheetName val="2-7一般分级表"/>
      <sheetName val="2-1余额分级表"/>
      <sheetName val="2-5直接分级表"/>
      <sheetName val="2-9专项分级表"/>
      <sheetName val="有效性列表"/>
      <sheetName val="公路里程"/>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L24"/>
      <sheetName val="1-4余额表"/>
      <sheetName val="中央"/>
      <sheetName val="分县数据"/>
      <sheetName val="四月份月报"/>
      <sheetName val="参数表"/>
      <sheetName val="C01-1"/>
      <sheetName val="经费权重"/>
      <sheetName val="国家"/>
      <sheetName val="区划对应表"/>
      <sheetName val="下拉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填报说明"/>
      <sheetName val="表A 政府平台明细"/>
      <sheetName val="表B 保障性住房明细"/>
      <sheetName val="表C 汇总表"/>
      <sheetName val="表D 8月放款客户"/>
      <sheetName val="表E 修改备忘"/>
      <sheetName val="参数表"/>
      <sheetName val="Sheet1"/>
      <sheetName val="分县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C01-1"/>
      <sheetName val="Define"/>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_x005f_x005f_x005f_x0000__x005f"/>
      <sheetName val="_x005f_x005f_x005f_x005f_"/>
      <sheetName val="_x005f_x005f_x005f_x005f_x005f_x005f_x005f_x005f_x005f_x005f_"/>
      <sheetName val="Sheet1"/>
      <sheetName val="_x005f_x005f_x005f_x005f_x005f_x005f_x005f_x005f_"/>
      <sheetName val="有效性列表"/>
      <sheetName val="区划对应表"/>
      <sheetName val="L24"/>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2007"/>
      <sheetName val="2008"/>
      <sheetName val="第6行"/>
      <sheetName val="动态分析报表"/>
      <sheetName val="区划对应表"/>
      <sheetName val="中央"/>
      <sheetName val="P1012001"/>
      <sheetName val="C01-1"/>
      <sheetName val="Sheet1"/>
      <sheetName val="总表"/>
      <sheetName val="经费权重"/>
      <sheetName val="基础数据"/>
      <sheetName val="参数表"/>
      <sheetName val="国家"/>
      <sheetName val="分县数据"/>
      <sheetName val="1-1余额表"/>
      <sheetName val="2-11担保分级表"/>
      <sheetName val="2-7一般分级表"/>
      <sheetName val="2-1余额分级表"/>
      <sheetName val="2-5直接分级表"/>
      <sheetName val="2-9专项分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需要调整指标"/>
      <sheetName val="发文表数8296"/>
      <sheetName val="发文表数"/>
      <sheetName val="增长率"/>
      <sheetName val="总表"/>
      <sheetName val="标准收入"/>
      <sheetName val="标准支出"/>
      <sheetName val="转移支付系数"/>
      <sheetName val="困难程度系数"/>
      <sheetName val="奖励资金"/>
      <sheetName val="标准支出-对比"/>
      <sheetName val="特殊因素"/>
      <sheetName val="分省"/>
      <sheetName val="总人口人均"/>
      <sheetName val="分年分析"/>
      <sheetName val="2013总表"/>
      <sheetName val="2013收入"/>
      <sheetName val="2013支出"/>
      <sheetName val="少少数民族人口"/>
      <sheetName val="2012年平衡"/>
      <sheetName val="2012年补助"/>
      <sheetName val="2012年上解"/>
      <sheetName val="2012总表"/>
      <sheetName val="2012收入"/>
      <sheetName val="2012支出"/>
      <sheetName val="2010年平衡"/>
      <sheetName val="2010年补助"/>
      <sheetName val="2010年上解"/>
      <sheetName val="2011年平衡"/>
      <sheetName val="2011年补助"/>
      <sheetName val="2011年上解"/>
      <sheetName val="总表1"/>
      <sheetName val="标准支出 (2)"/>
      <sheetName val="2011年标准支出"/>
      <sheetName val="历年增长率"/>
      <sheetName val="困难程度系数 (2)"/>
      <sheetName val="P1012001"/>
      <sheetName val="L24"/>
      <sheetName val="有效性列表"/>
      <sheetName val="区划对应表"/>
      <sheetName val="基础数据"/>
      <sheetName val="中央"/>
      <sheetName val="2007"/>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tartUp"/>
      <sheetName val="区划对应表"/>
      <sheetName val="举借方式"/>
      <sheetName val="银行"/>
      <sheetName val="有效性列表"/>
      <sheetName val="00 目录"/>
      <sheetName val="封面"/>
      <sheetName val="公司债务项目情况表"/>
      <sheetName val="公司资产、在建项目情况表"/>
      <sheetName val="01个数"/>
      <sheetName val="02余额--汇总"/>
      <sheetName val="03来源--汇总"/>
      <sheetName val="04来源--省级"/>
      <sheetName val="05来源--市级"/>
      <sheetName val="06来源--县级"/>
      <sheetName val="07方式--汇总"/>
      <sheetName val="08方式--省级"/>
      <sheetName val="09方式--市级"/>
      <sheetName val="10方式--县级"/>
      <sheetName val="11资产负债--汇总"/>
      <sheetName val="12在建项目--汇总"/>
      <sheetName val="分县数据"/>
      <sheetName val="国家"/>
      <sheetName val="L24"/>
      <sheetName val="总表"/>
      <sheetName val="1-1余额表"/>
      <sheetName val="2-11担保分级表"/>
      <sheetName val="2-7一般分级表"/>
      <sheetName val="2-1余额分级表"/>
      <sheetName val="2-5直接分级表"/>
      <sheetName val="2-9专项分级表"/>
      <sheetName val="2007"/>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Sheet1"/>
      <sheetName val="国家"/>
      <sheetName val="中央"/>
      <sheetName val="公路里程"/>
      <sheetName val="有效性列表"/>
      <sheetName val="区划对应表"/>
      <sheetName val="参数表"/>
      <sheetName val="总表"/>
      <sheetName val="工商税收"/>
      <sheetName val="D011H403"/>
      <sheetName val="_ESList"/>
      <sheetName val="事业发展"/>
      <sheetName val="P1012001"/>
      <sheetName val="DDETABLE "/>
      <sheetName val="基础编码"/>
      <sheetName val="2014"/>
      <sheetName val="XL4Poppy"/>
      <sheetName val=""/>
      <sheetName val="#REF!"/>
      <sheetName val="_x005f_x0000__x005f_x0000__x005f_x0000__x005f_x0000__x0"/>
      <sheetName val="_x005f_x005f_x005f_x0000__x005f_x005f_x005f_x0000__x005"/>
      <sheetName val="1-4余额表"/>
      <sheetName val="_x005f_x005f_x005f_x005f_x005f_x005f_x005f_x0000__x005f"/>
      <sheetName val="________"/>
      <sheetName val="_____x0"/>
      <sheetName val="_x005f_x005f_x005f_x005f_x005f_x005f_x005f_x005f_x005f_x005f_"/>
      <sheetName val="公检法司编制"/>
      <sheetName val="行政编制"/>
      <sheetName val="农业人口"/>
      <sheetName val="????????"/>
      <sheetName val="????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01 汇总表（下发数据内）"/>
      <sheetName val="02 项目统计表（下发数据内）"/>
      <sheetName val="01 汇总表（下发数据外）"/>
      <sheetName val="02 项目统计表（下发数据外）"/>
      <sheetName val="Sheet4"/>
      <sheetName val="基础数据"/>
      <sheetName val="Chap5_1"/>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区划对应表"/>
      <sheetName val="国家"/>
      <sheetName val="基础数据"/>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1012001"/>
      <sheetName val="基础编码"/>
      <sheetName val="参数表"/>
      <sheetName val="2002年一般预算收入"/>
      <sheetName val="财政供养人员增幅"/>
      <sheetName val="工商税收"/>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2007"/>
      <sheetName val="农业人口"/>
      <sheetName val="本年收入合计"/>
      <sheetName val="事业发展"/>
      <sheetName val="基础数据"/>
      <sheetName val="1-4余额表"/>
      <sheetName val="Sheet1"/>
      <sheetName val="XL4Poppy"/>
      <sheetName val=""/>
      <sheetName val="_x005f_x0000__x005f_x0000__x005f_x0000__x005f_x0000__x0"/>
      <sheetName val="_x005f_x005f_x005f_x0000__x005f_x005f_x005f_x0000__x005"/>
      <sheetName val="20 运输公司"/>
      <sheetName val="_x005f_x005f_x005f_x005f_x005f_x005f_x005f_x0000__x005f"/>
      <sheetName val="市级专项格式"/>
      <sheetName val="经济科目"/>
      <sheetName val="维修租赁"/>
      <sheetName val="专项业务"/>
      <sheetName val="_x005f_x005f_x005f_x005f_x005f_x005f_x005f_x005f_x005f_x005f_"/>
      <sheetName val="行政区划"/>
      <sheetName val="POWER ASSUMPTIONS"/>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人民银行"/>
      <sheetName val="银监部门"/>
      <sheetName val="财政部门"/>
      <sheetName val="三方对账表"/>
      <sheetName val="三方对账表 (2)"/>
      <sheetName val="三方对账表 (3)"/>
      <sheetName val="Sheet1"/>
      <sheetName val="下拉选项"/>
      <sheetName val="Sheet2"/>
      <sheetName val="1-4余额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1.2020年地方政府新增债券需求情况汇总表"/>
      <sheetName val="提前批"/>
      <sheetName val="第2批一般债券"/>
      <sheetName val="第2批专项债券"/>
      <sheetName val="项目类型1"/>
      <sheetName val="第2批专项债券（简表）"/>
      <sheetName val="DB"/>
      <sheetName val="db3"/>
      <sheetName val="1-1余额表"/>
      <sheetName val="2-11担保分级表"/>
      <sheetName val="2-7一般分级表"/>
      <sheetName val="2-1余额分级表"/>
      <sheetName val="2-5直接分级表"/>
      <sheetName val="2-9专项分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chap5_4"/>
      <sheetName val="chap5_3"/>
      <sheetName val="chap5_2"/>
      <sheetName val="Chap5_1"/>
      <sheetName val="区划对应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2007"/>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 val="Sheet2"/>
      <sheetName val="下拉选项"/>
      <sheetName val="经费权重"/>
      <sheetName val="mmm"/>
      <sheetName val="人员支出"/>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4"/>
      <sheetName val="表5"/>
      <sheetName val="表6"/>
      <sheetName val="项目类型"/>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1012001"/>
      <sheetName val="有效性列表"/>
      <sheetName val="区划对应表"/>
      <sheetName val="项目类型"/>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区划对应表"/>
      <sheetName val="1-4余额表"/>
      <sheetName val="表二"/>
      <sheetName val="表五"/>
      <sheetName val="2012.2.2 (整合)"/>
      <sheetName val="2012.2.2"/>
      <sheetName val="全市结转"/>
      <sheetName val="提前告知数"/>
      <sheetName val="总人口"/>
      <sheetName val="基础编码"/>
      <sheetName val="省本级收入预计"/>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差异系数"/>
      <sheetName val="data"/>
      <sheetName val="Financ. Overview"/>
      <sheetName val="Toolbox"/>
      <sheetName val="Main"/>
      <sheetName val="_ESList"/>
      <sheetName val="一般预算收入"/>
      <sheetName val="表二 汇总表（业务处填）"/>
      <sheetName val="KKKKKKKK"/>
      <sheetName val="农业人口"/>
      <sheetName val="Open"/>
      <sheetName val="事业发展"/>
      <sheetName val="公检法司编制"/>
      <sheetName val="行政编制"/>
      <sheetName val="人民银行"/>
      <sheetName val="2009"/>
      <sheetName val="GDP"/>
      <sheetName val="本年收入合计"/>
      <sheetName val="财政部和发改委范围"/>
      <sheetName val="POWER ASSUMPTIONS"/>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各年度收费、罚没、专项收入.xls]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表1"/>
      <sheetName val="表2"/>
      <sheetName val="表3"/>
      <sheetName val="表4"/>
      <sheetName val="表5"/>
      <sheetName val="表6"/>
      <sheetName val="Sheet1"/>
      <sheetName val="项目类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8"/>
  <sheetViews>
    <sheetView showZeros="0" tabSelected="1" view="pageBreakPreview" zoomScaleNormal="100" workbookViewId="0">
      <selection activeCell="A8" sqref="A8:K8"/>
    </sheetView>
  </sheetViews>
  <sheetFormatPr defaultColWidth="9" defaultRowHeight="20" customHeight="1"/>
  <cols>
    <col min="1" max="5" width="9" style="353"/>
    <col min="6" max="6" width="12.625" style="353" customWidth="1"/>
    <col min="7" max="7" width="27" style="353"/>
    <col min="8" max="8" width="9" style="353"/>
    <col min="9" max="9" width="9.75" style="353" customWidth="1"/>
    <col min="10" max="16384" width="9" style="353"/>
  </cols>
  <sheetData>
    <row r="2" s="353" customFormat="1" customHeight="1" spans="1:10">
      <c r="A2" s="354"/>
      <c r="B2" s="354"/>
      <c r="C2" s="354"/>
      <c r="D2" s="355"/>
      <c r="E2" s="355"/>
      <c r="F2" s="355"/>
      <c r="G2" s="355"/>
      <c r="H2" s="355"/>
      <c r="I2" s="355"/>
      <c r="J2" s="355"/>
    </row>
    <row r="3" s="353" customFormat="1" customHeight="1" spans="3:10">
      <c r="C3" s="355"/>
      <c r="D3" s="355"/>
      <c r="E3" s="355"/>
      <c r="F3" s="355"/>
      <c r="G3" s="355"/>
      <c r="H3" s="355"/>
      <c r="I3" s="355"/>
      <c r="J3" s="355"/>
    </row>
    <row r="4" s="353" customFormat="1" customHeight="1" spans="3:10">
      <c r="C4" s="355"/>
      <c r="D4" s="355"/>
      <c r="E4" s="355"/>
      <c r="F4" s="355"/>
      <c r="G4" s="355"/>
      <c r="H4" s="355"/>
      <c r="I4" s="355"/>
      <c r="J4" s="355"/>
    </row>
    <row r="5" s="353" customFormat="1" customHeight="1" spans="3:12">
      <c r="C5" s="355"/>
      <c r="D5" s="355"/>
      <c r="E5" s="355"/>
      <c r="F5" s="355"/>
      <c r="G5" s="355"/>
      <c r="H5" s="355"/>
      <c r="I5" s="355"/>
      <c r="L5" s="355"/>
    </row>
    <row r="8" s="352" customFormat="1" ht="50" customHeight="1" spans="1:12">
      <c r="A8" s="356" t="s">
        <v>0</v>
      </c>
      <c r="B8" s="356"/>
      <c r="C8" s="356"/>
      <c r="D8" s="356"/>
      <c r="E8" s="356"/>
      <c r="F8" s="356"/>
      <c r="G8" s="356"/>
      <c r="H8" s="356"/>
      <c r="I8" s="356"/>
      <c r="J8" s="356"/>
      <c r="K8" s="356"/>
      <c r="L8" s="359"/>
    </row>
    <row r="15" s="353" customFormat="1" customHeight="1" spans="1:12">
      <c r="A15" s="357" t="s">
        <v>1</v>
      </c>
      <c r="B15" s="357"/>
      <c r="C15" s="357"/>
      <c r="D15" s="357"/>
      <c r="E15" s="357"/>
      <c r="F15" s="357"/>
      <c r="G15" s="357"/>
      <c r="H15" s="357"/>
      <c r="I15" s="357"/>
      <c r="J15" s="357"/>
      <c r="K15" s="357"/>
      <c r="L15" s="355"/>
    </row>
    <row r="16" s="353" customFormat="1" customHeight="1" spans="3:8">
      <c r="C16" s="355"/>
      <c r="D16" s="355"/>
      <c r="E16" s="355"/>
      <c r="F16" s="358"/>
      <c r="G16" s="355"/>
      <c r="H16" s="355"/>
    </row>
    <row r="17" s="353" customFormat="1" customHeight="1" spans="3:8">
      <c r="C17" s="355"/>
      <c r="D17" s="355"/>
      <c r="E17" s="355"/>
      <c r="F17" s="358"/>
      <c r="G17" s="355"/>
      <c r="H17" s="355"/>
    </row>
    <row r="18" s="353" customFormat="1" customHeight="1" spans="1:12">
      <c r="A18" s="357" t="s">
        <v>2</v>
      </c>
      <c r="B18" s="357"/>
      <c r="C18" s="357"/>
      <c r="D18" s="357"/>
      <c r="E18" s="357"/>
      <c r="F18" s="357"/>
      <c r="G18" s="357"/>
      <c r="H18" s="357"/>
      <c r="I18" s="357"/>
      <c r="J18" s="357"/>
      <c r="K18" s="357"/>
      <c r="L18" s="355"/>
    </row>
  </sheetData>
  <mergeCells count="4">
    <mergeCell ref="A2:C2"/>
    <mergeCell ref="A8:K8"/>
    <mergeCell ref="A15:K15"/>
    <mergeCell ref="A18:K18"/>
  </mergeCells>
  <printOptions horizontalCentered="1"/>
  <pageMargins left="0.393055555555556" right="0.393055555555556" top="0.590277777777778" bottom="0.590277777777778" header="0.196527777777778" footer="0.196527777777778"/>
  <pageSetup paperSize="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8"/>
  <sheetViews>
    <sheetView view="pageBreakPreview" zoomScaleNormal="85" topLeftCell="A167" workbookViewId="0">
      <selection activeCell="C1" sqref="C1"/>
    </sheetView>
  </sheetViews>
  <sheetFormatPr defaultColWidth="9" defaultRowHeight="30" customHeight="1"/>
  <cols>
    <col min="1" max="1" width="8.625" style="131" customWidth="1"/>
    <col min="2" max="2" width="15.625" style="132" hidden="1" customWidth="1"/>
    <col min="3" max="3" width="20.625" style="133" customWidth="1"/>
    <col min="4" max="4" width="50.625" style="133" customWidth="1"/>
    <col min="5" max="7" width="15.625" style="131" customWidth="1"/>
    <col min="8" max="8" width="60.625" style="131" customWidth="1"/>
    <col min="9" max="9" width="15.625" style="131" hidden="1" customWidth="1"/>
    <col min="10" max="16384" width="9" style="131"/>
  </cols>
  <sheetData>
    <row r="1" ht="20" customHeight="1" spans="1:1">
      <c r="A1" s="131" t="s">
        <v>1473</v>
      </c>
    </row>
    <row r="2" customHeight="1" spans="1:9">
      <c r="A2" s="27" t="s">
        <v>1474</v>
      </c>
      <c r="B2" s="27"/>
      <c r="C2" s="27"/>
      <c r="D2" s="27"/>
      <c r="E2" s="27"/>
      <c r="F2" s="27"/>
      <c r="G2" s="27"/>
      <c r="H2" s="27"/>
      <c r="I2" s="27"/>
    </row>
    <row r="3" ht="20" customHeight="1" spans="7:8">
      <c r="G3" s="134" t="s">
        <v>27</v>
      </c>
      <c r="H3" s="134"/>
    </row>
    <row r="4" s="131" customFormat="1" customHeight="1" spans="1:9">
      <c r="A4" s="30" t="s">
        <v>611</v>
      </c>
      <c r="B4" s="135" t="s">
        <v>612</v>
      </c>
      <c r="C4" s="30" t="s">
        <v>613</v>
      </c>
      <c r="D4" s="30" t="s">
        <v>614</v>
      </c>
      <c r="E4" s="30" t="s">
        <v>29</v>
      </c>
      <c r="F4" s="30" t="s">
        <v>31</v>
      </c>
      <c r="G4" s="30" t="s">
        <v>32</v>
      </c>
      <c r="H4" s="30" t="s">
        <v>34</v>
      </c>
      <c r="I4" s="135" t="s">
        <v>1475</v>
      </c>
    </row>
    <row r="5" customHeight="1" spans="1:9">
      <c r="A5" s="78">
        <f>ROW()-4</f>
        <v>1</v>
      </c>
      <c r="B5" s="18" t="s">
        <v>1476</v>
      </c>
      <c r="C5" s="136"/>
      <c r="D5" s="136"/>
      <c r="E5" s="137">
        <f>E6+E165+E166+E167+E168</f>
        <v>270253.748047</v>
      </c>
      <c r="F5" s="137">
        <f>F6+F165+F166+F167+F168</f>
        <v>-23020.238007</v>
      </c>
      <c r="G5" s="137">
        <f>G6+G165+G166+G167+G168</f>
        <v>247233.51004</v>
      </c>
      <c r="H5" s="136"/>
      <c r="I5" s="137"/>
    </row>
    <row r="6" customHeight="1" spans="1:9">
      <c r="A6" s="78">
        <f t="shared" ref="A6:A15" si="0">ROW()-4</f>
        <v>2</v>
      </c>
      <c r="B6" s="18" t="s">
        <v>1477</v>
      </c>
      <c r="C6" s="136"/>
      <c r="D6" s="136"/>
      <c r="E6" s="137">
        <f>E7+E139+E157</f>
        <v>114823.748047</v>
      </c>
      <c r="F6" s="137">
        <f>F7+F139+F157</f>
        <v>-3458.238007</v>
      </c>
      <c r="G6" s="137">
        <f>G7+G139+G157</f>
        <v>111365.51004</v>
      </c>
      <c r="H6" s="136"/>
      <c r="I6" s="137"/>
    </row>
    <row r="7" customHeight="1" spans="1:9">
      <c r="A7" s="78">
        <f t="shared" si="0"/>
        <v>3</v>
      </c>
      <c r="B7" s="138" t="s">
        <v>1478</v>
      </c>
      <c r="C7" s="139"/>
      <c r="D7" s="139"/>
      <c r="E7" s="137">
        <f>E8+E10+E29+E75+E77+E134</f>
        <v>104431.315538</v>
      </c>
      <c r="F7" s="137">
        <f>F8+F10+F29+F75+F77+F134</f>
        <v>-380.708006999999</v>
      </c>
      <c r="G7" s="137">
        <f>G8+G10+G29+G75+G77+G134</f>
        <v>104050.607531</v>
      </c>
      <c r="H7" s="18"/>
      <c r="I7" s="137"/>
    </row>
    <row r="8" customHeight="1" spans="1:9">
      <c r="A8" s="78">
        <f t="shared" si="0"/>
        <v>4</v>
      </c>
      <c r="B8" s="138" t="s">
        <v>1307</v>
      </c>
      <c r="C8" s="139"/>
      <c r="D8" s="139"/>
      <c r="E8" s="137">
        <f>E9</f>
        <v>15000</v>
      </c>
      <c r="F8" s="137">
        <f>F9</f>
        <v>-15000</v>
      </c>
      <c r="G8" s="137">
        <f>G9</f>
        <v>0</v>
      </c>
      <c r="H8" s="18"/>
      <c r="I8" s="137"/>
    </row>
    <row r="9" customHeight="1" spans="1:9">
      <c r="A9" s="78">
        <f t="shared" si="0"/>
        <v>5</v>
      </c>
      <c r="B9" s="140" t="s">
        <v>1479</v>
      </c>
      <c r="C9" s="70" t="s">
        <v>1333</v>
      </c>
      <c r="D9" s="141" t="s">
        <v>1480</v>
      </c>
      <c r="E9" s="17">
        <v>15000</v>
      </c>
      <c r="F9" s="17">
        <v>-15000</v>
      </c>
      <c r="G9" s="17">
        <f>E9+F9</f>
        <v>0</v>
      </c>
      <c r="H9" s="70" t="s">
        <v>1481</v>
      </c>
      <c r="I9" s="146"/>
    </row>
    <row r="10" customHeight="1" spans="1:9">
      <c r="A10" s="78">
        <f t="shared" si="0"/>
        <v>6</v>
      </c>
      <c r="B10" s="138" t="s">
        <v>1482</v>
      </c>
      <c r="C10" s="139"/>
      <c r="D10" s="139"/>
      <c r="E10" s="137">
        <f>SUM(E11:E28)</f>
        <v>14493.7997</v>
      </c>
      <c r="F10" s="137">
        <f>SUM(F11:F28)</f>
        <v>79.8400000000001</v>
      </c>
      <c r="G10" s="137">
        <f>SUM(G11:G28)</f>
        <v>14573.6397</v>
      </c>
      <c r="H10" s="136"/>
      <c r="I10" s="147"/>
    </row>
    <row r="11" customHeight="1" spans="1:9">
      <c r="A11" s="78">
        <f t="shared" si="0"/>
        <v>7</v>
      </c>
      <c r="B11" s="140" t="s">
        <v>1479</v>
      </c>
      <c r="C11" s="70" t="s">
        <v>1103</v>
      </c>
      <c r="D11" s="141" t="s">
        <v>1483</v>
      </c>
      <c r="E11" s="17">
        <v>100</v>
      </c>
      <c r="F11" s="17">
        <v>-100</v>
      </c>
      <c r="G11" s="17">
        <f>E11+F11</f>
        <v>0</v>
      </c>
      <c r="H11" s="70"/>
      <c r="I11" s="148"/>
    </row>
    <row r="12" customHeight="1" spans="1:9">
      <c r="A12" s="78">
        <f t="shared" si="0"/>
        <v>8</v>
      </c>
      <c r="B12" s="140" t="s">
        <v>1479</v>
      </c>
      <c r="C12" s="70" t="s">
        <v>1333</v>
      </c>
      <c r="D12" s="141" t="s">
        <v>1484</v>
      </c>
      <c r="E12" s="17">
        <v>58.8</v>
      </c>
      <c r="F12" s="17">
        <v>-58.8</v>
      </c>
      <c r="G12" s="17">
        <f t="shared" ref="G12:G28" si="1">E12+F12</f>
        <v>0</v>
      </c>
      <c r="H12" s="70"/>
      <c r="I12" s="148"/>
    </row>
    <row r="13" customHeight="1" spans="1:9">
      <c r="A13" s="78">
        <f t="shared" si="0"/>
        <v>9</v>
      </c>
      <c r="B13" s="140" t="s">
        <v>1479</v>
      </c>
      <c r="C13" s="70" t="s">
        <v>1333</v>
      </c>
      <c r="D13" s="141" t="s">
        <v>1485</v>
      </c>
      <c r="E13" s="17">
        <v>46.08</v>
      </c>
      <c r="F13" s="17">
        <v>0</v>
      </c>
      <c r="G13" s="17">
        <f t="shared" si="1"/>
        <v>46.08</v>
      </c>
      <c r="H13" s="70"/>
      <c r="I13" s="147" t="s">
        <v>1486</v>
      </c>
    </row>
    <row r="14" customHeight="1" spans="1:9">
      <c r="A14" s="78">
        <f t="shared" si="0"/>
        <v>10</v>
      </c>
      <c r="B14" s="140" t="s">
        <v>1479</v>
      </c>
      <c r="C14" s="70" t="s">
        <v>1333</v>
      </c>
      <c r="D14" s="141" t="s">
        <v>1487</v>
      </c>
      <c r="E14" s="17">
        <v>5525.0707</v>
      </c>
      <c r="F14" s="17">
        <f>-1770.07-150</f>
        <v>-1920.07</v>
      </c>
      <c r="G14" s="17">
        <f t="shared" si="1"/>
        <v>3605.0007</v>
      </c>
      <c r="H14" s="70"/>
      <c r="I14" s="147" t="s">
        <v>1488</v>
      </c>
    </row>
    <row r="15" customHeight="1" spans="1:9">
      <c r="A15" s="78">
        <f t="shared" si="0"/>
        <v>11</v>
      </c>
      <c r="B15" s="140" t="s">
        <v>1479</v>
      </c>
      <c r="C15" s="70" t="s">
        <v>1333</v>
      </c>
      <c r="D15" s="141" t="s">
        <v>1489</v>
      </c>
      <c r="E15" s="17">
        <v>112.89</v>
      </c>
      <c r="F15" s="17">
        <v>-52.33</v>
      </c>
      <c r="G15" s="17">
        <f t="shared" si="1"/>
        <v>60.56</v>
      </c>
      <c r="H15" s="70"/>
      <c r="I15" s="147" t="s">
        <v>1488</v>
      </c>
    </row>
    <row r="16" customHeight="1" spans="1:9">
      <c r="A16" s="78">
        <f t="shared" ref="A16:A25" si="2">ROW()-4</f>
        <v>12</v>
      </c>
      <c r="B16" s="140" t="s">
        <v>1479</v>
      </c>
      <c r="C16" s="70" t="s">
        <v>1333</v>
      </c>
      <c r="D16" s="141" t="s">
        <v>1490</v>
      </c>
      <c r="E16" s="17">
        <v>850</v>
      </c>
      <c r="F16" s="17">
        <f>-650+90</f>
        <v>-560</v>
      </c>
      <c r="G16" s="17">
        <f t="shared" si="1"/>
        <v>290</v>
      </c>
      <c r="H16" s="70"/>
      <c r="I16" s="147" t="s">
        <v>1488</v>
      </c>
    </row>
    <row r="17" customHeight="1" spans="1:9">
      <c r="A17" s="78">
        <f t="shared" si="2"/>
        <v>13</v>
      </c>
      <c r="B17" s="140" t="s">
        <v>1479</v>
      </c>
      <c r="C17" s="70" t="s">
        <v>1333</v>
      </c>
      <c r="D17" s="141" t="s">
        <v>1491</v>
      </c>
      <c r="E17" s="17">
        <v>1512</v>
      </c>
      <c r="F17" s="17">
        <v>-400</v>
      </c>
      <c r="G17" s="17">
        <f t="shared" si="1"/>
        <v>1112</v>
      </c>
      <c r="H17" s="70"/>
      <c r="I17" s="147" t="s">
        <v>1488</v>
      </c>
    </row>
    <row r="18" customHeight="1" spans="1:9">
      <c r="A18" s="78">
        <f t="shared" si="2"/>
        <v>14</v>
      </c>
      <c r="B18" s="140" t="s">
        <v>1479</v>
      </c>
      <c r="C18" s="70" t="s">
        <v>1333</v>
      </c>
      <c r="D18" s="141" t="s">
        <v>1492</v>
      </c>
      <c r="E18" s="17">
        <v>100</v>
      </c>
      <c r="F18" s="17">
        <v>-80</v>
      </c>
      <c r="G18" s="17">
        <f t="shared" si="1"/>
        <v>20</v>
      </c>
      <c r="H18" s="70"/>
      <c r="I18" s="147" t="s">
        <v>1486</v>
      </c>
    </row>
    <row r="19" customHeight="1" spans="1:9">
      <c r="A19" s="78">
        <f t="shared" si="2"/>
        <v>15</v>
      </c>
      <c r="B19" s="140" t="s">
        <v>1479</v>
      </c>
      <c r="C19" s="70" t="s">
        <v>1333</v>
      </c>
      <c r="D19" s="141" t="s">
        <v>1493</v>
      </c>
      <c r="E19" s="17">
        <v>270</v>
      </c>
      <c r="F19" s="17">
        <v>0</v>
      </c>
      <c r="G19" s="17">
        <f t="shared" si="1"/>
        <v>270</v>
      </c>
      <c r="H19" s="70"/>
      <c r="I19" s="147" t="s">
        <v>1486</v>
      </c>
    </row>
    <row r="20" customHeight="1" spans="1:9">
      <c r="A20" s="78">
        <f t="shared" si="2"/>
        <v>16</v>
      </c>
      <c r="B20" s="140" t="s">
        <v>1479</v>
      </c>
      <c r="C20" s="70" t="s">
        <v>1333</v>
      </c>
      <c r="D20" s="141" t="s">
        <v>1494</v>
      </c>
      <c r="E20" s="17">
        <v>770</v>
      </c>
      <c r="F20" s="17">
        <f>-550-40</f>
        <v>-590</v>
      </c>
      <c r="G20" s="17">
        <f t="shared" si="1"/>
        <v>180</v>
      </c>
      <c r="H20" s="70"/>
      <c r="I20" s="147" t="s">
        <v>1486</v>
      </c>
    </row>
    <row r="21" customHeight="1" spans="1:9">
      <c r="A21" s="78">
        <f t="shared" si="2"/>
        <v>17</v>
      </c>
      <c r="B21" s="140" t="s">
        <v>1479</v>
      </c>
      <c r="C21" s="70" t="s">
        <v>1333</v>
      </c>
      <c r="D21" s="141" t="s">
        <v>1495</v>
      </c>
      <c r="E21" s="17">
        <v>1900</v>
      </c>
      <c r="F21" s="17">
        <v>0</v>
      </c>
      <c r="G21" s="17">
        <f t="shared" si="1"/>
        <v>1900</v>
      </c>
      <c r="H21" s="70"/>
      <c r="I21" s="147" t="s">
        <v>1488</v>
      </c>
    </row>
    <row r="22" customHeight="1" spans="1:9">
      <c r="A22" s="78">
        <f t="shared" si="2"/>
        <v>18</v>
      </c>
      <c r="B22" s="140" t="s">
        <v>1479</v>
      </c>
      <c r="C22" s="70" t="s">
        <v>1333</v>
      </c>
      <c r="D22" s="141" t="s">
        <v>1496</v>
      </c>
      <c r="E22" s="17">
        <v>80</v>
      </c>
      <c r="F22" s="17">
        <f>-50-20</f>
        <v>-70</v>
      </c>
      <c r="G22" s="17">
        <f t="shared" si="1"/>
        <v>10</v>
      </c>
      <c r="H22" s="70"/>
      <c r="I22" s="147" t="s">
        <v>1486</v>
      </c>
    </row>
    <row r="23" customHeight="1" spans="1:9">
      <c r="A23" s="78">
        <f t="shared" si="2"/>
        <v>19</v>
      </c>
      <c r="B23" s="140" t="s">
        <v>1479</v>
      </c>
      <c r="C23" s="70" t="s">
        <v>1333</v>
      </c>
      <c r="D23" s="141" t="s">
        <v>1497</v>
      </c>
      <c r="E23" s="17">
        <v>1510</v>
      </c>
      <c r="F23" s="17">
        <f>-1460-40</f>
        <v>-1500</v>
      </c>
      <c r="G23" s="17">
        <f t="shared" si="1"/>
        <v>10</v>
      </c>
      <c r="H23" s="70"/>
      <c r="I23" s="147" t="s">
        <v>1488</v>
      </c>
    </row>
    <row r="24" customHeight="1" spans="1:9">
      <c r="A24" s="78">
        <f t="shared" si="2"/>
        <v>20</v>
      </c>
      <c r="B24" s="140" t="s">
        <v>1479</v>
      </c>
      <c r="C24" s="70" t="s">
        <v>898</v>
      </c>
      <c r="D24" s="141" t="s">
        <v>1498</v>
      </c>
      <c r="E24" s="17">
        <v>1248</v>
      </c>
      <c r="F24" s="17">
        <v>-1248</v>
      </c>
      <c r="G24" s="17">
        <f t="shared" si="1"/>
        <v>0</v>
      </c>
      <c r="H24" s="70"/>
      <c r="I24" s="148"/>
    </row>
    <row r="25" customHeight="1" spans="1:9">
      <c r="A25" s="78">
        <f t="shared" si="2"/>
        <v>21</v>
      </c>
      <c r="B25" s="140" t="s">
        <v>1479</v>
      </c>
      <c r="C25" s="70" t="s">
        <v>898</v>
      </c>
      <c r="D25" s="141" t="s">
        <v>1499</v>
      </c>
      <c r="E25" s="17">
        <v>100</v>
      </c>
      <c r="F25" s="17">
        <f>-50-30</f>
        <v>-80</v>
      </c>
      <c r="G25" s="17">
        <f t="shared" si="1"/>
        <v>20</v>
      </c>
      <c r="H25" s="70"/>
      <c r="I25" s="147" t="s">
        <v>1488</v>
      </c>
    </row>
    <row r="26" customHeight="1" spans="1:9">
      <c r="A26" s="78">
        <f t="shared" ref="A26:A35" si="3">ROW()-4</f>
        <v>22</v>
      </c>
      <c r="B26" s="140" t="s">
        <v>1479</v>
      </c>
      <c r="C26" s="70" t="s">
        <v>639</v>
      </c>
      <c r="D26" s="141" t="s">
        <v>1500</v>
      </c>
      <c r="E26" s="17">
        <v>300</v>
      </c>
      <c r="F26" s="17">
        <f>-200-50</f>
        <v>-250</v>
      </c>
      <c r="G26" s="17">
        <f t="shared" si="1"/>
        <v>50</v>
      </c>
      <c r="H26" s="70"/>
      <c r="I26" s="147" t="s">
        <v>1486</v>
      </c>
    </row>
    <row r="27" customHeight="1" spans="1:9">
      <c r="A27" s="78">
        <f t="shared" si="3"/>
        <v>23</v>
      </c>
      <c r="B27" s="78" t="s">
        <v>1190</v>
      </c>
      <c r="C27" s="142" t="s">
        <v>880</v>
      </c>
      <c r="D27" s="141" t="s">
        <v>1501</v>
      </c>
      <c r="E27" s="17">
        <v>10.959</v>
      </c>
      <c r="F27" s="17">
        <v>-10.96</v>
      </c>
      <c r="G27" s="17">
        <f t="shared" si="1"/>
        <v>-0.00100000000000122</v>
      </c>
      <c r="H27" s="70"/>
      <c r="I27" s="149"/>
    </row>
    <row r="28" customHeight="1" spans="1:9">
      <c r="A28" s="78">
        <f t="shared" si="3"/>
        <v>24</v>
      </c>
      <c r="B28" s="143" t="s">
        <v>1479</v>
      </c>
      <c r="C28" s="144" t="s">
        <v>1333</v>
      </c>
      <c r="D28" s="145" t="s">
        <v>1502</v>
      </c>
      <c r="E28" s="17">
        <v>0</v>
      </c>
      <c r="F28" s="17">
        <v>7000</v>
      </c>
      <c r="G28" s="17">
        <f t="shared" si="1"/>
        <v>7000</v>
      </c>
      <c r="H28" s="70"/>
      <c r="I28" s="147" t="s">
        <v>1488</v>
      </c>
    </row>
    <row r="29" customHeight="1" spans="1:9">
      <c r="A29" s="78">
        <f t="shared" si="3"/>
        <v>25</v>
      </c>
      <c r="B29" s="138" t="s">
        <v>1503</v>
      </c>
      <c r="C29" s="139"/>
      <c r="D29" s="139"/>
      <c r="E29" s="137">
        <f>SUM(E30:E74)</f>
        <v>5081.077238</v>
      </c>
      <c r="F29" s="137">
        <f>SUM(F30:F74)</f>
        <v>11229.13</v>
      </c>
      <c r="G29" s="137">
        <f>SUM(G30:G74)</f>
        <v>16310.207238</v>
      </c>
      <c r="H29" s="136"/>
      <c r="I29" s="148"/>
    </row>
    <row r="30" customHeight="1" spans="1:9">
      <c r="A30" s="78">
        <f t="shared" si="3"/>
        <v>26</v>
      </c>
      <c r="B30" s="78" t="s">
        <v>674</v>
      </c>
      <c r="C30" s="142" t="s">
        <v>633</v>
      </c>
      <c r="D30" s="142" t="s">
        <v>1504</v>
      </c>
      <c r="E30" s="17">
        <v>107</v>
      </c>
      <c r="F30" s="17">
        <v>-107</v>
      </c>
      <c r="G30" s="17">
        <f>E30+F30</f>
        <v>0</v>
      </c>
      <c r="H30" s="142"/>
      <c r="I30" s="148"/>
    </row>
    <row r="31" customHeight="1" spans="1:9">
      <c r="A31" s="78">
        <f t="shared" si="3"/>
        <v>27</v>
      </c>
      <c r="B31" s="78" t="s">
        <v>621</v>
      </c>
      <c r="C31" s="70" t="s">
        <v>633</v>
      </c>
      <c r="D31" s="141" t="s">
        <v>1505</v>
      </c>
      <c r="E31" s="17">
        <v>0</v>
      </c>
      <c r="F31" s="17">
        <v>40</v>
      </c>
      <c r="G31" s="17">
        <f t="shared" ref="G31:G74" si="4">E31+F31</f>
        <v>40</v>
      </c>
      <c r="H31" s="70"/>
      <c r="I31" s="150">
        <v>2120803</v>
      </c>
    </row>
    <row r="32" customHeight="1" spans="1:9">
      <c r="A32" s="78">
        <f t="shared" si="3"/>
        <v>28</v>
      </c>
      <c r="B32" s="78" t="s">
        <v>624</v>
      </c>
      <c r="C32" s="70" t="s">
        <v>633</v>
      </c>
      <c r="D32" s="141" t="s">
        <v>1506</v>
      </c>
      <c r="E32" s="17">
        <v>13</v>
      </c>
      <c r="F32" s="17">
        <v>-13</v>
      </c>
      <c r="G32" s="17">
        <f t="shared" si="4"/>
        <v>0</v>
      </c>
      <c r="H32" s="70"/>
      <c r="I32" s="148"/>
    </row>
    <row r="33" customHeight="1" spans="1:9">
      <c r="A33" s="78">
        <f t="shared" si="3"/>
        <v>29</v>
      </c>
      <c r="B33" s="78" t="s">
        <v>674</v>
      </c>
      <c r="C33" s="142" t="s">
        <v>635</v>
      </c>
      <c r="D33" s="142" t="s">
        <v>1507</v>
      </c>
      <c r="E33" s="17">
        <v>180</v>
      </c>
      <c r="F33" s="17">
        <v>-180</v>
      </c>
      <c r="G33" s="17">
        <f t="shared" si="4"/>
        <v>0</v>
      </c>
      <c r="H33" s="142"/>
      <c r="I33" s="148"/>
    </row>
    <row r="34" customHeight="1" spans="1:9">
      <c r="A34" s="78">
        <f t="shared" si="3"/>
        <v>30</v>
      </c>
      <c r="B34" s="78" t="s">
        <v>674</v>
      </c>
      <c r="C34" s="142" t="s">
        <v>622</v>
      </c>
      <c r="D34" s="142" t="s">
        <v>1508</v>
      </c>
      <c r="E34" s="17">
        <v>135</v>
      </c>
      <c r="F34" s="17">
        <v>-135</v>
      </c>
      <c r="G34" s="17">
        <f t="shared" si="4"/>
        <v>0</v>
      </c>
      <c r="H34" s="142"/>
      <c r="I34" s="148"/>
    </row>
    <row r="35" customHeight="1" spans="1:9">
      <c r="A35" s="78">
        <f t="shared" si="3"/>
        <v>31</v>
      </c>
      <c r="B35" s="78" t="s">
        <v>624</v>
      </c>
      <c r="C35" s="70" t="s">
        <v>622</v>
      </c>
      <c r="D35" s="141" t="s">
        <v>1509</v>
      </c>
      <c r="E35" s="17">
        <v>20</v>
      </c>
      <c r="F35" s="17">
        <v>-10</v>
      </c>
      <c r="G35" s="17">
        <f t="shared" si="4"/>
        <v>10</v>
      </c>
      <c r="H35" s="70"/>
      <c r="I35" s="150">
        <v>2120816</v>
      </c>
    </row>
    <row r="36" customHeight="1" spans="1:9">
      <c r="A36" s="78">
        <f t="shared" ref="A36:A45" si="5">ROW()-4</f>
        <v>32</v>
      </c>
      <c r="B36" s="78" t="s">
        <v>674</v>
      </c>
      <c r="C36" s="142" t="s">
        <v>639</v>
      </c>
      <c r="D36" s="142" t="s">
        <v>1510</v>
      </c>
      <c r="E36" s="17">
        <v>82</v>
      </c>
      <c r="F36" s="17">
        <v>-82</v>
      </c>
      <c r="G36" s="17">
        <f t="shared" si="4"/>
        <v>0</v>
      </c>
      <c r="H36" s="142"/>
      <c r="I36" s="149"/>
    </row>
    <row r="37" customHeight="1" spans="1:9">
      <c r="A37" s="78">
        <f t="shared" si="5"/>
        <v>33</v>
      </c>
      <c r="B37" s="140" t="s">
        <v>1479</v>
      </c>
      <c r="C37" s="70" t="s">
        <v>639</v>
      </c>
      <c r="D37" s="141" t="s">
        <v>1511</v>
      </c>
      <c r="E37" s="17">
        <v>225</v>
      </c>
      <c r="F37" s="17">
        <f>-225</f>
        <v>-225</v>
      </c>
      <c r="G37" s="17">
        <f t="shared" si="4"/>
        <v>0</v>
      </c>
      <c r="H37" s="70"/>
      <c r="I37" s="149"/>
    </row>
    <row r="38" customHeight="1" spans="1:9">
      <c r="A38" s="78">
        <f t="shared" si="5"/>
        <v>34</v>
      </c>
      <c r="B38" s="78" t="s">
        <v>674</v>
      </c>
      <c r="C38" s="142" t="s">
        <v>1512</v>
      </c>
      <c r="D38" s="142" t="s">
        <v>1513</v>
      </c>
      <c r="E38" s="17">
        <v>43</v>
      </c>
      <c r="F38" s="17">
        <v>-43</v>
      </c>
      <c r="G38" s="17">
        <f t="shared" si="4"/>
        <v>0</v>
      </c>
      <c r="H38" s="142"/>
      <c r="I38" s="149"/>
    </row>
    <row r="39" customHeight="1" spans="1:9">
      <c r="A39" s="78">
        <f t="shared" si="5"/>
        <v>35</v>
      </c>
      <c r="B39" s="78" t="s">
        <v>674</v>
      </c>
      <c r="C39" s="142" t="s">
        <v>1514</v>
      </c>
      <c r="D39" s="142" t="s">
        <v>1515</v>
      </c>
      <c r="E39" s="17">
        <v>149</v>
      </c>
      <c r="F39" s="17">
        <v>-149</v>
      </c>
      <c r="G39" s="17">
        <f t="shared" si="4"/>
        <v>0</v>
      </c>
      <c r="H39" s="142"/>
      <c r="I39" s="149"/>
    </row>
    <row r="40" customHeight="1" spans="1:9">
      <c r="A40" s="78">
        <f t="shared" si="5"/>
        <v>36</v>
      </c>
      <c r="B40" s="78" t="s">
        <v>674</v>
      </c>
      <c r="C40" s="142" t="s">
        <v>641</v>
      </c>
      <c r="D40" s="142" t="s">
        <v>1516</v>
      </c>
      <c r="E40" s="17">
        <v>60</v>
      </c>
      <c r="F40" s="17">
        <v>-60</v>
      </c>
      <c r="G40" s="17">
        <f t="shared" si="4"/>
        <v>0</v>
      </c>
      <c r="H40" s="142"/>
      <c r="I40" s="149"/>
    </row>
    <row r="41" customHeight="1" spans="1:9">
      <c r="A41" s="78">
        <f t="shared" si="5"/>
        <v>37</v>
      </c>
      <c r="B41" s="140" t="s">
        <v>621</v>
      </c>
      <c r="C41" s="70" t="s">
        <v>641</v>
      </c>
      <c r="D41" s="141" t="s">
        <v>1517</v>
      </c>
      <c r="E41" s="17">
        <v>0</v>
      </c>
      <c r="F41" s="17">
        <v>151.41</v>
      </c>
      <c r="G41" s="17">
        <f t="shared" si="4"/>
        <v>151.41</v>
      </c>
      <c r="H41" s="70" t="s">
        <v>1518</v>
      </c>
      <c r="I41" s="150" t="s">
        <v>1486</v>
      </c>
    </row>
    <row r="42" customHeight="1" spans="1:9">
      <c r="A42" s="78">
        <f t="shared" si="5"/>
        <v>38</v>
      </c>
      <c r="B42" s="78" t="s">
        <v>624</v>
      </c>
      <c r="C42" s="70" t="s">
        <v>641</v>
      </c>
      <c r="D42" s="141" t="s">
        <v>1519</v>
      </c>
      <c r="E42" s="17">
        <v>26</v>
      </c>
      <c r="F42" s="17">
        <v>-26</v>
      </c>
      <c r="G42" s="17">
        <f t="shared" si="4"/>
        <v>0</v>
      </c>
      <c r="H42" s="70"/>
      <c r="I42" s="149"/>
    </row>
    <row r="43" customHeight="1" spans="1:9">
      <c r="A43" s="78">
        <f t="shared" si="5"/>
        <v>39</v>
      </c>
      <c r="B43" s="78" t="s">
        <v>621</v>
      </c>
      <c r="C43" s="70" t="s">
        <v>1520</v>
      </c>
      <c r="D43" s="141" t="s">
        <v>1521</v>
      </c>
      <c r="E43" s="17">
        <v>30.28</v>
      </c>
      <c r="F43" s="17">
        <v>0</v>
      </c>
      <c r="G43" s="17">
        <f t="shared" si="4"/>
        <v>30.28</v>
      </c>
      <c r="H43" s="70"/>
      <c r="I43" s="150">
        <v>2120803</v>
      </c>
    </row>
    <row r="44" customHeight="1" spans="1:9">
      <c r="A44" s="78">
        <f t="shared" si="5"/>
        <v>40</v>
      </c>
      <c r="B44" s="78" t="s">
        <v>621</v>
      </c>
      <c r="C44" s="70" t="s">
        <v>1520</v>
      </c>
      <c r="D44" s="141" t="s">
        <v>1522</v>
      </c>
      <c r="E44" s="17">
        <v>50</v>
      </c>
      <c r="F44" s="17">
        <v>-10</v>
      </c>
      <c r="G44" s="17">
        <f t="shared" si="4"/>
        <v>40</v>
      </c>
      <c r="H44" s="70"/>
      <c r="I44" s="150">
        <v>2120803</v>
      </c>
    </row>
    <row r="45" customHeight="1" spans="1:9">
      <c r="A45" s="78">
        <f t="shared" si="5"/>
        <v>41</v>
      </c>
      <c r="B45" s="78" t="s">
        <v>621</v>
      </c>
      <c r="C45" s="70" t="s">
        <v>1523</v>
      </c>
      <c r="D45" s="141" t="s">
        <v>1524</v>
      </c>
      <c r="E45" s="17">
        <v>3.48</v>
      </c>
      <c r="F45" s="17">
        <v>-3.48</v>
      </c>
      <c r="G45" s="17">
        <f t="shared" si="4"/>
        <v>0</v>
      </c>
      <c r="H45" s="70"/>
      <c r="I45" s="149"/>
    </row>
    <row r="46" customHeight="1" spans="1:9">
      <c r="A46" s="78">
        <f t="shared" ref="A46:A55" si="6">ROW()-4</f>
        <v>42</v>
      </c>
      <c r="B46" s="78" t="s">
        <v>674</v>
      </c>
      <c r="C46" s="70" t="s">
        <v>1103</v>
      </c>
      <c r="D46" s="142" t="s">
        <v>1525</v>
      </c>
      <c r="E46" s="17">
        <v>68.88</v>
      </c>
      <c r="F46" s="17">
        <v>-68.88</v>
      </c>
      <c r="G46" s="17">
        <f t="shared" si="4"/>
        <v>0</v>
      </c>
      <c r="H46" s="70"/>
      <c r="I46" s="149"/>
    </row>
    <row r="47" customHeight="1" spans="1:9">
      <c r="A47" s="78">
        <f t="shared" si="6"/>
        <v>43</v>
      </c>
      <c r="B47" s="140" t="s">
        <v>1479</v>
      </c>
      <c r="C47" s="70" t="s">
        <v>1103</v>
      </c>
      <c r="D47" s="141" t="s">
        <v>1526</v>
      </c>
      <c r="E47" s="17">
        <v>0</v>
      </c>
      <c r="F47" s="17">
        <v>4954.1</v>
      </c>
      <c r="G47" s="17">
        <f t="shared" si="4"/>
        <v>4954.1</v>
      </c>
      <c r="H47" s="70" t="s">
        <v>1527</v>
      </c>
      <c r="I47" s="150" t="s">
        <v>1528</v>
      </c>
    </row>
    <row r="48" customHeight="1" spans="1:9">
      <c r="A48" s="78">
        <f t="shared" si="6"/>
        <v>44</v>
      </c>
      <c r="B48" s="140" t="s">
        <v>1479</v>
      </c>
      <c r="C48" s="70" t="s">
        <v>1103</v>
      </c>
      <c r="D48" s="141" t="s">
        <v>1529</v>
      </c>
      <c r="E48" s="17">
        <v>55</v>
      </c>
      <c r="F48" s="17">
        <v>-55</v>
      </c>
      <c r="G48" s="17">
        <f t="shared" si="4"/>
        <v>0</v>
      </c>
      <c r="H48" s="70"/>
      <c r="I48" s="149"/>
    </row>
    <row r="49" customHeight="1" spans="1:9">
      <c r="A49" s="78">
        <f t="shared" si="6"/>
        <v>45</v>
      </c>
      <c r="B49" s="140" t="s">
        <v>1479</v>
      </c>
      <c r="C49" s="70" t="s">
        <v>1103</v>
      </c>
      <c r="D49" s="141" t="s">
        <v>1530</v>
      </c>
      <c r="E49" s="17">
        <v>30</v>
      </c>
      <c r="F49" s="17">
        <v>-30</v>
      </c>
      <c r="G49" s="17">
        <f t="shared" si="4"/>
        <v>0</v>
      </c>
      <c r="H49" s="70"/>
      <c r="I49" s="149"/>
    </row>
    <row r="50" customHeight="1" spans="1:9">
      <c r="A50" s="78">
        <f t="shared" si="6"/>
        <v>46</v>
      </c>
      <c r="B50" s="140" t="s">
        <v>1479</v>
      </c>
      <c r="C50" s="70" t="s">
        <v>1103</v>
      </c>
      <c r="D50" s="141" t="s">
        <v>1531</v>
      </c>
      <c r="E50" s="17">
        <v>5</v>
      </c>
      <c r="F50" s="17">
        <v>-5</v>
      </c>
      <c r="G50" s="17">
        <f t="shared" si="4"/>
        <v>0</v>
      </c>
      <c r="H50" s="70"/>
      <c r="I50" s="149"/>
    </row>
    <row r="51" customHeight="1" spans="1:9">
      <c r="A51" s="78">
        <f t="shared" si="6"/>
        <v>47</v>
      </c>
      <c r="B51" s="78" t="s">
        <v>674</v>
      </c>
      <c r="C51" s="142" t="s">
        <v>765</v>
      </c>
      <c r="D51" s="142" t="s">
        <v>1532</v>
      </c>
      <c r="E51" s="17">
        <v>31</v>
      </c>
      <c r="F51" s="17">
        <v>-31</v>
      </c>
      <c r="G51" s="17">
        <f t="shared" si="4"/>
        <v>0</v>
      </c>
      <c r="H51" s="70"/>
      <c r="I51" s="149"/>
    </row>
    <row r="52" s="131" customFormat="1" customHeight="1" spans="1:9">
      <c r="A52" s="78">
        <f t="shared" si="6"/>
        <v>48</v>
      </c>
      <c r="B52" s="78" t="s">
        <v>621</v>
      </c>
      <c r="C52" s="70" t="s">
        <v>1115</v>
      </c>
      <c r="D52" s="141" t="s">
        <v>1533</v>
      </c>
      <c r="E52" s="17">
        <v>19.8</v>
      </c>
      <c r="F52" s="17">
        <v>-18</v>
      </c>
      <c r="G52" s="17">
        <f t="shared" si="4"/>
        <v>1.8</v>
      </c>
      <c r="H52" s="70"/>
      <c r="I52" s="149" t="s">
        <v>1534</v>
      </c>
    </row>
    <row r="53" customHeight="1" spans="1:9">
      <c r="A53" s="78">
        <f t="shared" si="6"/>
        <v>49</v>
      </c>
      <c r="B53" s="78" t="s">
        <v>674</v>
      </c>
      <c r="C53" s="142" t="s">
        <v>957</v>
      </c>
      <c r="D53" s="142" t="s">
        <v>1535</v>
      </c>
      <c r="E53" s="17">
        <v>80</v>
      </c>
      <c r="F53" s="17">
        <v>-80</v>
      </c>
      <c r="G53" s="17">
        <f t="shared" si="4"/>
        <v>0</v>
      </c>
      <c r="H53" s="70"/>
      <c r="I53" s="149"/>
    </row>
    <row r="54" customHeight="1" spans="1:9">
      <c r="A54" s="78">
        <f t="shared" si="6"/>
        <v>50</v>
      </c>
      <c r="B54" s="78" t="s">
        <v>624</v>
      </c>
      <c r="C54" s="70" t="s">
        <v>957</v>
      </c>
      <c r="D54" s="141" t="s">
        <v>1536</v>
      </c>
      <c r="E54" s="17">
        <v>30</v>
      </c>
      <c r="F54" s="17">
        <v>-30</v>
      </c>
      <c r="G54" s="17">
        <f t="shared" si="4"/>
        <v>0</v>
      </c>
      <c r="H54" s="70"/>
      <c r="I54" s="149"/>
    </row>
    <row r="55" customHeight="1" spans="1:9">
      <c r="A55" s="78">
        <f t="shared" si="6"/>
        <v>51</v>
      </c>
      <c r="B55" s="78" t="s">
        <v>624</v>
      </c>
      <c r="C55" s="70" t="s">
        <v>957</v>
      </c>
      <c r="D55" s="141" t="s">
        <v>1537</v>
      </c>
      <c r="E55" s="17">
        <v>20</v>
      </c>
      <c r="F55" s="17">
        <v>-20</v>
      </c>
      <c r="G55" s="17">
        <f t="shared" si="4"/>
        <v>0</v>
      </c>
      <c r="H55" s="70"/>
      <c r="I55" s="149"/>
    </row>
    <row r="56" customHeight="1" spans="1:9">
      <c r="A56" s="78">
        <f t="shared" ref="A56:A65" si="7">ROW()-4</f>
        <v>52</v>
      </c>
      <c r="B56" s="140" t="s">
        <v>624</v>
      </c>
      <c r="C56" s="70" t="s">
        <v>991</v>
      </c>
      <c r="D56" s="141" t="s">
        <v>1538</v>
      </c>
      <c r="E56" s="17">
        <v>0</v>
      </c>
      <c r="F56" s="17">
        <f>775+1071</f>
        <v>1846</v>
      </c>
      <c r="G56" s="17">
        <f t="shared" si="4"/>
        <v>1846</v>
      </c>
      <c r="H56" s="70"/>
      <c r="I56" s="151" t="s">
        <v>1539</v>
      </c>
    </row>
    <row r="57" customHeight="1" spans="1:9">
      <c r="A57" s="78">
        <f t="shared" si="7"/>
        <v>53</v>
      </c>
      <c r="B57" s="78" t="s">
        <v>674</v>
      </c>
      <c r="C57" s="142" t="s">
        <v>1048</v>
      </c>
      <c r="D57" s="142" t="s">
        <v>1540</v>
      </c>
      <c r="E57" s="17">
        <v>60</v>
      </c>
      <c r="F57" s="17">
        <v>-60</v>
      </c>
      <c r="G57" s="17">
        <f t="shared" si="4"/>
        <v>0</v>
      </c>
      <c r="H57" s="142"/>
      <c r="I57" s="149"/>
    </row>
    <row r="58" customHeight="1" spans="1:9">
      <c r="A58" s="78">
        <f t="shared" si="7"/>
        <v>54</v>
      </c>
      <c r="B58" s="78" t="s">
        <v>621</v>
      </c>
      <c r="C58" s="70" t="s">
        <v>921</v>
      </c>
      <c r="D58" s="141" t="s">
        <v>1541</v>
      </c>
      <c r="E58" s="17">
        <v>5</v>
      </c>
      <c r="F58" s="17">
        <v>-5</v>
      </c>
      <c r="G58" s="17">
        <f t="shared" si="4"/>
        <v>0</v>
      </c>
      <c r="H58" s="70"/>
      <c r="I58" s="149"/>
    </row>
    <row r="59" customHeight="1" spans="1:9">
      <c r="A59" s="78">
        <f t="shared" si="7"/>
        <v>55</v>
      </c>
      <c r="B59" s="78" t="s">
        <v>621</v>
      </c>
      <c r="C59" s="70" t="s">
        <v>921</v>
      </c>
      <c r="D59" s="141" t="s">
        <v>1542</v>
      </c>
      <c r="E59" s="17">
        <v>5</v>
      </c>
      <c r="F59" s="17">
        <v>-5</v>
      </c>
      <c r="G59" s="17">
        <f t="shared" si="4"/>
        <v>0</v>
      </c>
      <c r="H59" s="70"/>
      <c r="I59" s="149"/>
    </row>
    <row r="60" customHeight="1" spans="1:9">
      <c r="A60" s="78">
        <f t="shared" si="7"/>
        <v>56</v>
      </c>
      <c r="B60" s="78" t="s">
        <v>621</v>
      </c>
      <c r="C60" s="70" t="s">
        <v>921</v>
      </c>
      <c r="D60" s="141" t="s">
        <v>1543</v>
      </c>
      <c r="E60" s="17">
        <v>10</v>
      </c>
      <c r="F60" s="17">
        <v>-10</v>
      </c>
      <c r="G60" s="17">
        <f t="shared" si="4"/>
        <v>0</v>
      </c>
      <c r="H60" s="70"/>
      <c r="I60" s="149"/>
    </row>
    <row r="61" customHeight="1" spans="1:9">
      <c r="A61" s="78">
        <f t="shared" si="7"/>
        <v>57</v>
      </c>
      <c r="B61" s="78" t="s">
        <v>674</v>
      </c>
      <c r="C61" s="142" t="s">
        <v>880</v>
      </c>
      <c r="D61" s="142" t="s">
        <v>1544</v>
      </c>
      <c r="E61" s="17">
        <v>500</v>
      </c>
      <c r="F61" s="17">
        <v>-500</v>
      </c>
      <c r="G61" s="17">
        <f t="shared" si="4"/>
        <v>0</v>
      </c>
      <c r="H61" s="70"/>
      <c r="I61" s="149"/>
    </row>
    <row r="62" customHeight="1" spans="1:9">
      <c r="A62" s="78">
        <f t="shared" si="7"/>
        <v>58</v>
      </c>
      <c r="B62" s="78" t="s">
        <v>674</v>
      </c>
      <c r="C62" s="142" t="s">
        <v>880</v>
      </c>
      <c r="D62" s="142" t="s">
        <v>1545</v>
      </c>
      <c r="E62" s="17">
        <v>43</v>
      </c>
      <c r="F62" s="17">
        <v>-43</v>
      </c>
      <c r="G62" s="17">
        <f t="shared" si="4"/>
        <v>0</v>
      </c>
      <c r="H62" s="70"/>
      <c r="I62" s="149"/>
    </row>
    <row r="63" customHeight="1" spans="1:9">
      <c r="A63" s="78">
        <f t="shared" si="7"/>
        <v>59</v>
      </c>
      <c r="B63" s="78" t="s">
        <v>1190</v>
      </c>
      <c r="C63" s="142" t="s">
        <v>880</v>
      </c>
      <c r="D63" s="141" t="s">
        <v>1546</v>
      </c>
      <c r="E63" s="17">
        <v>595.55</v>
      </c>
      <c r="F63" s="17">
        <v>-595.55</v>
      </c>
      <c r="G63" s="17">
        <f t="shared" si="4"/>
        <v>0</v>
      </c>
      <c r="H63" s="145"/>
      <c r="I63" s="149"/>
    </row>
    <row r="64" customHeight="1" spans="1:9">
      <c r="A64" s="78">
        <f t="shared" si="7"/>
        <v>60</v>
      </c>
      <c r="B64" s="78" t="s">
        <v>1190</v>
      </c>
      <c r="C64" s="142" t="s">
        <v>880</v>
      </c>
      <c r="D64" s="141" t="s">
        <v>1547</v>
      </c>
      <c r="E64" s="17">
        <v>1000</v>
      </c>
      <c r="F64" s="17">
        <v>-290</v>
      </c>
      <c r="G64" s="17">
        <f t="shared" si="4"/>
        <v>710</v>
      </c>
      <c r="H64" s="145"/>
      <c r="I64" s="150">
        <v>2120899</v>
      </c>
    </row>
    <row r="65" customHeight="1" spans="1:9">
      <c r="A65" s="78">
        <f t="shared" si="7"/>
        <v>61</v>
      </c>
      <c r="B65" s="140" t="s">
        <v>621</v>
      </c>
      <c r="C65" s="70" t="s">
        <v>880</v>
      </c>
      <c r="D65" s="141" t="s">
        <v>1548</v>
      </c>
      <c r="E65" s="17">
        <v>0</v>
      </c>
      <c r="F65" s="17">
        <v>7243.53</v>
      </c>
      <c r="G65" s="17">
        <f t="shared" si="4"/>
        <v>7243.53</v>
      </c>
      <c r="H65" s="70"/>
      <c r="I65" s="150" t="s">
        <v>1486</v>
      </c>
    </row>
    <row r="66" customHeight="1" spans="1:9">
      <c r="A66" s="78">
        <f t="shared" ref="A66:A75" si="8">ROW()-4</f>
        <v>62</v>
      </c>
      <c r="B66" s="78" t="s">
        <v>621</v>
      </c>
      <c r="C66" s="142" t="s">
        <v>880</v>
      </c>
      <c r="D66" s="141" t="s">
        <v>1549</v>
      </c>
      <c r="E66" s="17">
        <v>8</v>
      </c>
      <c r="F66" s="17">
        <v>-8</v>
      </c>
      <c r="G66" s="17">
        <f t="shared" si="4"/>
        <v>0</v>
      </c>
      <c r="H66" s="70"/>
      <c r="I66" s="149"/>
    </row>
    <row r="67" customHeight="1" spans="1:9">
      <c r="A67" s="78">
        <f t="shared" si="8"/>
        <v>63</v>
      </c>
      <c r="B67" s="78" t="s">
        <v>621</v>
      </c>
      <c r="C67" s="142" t="s">
        <v>880</v>
      </c>
      <c r="D67" s="141" t="s">
        <v>1550</v>
      </c>
      <c r="E67" s="17">
        <v>442</v>
      </c>
      <c r="F67" s="17">
        <v>-442</v>
      </c>
      <c r="G67" s="17">
        <f t="shared" si="4"/>
        <v>0</v>
      </c>
      <c r="H67" s="70"/>
      <c r="I67" s="149"/>
    </row>
    <row r="68" customHeight="1" spans="1:9">
      <c r="A68" s="78">
        <f t="shared" si="8"/>
        <v>64</v>
      </c>
      <c r="B68" s="78" t="s">
        <v>621</v>
      </c>
      <c r="C68" s="142" t="s">
        <v>880</v>
      </c>
      <c r="D68" s="141" t="s">
        <v>1551</v>
      </c>
      <c r="E68" s="17">
        <v>10</v>
      </c>
      <c r="F68" s="17">
        <v>0</v>
      </c>
      <c r="G68" s="17">
        <f t="shared" si="4"/>
        <v>10</v>
      </c>
      <c r="H68" s="70"/>
      <c r="I68" s="150">
        <v>2120803</v>
      </c>
    </row>
    <row r="69" customHeight="1" spans="1:9">
      <c r="A69" s="78">
        <f t="shared" si="8"/>
        <v>65</v>
      </c>
      <c r="B69" s="78" t="s">
        <v>621</v>
      </c>
      <c r="C69" s="142" t="s">
        <v>880</v>
      </c>
      <c r="D69" s="141" t="s">
        <v>1552</v>
      </c>
      <c r="E69" s="17"/>
      <c r="F69" s="17">
        <v>600</v>
      </c>
      <c r="G69" s="17">
        <f t="shared" si="4"/>
        <v>600</v>
      </c>
      <c r="H69" s="70"/>
      <c r="I69" s="150">
        <v>2120899</v>
      </c>
    </row>
    <row r="70" customHeight="1" spans="1:9">
      <c r="A70" s="78">
        <f t="shared" si="8"/>
        <v>66</v>
      </c>
      <c r="B70" s="140" t="s">
        <v>1479</v>
      </c>
      <c r="C70" s="70" t="s">
        <v>898</v>
      </c>
      <c r="D70" s="141" t="s">
        <v>1553</v>
      </c>
      <c r="E70" s="17">
        <v>40</v>
      </c>
      <c r="F70" s="17">
        <v>-40</v>
      </c>
      <c r="G70" s="17">
        <f t="shared" si="4"/>
        <v>0</v>
      </c>
      <c r="H70" s="70" t="s">
        <v>1554</v>
      </c>
      <c r="I70" s="149"/>
    </row>
    <row r="71" customHeight="1" spans="1:9">
      <c r="A71" s="78">
        <f t="shared" si="8"/>
        <v>67</v>
      </c>
      <c r="B71" s="140" t="s">
        <v>1479</v>
      </c>
      <c r="C71" s="70" t="s">
        <v>898</v>
      </c>
      <c r="D71" s="141" t="s">
        <v>1555</v>
      </c>
      <c r="E71" s="17">
        <v>10</v>
      </c>
      <c r="F71" s="17">
        <v>-10</v>
      </c>
      <c r="G71" s="17">
        <f t="shared" si="4"/>
        <v>0</v>
      </c>
      <c r="H71" s="70" t="s">
        <v>1554</v>
      </c>
      <c r="I71" s="149"/>
    </row>
    <row r="72" customHeight="1" spans="1:9">
      <c r="A72" s="78">
        <f t="shared" si="8"/>
        <v>68</v>
      </c>
      <c r="B72" s="78" t="s">
        <v>1190</v>
      </c>
      <c r="C72" s="70" t="s">
        <v>675</v>
      </c>
      <c r="D72" s="141" t="s">
        <v>1556</v>
      </c>
      <c r="E72" s="17">
        <v>723.087238</v>
      </c>
      <c r="F72" s="17">
        <v>-50</v>
      </c>
      <c r="G72" s="17">
        <f t="shared" si="4"/>
        <v>673.087238</v>
      </c>
      <c r="H72" s="145"/>
      <c r="I72" s="150" t="s">
        <v>1528</v>
      </c>
    </row>
    <row r="73" customHeight="1" spans="1:9">
      <c r="A73" s="78">
        <f t="shared" si="8"/>
        <v>69</v>
      </c>
      <c r="B73" s="78" t="s">
        <v>674</v>
      </c>
      <c r="C73" s="142" t="s">
        <v>1557</v>
      </c>
      <c r="D73" s="142" t="s">
        <v>1546</v>
      </c>
      <c r="E73" s="17">
        <v>56</v>
      </c>
      <c r="F73" s="17">
        <v>-56</v>
      </c>
      <c r="G73" s="17">
        <f t="shared" si="4"/>
        <v>0</v>
      </c>
      <c r="H73" s="142"/>
      <c r="I73" s="149"/>
    </row>
    <row r="74" customHeight="1" spans="1:9">
      <c r="A74" s="78">
        <f t="shared" si="8"/>
        <v>70</v>
      </c>
      <c r="B74" s="140" t="s">
        <v>1479</v>
      </c>
      <c r="C74" s="70" t="s">
        <v>1557</v>
      </c>
      <c r="D74" s="141" t="s">
        <v>1558</v>
      </c>
      <c r="E74" s="17">
        <v>110</v>
      </c>
      <c r="F74" s="17">
        <v>-110</v>
      </c>
      <c r="G74" s="17">
        <f t="shared" si="4"/>
        <v>0</v>
      </c>
      <c r="H74" s="70"/>
      <c r="I74" s="149"/>
    </row>
    <row r="75" customHeight="1" spans="1:9">
      <c r="A75" s="78">
        <f t="shared" si="8"/>
        <v>71</v>
      </c>
      <c r="B75" s="18" t="s">
        <v>1559</v>
      </c>
      <c r="C75" s="136"/>
      <c r="D75" s="136"/>
      <c r="E75" s="137">
        <f>SUM(E76:E76)</f>
        <v>0</v>
      </c>
      <c r="F75" s="137">
        <f>SUM(F76:F76)</f>
        <v>10465.5</v>
      </c>
      <c r="G75" s="137">
        <f>SUM(G76:G76)</f>
        <v>10465.5</v>
      </c>
      <c r="H75" s="136"/>
      <c r="I75" s="149"/>
    </row>
    <row r="76" s="131" customFormat="1" customHeight="1" spans="1:9">
      <c r="A76" s="78">
        <f t="shared" ref="A76:A85" si="9">ROW()-4</f>
        <v>72</v>
      </c>
      <c r="B76" s="78" t="s">
        <v>1560</v>
      </c>
      <c r="C76" s="70" t="s">
        <v>1561</v>
      </c>
      <c r="D76" s="70" t="s">
        <v>1562</v>
      </c>
      <c r="E76" s="17">
        <v>0</v>
      </c>
      <c r="F76" s="17">
        <f>16000-5534.5</f>
        <v>10465.5</v>
      </c>
      <c r="G76" s="17">
        <f>E76+F76</f>
        <v>10465.5</v>
      </c>
      <c r="H76" s="70" t="s">
        <v>1563</v>
      </c>
      <c r="I76" s="156" t="s">
        <v>1486</v>
      </c>
    </row>
    <row r="77" customHeight="1" spans="1:9">
      <c r="A77" s="78">
        <f t="shared" si="9"/>
        <v>73</v>
      </c>
      <c r="B77" s="18" t="s">
        <v>1564</v>
      </c>
      <c r="C77" s="136"/>
      <c r="D77" s="136"/>
      <c r="E77" s="137">
        <f>SUM(E78:E133)</f>
        <v>65856.4386</v>
      </c>
      <c r="F77" s="137">
        <f>SUM(F78:F133)</f>
        <v>-3985.178007</v>
      </c>
      <c r="G77" s="137">
        <f>SUM(G78:G133)</f>
        <v>61871.260593</v>
      </c>
      <c r="H77" s="136"/>
      <c r="I77" s="149"/>
    </row>
    <row r="78" customHeight="1" spans="1:9">
      <c r="A78" s="78">
        <f t="shared" si="9"/>
        <v>74</v>
      </c>
      <c r="B78" s="140" t="s">
        <v>1479</v>
      </c>
      <c r="C78" s="142" t="s">
        <v>633</v>
      </c>
      <c r="D78" s="141" t="s">
        <v>1565</v>
      </c>
      <c r="E78" s="148">
        <v>138.25</v>
      </c>
      <c r="F78" s="148">
        <v>0</v>
      </c>
      <c r="G78" s="148">
        <f>E78+F78</f>
        <v>138.25</v>
      </c>
      <c r="H78" s="70"/>
      <c r="I78" s="150">
        <v>2120816</v>
      </c>
    </row>
    <row r="79" customHeight="1" spans="1:9">
      <c r="A79" s="78">
        <f t="shared" si="9"/>
        <v>75</v>
      </c>
      <c r="B79" s="140" t="s">
        <v>1479</v>
      </c>
      <c r="C79" s="70" t="s">
        <v>1512</v>
      </c>
      <c r="D79" s="141" t="s">
        <v>1566</v>
      </c>
      <c r="E79" s="148">
        <v>36</v>
      </c>
      <c r="F79" s="148">
        <v>-0.02</v>
      </c>
      <c r="G79" s="148">
        <f t="shared" ref="G79:G110" si="10">E79+F79</f>
        <v>35.98</v>
      </c>
      <c r="H79" s="70"/>
      <c r="I79" s="150">
        <v>2120816</v>
      </c>
    </row>
    <row r="80" s="131" customFormat="1" customHeight="1" spans="1:9">
      <c r="A80" s="78">
        <f t="shared" si="9"/>
        <v>76</v>
      </c>
      <c r="B80" s="78" t="s">
        <v>814</v>
      </c>
      <c r="C80" s="144" t="s">
        <v>1514</v>
      </c>
      <c r="D80" s="152" t="s">
        <v>1567</v>
      </c>
      <c r="E80" s="148">
        <v>17.5</v>
      </c>
      <c r="F80" s="148">
        <v>-12.56</v>
      </c>
      <c r="G80" s="148">
        <f t="shared" si="10"/>
        <v>4.94</v>
      </c>
      <c r="H80" s="70"/>
      <c r="I80" s="149" t="s">
        <v>1534</v>
      </c>
    </row>
    <row r="81" s="131" customFormat="1" customHeight="1" spans="1:9">
      <c r="A81" s="78">
        <f t="shared" si="9"/>
        <v>77</v>
      </c>
      <c r="B81" s="140" t="s">
        <v>1479</v>
      </c>
      <c r="C81" s="142" t="s">
        <v>641</v>
      </c>
      <c r="D81" s="141" t="s">
        <v>1568</v>
      </c>
      <c r="E81" s="148">
        <v>10</v>
      </c>
      <c r="F81" s="148">
        <v>-10</v>
      </c>
      <c r="G81" s="148">
        <f t="shared" si="10"/>
        <v>0</v>
      </c>
      <c r="H81" s="70"/>
      <c r="I81" s="149"/>
    </row>
    <row r="82" s="131" customFormat="1" customHeight="1" spans="1:9">
      <c r="A82" s="78">
        <f t="shared" si="9"/>
        <v>78</v>
      </c>
      <c r="B82" s="78" t="s">
        <v>630</v>
      </c>
      <c r="C82" s="70" t="s">
        <v>1569</v>
      </c>
      <c r="D82" s="141" t="s">
        <v>1570</v>
      </c>
      <c r="E82" s="148">
        <v>138.0217</v>
      </c>
      <c r="F82" s="148">
        <v>-70</v>
      </c>
      <c r="G82" s="148">
        <f t="shared" si="10"/>
        <v>68.0217</v>
      </c>
      <c r="H82" s="70"/>
      <c r="I82" s="149" t="s">
        <v>1539</v>
      </c>
    </row>
    <row r="83" s="131" customFormat="1" customHeight="1" spans="1:9">
      <c r="A83" s="78">
        <f t="shared" si="9"/>
        <v>79</v>
      </c>
      <c r="B83" s="78" t="s">
        <v>630</v>
      </c>
      <c r="C83" s="70" t="s">
        <v>647</v>
      </c>
      <c r="D83" s="141" t="s">
        <v>1571</v>
      </c>
      <c r="E83" s="148">
        <v>2182.96</v>
      </c>
      <c r="F83" s="148">
        <v>0</v>
      </c>
      <c r="G83" s="148">
        <f t="shared" si="10"/>
        <v>2182.96</v>
      </c>
      <c r="H83" s="70"/>
      <c r="I83" s="149">
        <v>2120804</v>
      </c>
    </row>
    <row r="84" customHeight="1" spans="1:9">
      <c r="A84" s="78">
        <f t="shared" si="9"/>
        <v>80</v>
      </c>
      <c r="B84" s="78" t="s">
        <v>624</v>
      </c>
      <c r="C84" s="70" t="s">
        <v>1572</v>
      </c>
      <c r="D84" s="141" t="s">
        <v>1005</v>
      </c>
      <c r="E84" s="148">
        <v>852.75</v>
      </c>
      <c r="F84" s="148">
        <v>-852.75</v>
      </c>
      <c r="G84" s="148">
        <f t="shared" si="10"/>
        <v>0</v>
      </c>
      <c r="H84" s="70"/>
      <c r="I84" s="149"/>
    </row>
    <row r="85" customHeight="1" spans="1:9">
      <c r="A85" s="78">
        <f t="shared" si="9"/>
        <v>81</v>
      </c>
      <c r="B85" s="78" t="s">
        <v>624</v>
      </c>
      <c r="C85" s="70" t="s">
        <v>1572</v>
      </c>
      <c r="D85" s="141" t="s">
        <v>1573</v>
      </c>
      <c r="E85" s="148">
        <v>129.6174</v>
      </c>
      <c r="F85" s="148">
        <v>-119.62</v>
      </c>
      <c r="G85" s="148">
        <f t="shared" si="10"/>
        <v>9.9974</v>
      </c>
      <c r="H85" s="70"/>
      <c r="I85" s="150" t="s">
        <v>1528</v>
      </c>
    </row>
    <row r="86" customHeight="1" spans="1:9">
      <c r="A86" s="78">
        <f t="shared" ref="A86:A95" si="11">ROW()-4</f>
        <v>82</v>
      </c>
      <c r="B86" s="78" t="s">
        <v>621</v>
      </c>
      <c r="C86" s="70" t="s">
        <v>1520</v>
      </c>
      <c r="D86" s="141" t="s">
        <v>1574</v>
      </c>
      <c r="E86" s="148">
        <v>100</v>
      </c>
      <c r="F86" s="148">
        <v>-10</v>
      </c>
      <c r="G86" s="148">
        <f t="shared" si="10"/>
        <v>90</v>
      </c>
      <c r="H86" s="70"/>
      <c r="I86" s="150">
        <v>2120803</v>
      </c>
    </row>
    <row r="87" customHeight="1" spans="1:9">
      <c r="A87" s="78">
        <f t="shared" si="11"/>
        <v>83</v>
      </c>
      <c r="B87" s="78" t="s">
        <v>624</v>
      </c>
      <c r="C87" s="70" t="s">
        <v>957</v>
      </c>
      <c r="D87" s="141" t="s">
        <v>1575</v>
      </c>
      <c r="E87" s="148">
        <v>50</v>
      </c>
      <c r="F87" s="148">
        <v>-50</v>
      </c>
      <c r="G87" s="148">
        <f t="shared" si="10"/>
        <v>0</v>
      </c>
      <c r="H87" s="70"/>
      <c r="I87" s="149"/>
    </row>
    <row r="88" customHeight="1" spans="1:9">
      <c r="A88" s="78">
        <f t="shared" si="11"/>
        <v>84</v>
      </c>
      <c r="B88" s="78" t="s">
        <v>624</v>
      </c>
      <c r="C88" s="70" t="s">
        <v>957</v>
      </c>
      <c r="D88" s="141" t="s">
        <v>1576</v>
      </c>
      <c r="E88" s="148">
        <v>1500</v>
      </c>
      <c r="F88" s="148">
        <v>-1450</v>
      </c>
      <c r="G88" s="148">
        <f t="shared" si="10"/>
        <v>50</v>
      </c>
      <c r="H88" s="70"/>
      <c r="I88" s="150">
        <v>2120899</v>
      </c>
    </row>
    <row r="89" customHeight="1" spans="1:9">
      <c r="A89" s="78">
        <f t="shared" si="11"/>
        <v>85</v>
      </c>
      <c r="B89" s="78" t="s">
        <v>624</v>
      </c>
      <c r="C89" s="70" t="s">
        <v>957</v>
      </c>
      <c r="D89" s="141" t="s">
        <v>1577</v>
      </c>
      <c r="E89" s="148">
        <v>835</v>
      </c>
      <c r="F89" s="148">
        <v>-795</v>
      </c>
      <c r="G89" s="148">
        <f t="shared" si="10"/>
        <v>40</v>
      </c>
      <c r="H89" s="70"/>
      <c r="I89" s="151" t="s">
        <v>1578</v>
      </c>
    </row>
    <row r="90" customHeight="1" spans="1:9">
      <c r="A90" s="78">
        <f t="shared" si="11"/>
        <v>86</v>
      </c>
      <c r="B90" s="78" t="s">
        <v>624</v>
      </c>
      <c r="C90" s="70" t="s">
        <v>957</v>
      </c>
      <c r="D90" s="141" t="s">
        <v>1579</v>
      </c>
      <c r="E90" s="148">
        <v>2.6035</v>
      </c>
      <c r="F90" s="153">
        <v>-0.1435</v>
      </c>
      <c r="G90" s="148">
        <f t="shared" si="10"/>
        <v>2.46</v>
      </c>
      <c r="H90" s="70"/>
      <c r="I90" s="150" t="s">
        <v>1539</v>
      </c>
    </row>
    <row r="91" customHeight="1" spans="1:9">
      <c r="A91" s="78">
        <f t="shared" si="11"/>
        <v>87</v>
      </c>
      <c r="B91" s="140" t="s">
        <v>1479</v>
      </c>
      <c r="C91" s="142" t="s">
        <v>1333</v>
      </c>
      <c r="D91" s="141" t="s">
        <v>1580</v>
      </c>
      <c r="E91" s="148">
        <v>40</v>
      </c>
      <c r="F91" s="148">
        <v>-20</v>
      </c>
      <c r="G91" s="148">
        <f t="shared" si="10"/>
        <v>20</v>
      </c>
      <c r="H91" s="70"/>
      <c r="I91" s="150" t="s">
        <v>1581</v>
      </c>
    </row>
    <row r="92" customHeight="1" spans="1:9">
      <c r="A92" s="78">
        <f t="shared" si="11"/>
        <v>88</v>
      </c>
      <c r="B92" s="140" t="s">
        <v>1479</v>
      </c>
      <c r="C92" s="142" t="s">
        <v>1333</v>
      </c>
      <c r="D92" s="141" t="s">
        <v>1582</v>
      </c>
      <c r="E92" s="148">
        <v>60</v>
      </c>
      <c r="F92" s="148">
        <v>-30</v>
      </c>
      <c r="G92" s="148">
        <f t="shared" si="10"/>
        <v>30</v>
      </c>
      <c r="H92" s="70"/>
      <c r="I92" s="150" t="s">
        <v>1581</v>
      </c>
    </row>
    <row r="93" customHeight="1" spans="1:9">
      <c r="A93" s="78">
        <f t="shared" si="11"/>
        <v>89</v>
      </c>
      <c r="B93" s="140" t="s">
        <v>1479</v>
      </c>
      <c r="C93" s="142" t="s">
        <v>1333</v>
      </c>
      <c r="D93" s="141" t="s">
        <v>1583</v>
      </c>
      <c r="E93" s="148">
        <v>120</v>
      </c>
      <c r="F93" s="148">
        <v>-50</v>
      </c>
      <c r="G93" s="148">
        <f t="shared" si="10"/>
        <v>70</v>
      </c>
      <c r="H93" s="70"/>
      <c r="I93" s="150" t="s">
        <v>1581</v>
      </c>
    </row>
    <row r="94" customHeight="1" spans="1:9">
      <c r="A94" s="78">
        <f t="shared" si="11"/>
        <v>90</v>
      </c>
      <c r="B94" s="78" t="s">
        <v>674</v>
      </c>
      <c r="C94" s="142" t="s">
        <v>880</v>
      </c>
      <c r="D94" s="142" t="s">
        <v>1584</v>
      </c>
      <c r="E94" s="148">
        <v>3.4</v>
      </c>
      <c r="F94" s="148">
        <v>0</v>
      </c>
      <c r="G94" s="148">
        <f t="shared" si="10"/>
        <v>3.4</v>
      </c>
      <c r="H94" s="70"/>
      <c r="I94" s="150" t="s">
        <v>1528</v>
      </c>
    </row>
    <row r="95" customHeight="1" spans="1:9">
      <c r="A95" s="78">
        <f t="shared" si="11"/>
        <v>91</v>
      </c>
      <c r="B95" s="78" t="s">
        <v>624</v>
      </c>
      <c r="C95" s="70" t="s">
        <v>880</v>
      </c>
      <c r="D95" s="141" t="s">
        <v>884</v>
      </c>
      <c r="E95" s="148">
        <v>12.2</v>
      </c>
      <c r="F95" s="148">
        <v>-10</v>
      </c>
      <c r="G95" s="148">
        <f t="shared" si="10"/>
        <v>2.2</v>
      </c>
      <c r="H95" s="70"/>
      <c r="I95" s="150" t="s">
        <v>1539</v>
      </c>
    </row>
    <row r="96" customHeight="1" spans="1:9">
      <c r="A96" s="78">
        <f t="shared" ref="A96:A105" si="12">ROW()-4</f>
        <v>92</v>
      </c>
      <c r="B96" s="140" t="s">
        <v>1479</v>
      </c>
      <c r="C96" s="144" t="s">
        <v>880</v>
      </c>
      <c r="D96" s="152" t="s">
        <v>1585</v>
      </c>
      <c r="E96" s="148">
        <v>300</v>
      </c>
      <c r="F96" s="148">
        <v>0</v>
      </c>
      <c r="G96" s="148">
        <f t="shared" si="10"/>
        <v>300</v>
      </c>
      <c r="H96" s="70"/>
      <c r="I96" s="150" t="s">
        <v>1488</v>
      </c>
    </row>
    <row r="97" customHeight="1" spans="1:9">
      <c r="A97" s="78">
        <f t="shared" si="12"/>
        <v>93</v>
      </c>
      <c r="B97" s="78" t="s">
        <v>624</v>
      </c>
      <c r="C97" s="70" t="s">
        <v>898</v>
      </c>
      <c r="D97" s="141" t="s">
        <v>1586</v>
      </c>
      <c r="E97" s="148">
        <v>114.1</v>
      </c>
      <c r="F97" s="148">
        <v>-55.91</v>
      </c>
      <c r="G97" s="148">
        <f t="shared" si="10"/>
        <v>58.19</v>
      </c>
      <c r="H97" s="70"/>
      <c r="I97" s="150">
        <v>2120814</v>
      </c>
    </row>
    <row r="98" customHeight="1" spans="1:9">
      <c r="A98" s="78">
        <f t="shared" si="12"/>
        <v>94</v>
      </c>
      <c r="B98" s="78" t="s">
        <v>624</v>
      </c>
      <c r="C98" s="70" t="s">
        <v>898</v>
      </c>
      <c r="D98" s="141" t="s">
        <v>1586</v>
      </c>
      <c r="E98" s="148">
        <v>38</v>
      </c>
      <c r="F98" s="148">
        <v>-38</v>
      </c>
      <c r="G98" s="148">
        <f t="shared" si="10"/>
        <v>0</v>
      </c>
      <c r="H98" s="70"/>
      <c r="I98" s="149"/>
    </row>
    <row r="99" customHeight="1" spans="1:9">
      <c r="A99" s="78">
        <f t="shared" si="12"/>
        <v>95</v>
      </c>
      <c r="B99" s="78" t="s">
        <v>814</v>
      </c>
      <c r="C99" s="70" t="s">
        <v>898</v>
      </c>
      <c r="D99" s="141" t="s">
        <v>1587</v>
      </c>
      <c r="E99" s="148">
        <v>200</v>
      </c>
      <c r="F99" s="148">
        <f>-182+5</f>
        <v>-177</v>
      </c>
      <c r="G99" s="148">
        <f t="shared" si="10"/>
        <v>23</v>
      </c>
      <c r="H99" s="70"/>
      <c r="I99" s="150">
        <v>2121399</v>
      </c>
    </row>
    <row r="100" customHeight="1" spans="1:9">
      <c r="A100" s="78">
        <f t="shared" si="12"/>
        <v>96</v>
      </c>
      <c r="B100" s="78" t="s">
        <v>814</v>
      </c>
      <c r="C100" s="70" t="s">
        <v>898</v>
      </c>
      <c r="D100" s="141" t="s">
        <v>1588</v>
      </c>
      <c r="E100" s="148">
        <v>20</v>
      </c>
      <c r="F100" s="148">
        <v>0</v>
      </c>
      <c r="G100" s="148">
        <f t="shared" si="10"/>
        <v>20</v>
      </c>
      <c r="H100" s="70"/>
      <c r="I100" s="150">
        <v>2120899</v>
      </c>
    </row>
    <row r="101" customHeight="1" spans="1:9">
      <c r="A101" s="78">
        <f t="shared" si="12"/>
        <v>97</v>
      </c>
      <c r="B101" s="78" t="s">
        <v>814</v>
      </c>
      <c r="C101" s="142" t="s">
        <v>898</v>
      </c>
      <c r="D101" s="141" t="s">
        <v>1589</v>
      </c>
      <c r="E101" s="148">
        <v>27</v>
      </c>
      <c r="F101" s="148">
        <v>-20</v>
      </c>
      <c r="G101" s="148">
        <f t="shared" si="10"/>
        <v>7</v>
      </c>
      <c r="H101" s="70"/>
      <c r="I101" s="150">
        <v>2121399</v>
      </c>
    </row>
    <row r="102" customHeight="1" spans="1:9">
      <c r="A102" s="78">
        <f t="shared" si="12"/>
        <v>98</v>
      </c>
      <c r="B102" s="78" t="s">
        <v>814</v>
      </c>
      <c r="C102" s="142" t="s">
        <v>898</v>
      </c>
      <c r="D102" s="141" t="s">
        <v>1590</v>
      </c>
      <c r="E102" s="148">
        <v>20</v>
      </c>
      <c r="F102" s="148">
        <v>-5</v>
      </c>
      <c r="G102" s="148">
        <f t="shared" si="10"/>
        <v>15</v>
      </c>
      <c r="H102" s="70"/>
      <c r="I102" s="150">
        <v>2120899</v>
      </c>
    </row>
    <row r="103" customHeight="1" spans="1:9">
      <c r="A103" s="78">
        <f t="shared" si="12"/>
        <v>99</v>
      </c>
      <c r="B103" s="78" t="s">
        <v>814</v>
      </c>
      <c r="C103" s="142" t="s">
        <v>898</v>
      </c>
      <c r="D103" s="141" t="s">
        <v>1591</v>
      </c>
      <c r="E103" s="148">
        <v>10</v>
      </c>
      <c r="F103" s="148">
        <v>0</v>
      </c>
      <c r="G103" s="148">
        <f t="shared" si="10"/>
        <v>10</v>
      </c>
      <c r="H103" s="70"/>
      <c r="I103" s="150">
        <v>2120899</v>
      </c>
    </row>
    <row r="104" customHeight="1" spans="1:9">
      <c r="A104" s="78">
        <f t="shared" si="12"/>
        <v>100</v>
      </c>
      <c r="B104" s="78" t="s">
        <v>814</v>
      </c>
      <c r="C104" s="142" t="s">
        <v>898</v>
      </c>
      <c r="D104" s="141" t="s">
        <v>1592</v>
      </c>
      <c r="E104" s="148">
        <v>5</v>
      </c>
      <c r="F104" s="148">
        <v>-5</v>
      </c>
      <c r="G104" s="148">
        <f t="shared" si="10"/>
        <v>0</v>
      </c>
      <c r="H104" s="70"/>
      <c r="I104" s="149"/>
    </row>
    <row r="105" customHeight="1" spans="1:9">
      <c r="A105" s="78">
        <f t="shared" si="12"/>
        <v>101</v>
      </c>
      <c r="B105" s="78" t="s">
        <v>814</v>
      </c>
      <c r="C105" s="144" t="s">
        <v>898</v>
      </c>
      <c r="D105" s="152" t="s">
        <v>1593</v>
      </c>
      <c r="E105" s="148">
        <v>0</v>
      </c>
      <c r="F105" s="148">
        <f>10-5</f>
        <v>5</v>
      </c>
      <c r="G105" s="148">
        <f t="shared" si="10"/>
        <v>5</v>
      </c>
      <c r="H105" s="70"/>
      <c r="I105" s="150" t="s">
        <v>1528</v>
      </c>
    </row>
    <row r="106" customHeight="1" spans="1:9">
      <c r="A106" s="78">
        <f t="shared" ref="A106:A115" si="13">ROW()-4</f>
        <v>102</v>
      </c>
      <c r="B106" s="78" t="s">
        <v>814</v>
      </c>
      <c r="C106" s="144" t="s">
        <v>898</v>
      </c>
      <c r="D106" s="152" t="s">
        <v>1594</v>
      </c>
      <c r="E106" s="148">
        <v>17.5</v>
      </c>
      <c r="F106" s="148">
        <f>17.5-17.5</f>
        <v>0</v>
      </c>
      <c r="G106" s="148">
        <f t="shared" si="10"/>
        <v>17.5</v>
      </c>
      <c r="H106" s="70"/>
      <c r="I106" s="150" t="s">
        <v>1528</v>
      </c>
    </row>
    <row r="107" customHeight="1" spans="1:9">
      <c r="A107" s="78">
        <f t="shared" si="13"/>
        <v>103</v>
      </c>
      <c r="B107" s="140" t="s">
        <v>1479</v>
      </c>
      <c r="C107" s="70" t="s">
        <v>898</v>
      </c>
      <c r="D107" s="141" t="s">
        <v>560</v>
      </c>
      <c r="E107" s="148">
        <v>100</v>
      </c>
      <c r="F107" s="148">
        <v>0</v>
      </c>
      <c r="G107" s="148">
        <f t="shared" si="10"/>
        <v>100</v>
      </c>
      <c r="H107" s="70"/>
      <c r="I107" s="150">
        <v>2120806</v>
      </c>
    </row>
    <row r="108" customHeight="1" spans="1:9">
      <c r="A108" s="78">
        <f t="shared" si="13"/>
        <v>104</v>
      </c>
      <c r="B108" s="140" t="s">
        <v>1479</v>
      </c>
      <c r="C108" s="70" t="s">
        <v>898</v>
      </c>
      <c r="D108" s="141" t="s">
        <v>1595</v>
      </c>
      <c r="E108" s="148">
        <v>100</v>
      </c>
      <c r="F108" s="148">
        <v>-10</v>
      </c>
      <c r="G108" s="148">
        <f t="shared" si="10"/>
        <v>90</v>
      </c>
      <c r="H108" s="70"/>
      <c r="I108" s="150">
        <v>2120806</v>
      </c>
    </row>
    <row r="109" customHeight="1" spans="1:9">
      <c r="A109" s="78">
        <f t="shared" si="13"/>
        <v>105</v>
      </c>
      <c r="B109" s="140" t="s">
        <v>1479</v>
      </c>
      <c r="C109" s="70" t="s">
        <v>898</v>
      </c>
      <c r="D109" s="141" t="s">
        <v>1596</v>
      </c>
      <c r="E109" s="148">
        <v>120</v>
      </c>
      <c r="F109" s="148">
        <f>-20-30-10</f>
        <v>-60</v>
      </c>
      <c r="G109" s="148">
        <f t="shared" si="10"/>
        <v>60</v>
      </c>
      <c r="H109" s="70"/>
      <c r="I109" s="150">
        <v>2120806</v>
      </c>
    </row>
    <row r="110" customHeight="1" spans="1:9">
      <c r="A110" s="78">
        <f t="shared" si="13"/>
        <v>106</v>
      </c>
      <c r="B110" s="140" t="s">
        <v>1479</v>
      </c>
      <c r="C110" s="70" t="s">
        <v>898</v>
      </c>
      <c r="D110" s="141" t="s">
        <v>1597</v>
      </c>
      <c r="E110" s="148">
        <v>6</v>
      </c>
      <c r="F110" s="148">
        <v>-0.09</v>
      </c>
      <c r="G110" s="148">
        <f t="shared" si="10"/>
        <v>5.91</v>
      </c>
      <c r="H110" s="70"/>
      <c r="I110" s="150">
        <v>2120806</v>
      </c>
    </row>
    <row r="111" customHeight="1" spans="1:9">
      <c r="A111" s="78">
        <f t="shared" si="13"/>
        <v>107</v>
      </c>
      <c r="B111" s="140" t="s">
        <v>1479</v>
      </c>
      <c r="C111" s="70" t="s">
        <v>898</v>
      </c>
      <c r="D111" s="141" t="s">
        <v>1598</v>
      </c>
      <c r="E111" s="148">
        <v>50</v>
      </c>
      <c r="F111" s="148">
        <f>-30-10</f>
        <v>-40</v>
      </c>
      <c r="G111" s="148">
        <f t="shared" ref="G111:G133" si="14">E111+F111</f>
        <v>10</v>
      </c>
      <c r="H111" s="70"/>
      <c r="I111" s="150">
        <v>2120806</v>
      </c>
    </row>
    <row r="112" customHeight="1" spans="1:9">
      <c r="A112" s="78">
        <f t="shared" si="13"/>
        <v>108</v>
      </c>
      <c r="B112" s="140" t="s">
        <v>1479</v>
      </c>
      <c r="C112" s="70" t="s">
        <v>898</v>
      </c>
      <c r="D112" s="141" t="s">
        <v>1599</v>
      </c>
      <c r="E112" s="148">
        <v>20</v>
      </c>
      <c r="F112" s="148">
        <v>-20</v>
      </c>
      <c r="G112" s="148">
        <f t="shared" si="14"/>
        <v>0</v>
      </c>
      <c r="H112" s="70"/>
      <c r="I112" s="149"/>
    </row>
    <row r="113" customHeight="1" spans="1:9">
      <c r="A113" s="78">
        <f t="shared" si="13"/>
        <v>109</v>
      </c>
      <c r="B113" s="140" t="s">
        <v>1479</v>
      </c>
      <c r="C113" s="70" t="s">
        <v>898</v>
      </c>
      <c r="D113" s="141" t="s">
        <v>1600</v>
      </c>
      <c r="E113" s="148">
        <v>100</v>
      </c>
      <c r="F113" s="148">
        <f>-30-20</f>
        <v>-50</v>
      </c>
      <c r="G113" s="148">
        <f t="shared" si="14"/>
        <v>50</v>
      </c>
      <c r="H113" s="70"/>
      <c r="I113" s="150" t="s">
        <v>1601</v>
      </c>
    </row>
    <row r="114" customHeight="1" spans="1:9">
      <c r="A114" s="78">
        <f t="shared" si="13"/>
        <v>110</v>
      </c>
      <c r="B114" s="140" t="s">
        <v>1479</v>
      </c>
      <c r="C114" s="142" t="s">
        <v>898</v>
      </c>
      <c r="D114" s="141" t="s">
        <v>1602</v>
      </c>
      <c r="E114" s="148">
        <v>300</v>
      </c>
      <c r="F114" s="148">
        <f>-150-50-5</f>
        <v>-205</v>
      </c>
      <c r="G114" s="148">
        <f t="shared" si="14"/>
        <v>95</v>
      </c>
      <c r="H114" s="70"/>
      <c r="I114" s="150">
        <v>2120806</v>
      </c>
    </row>
    <row r="115" customHeight="1" spans="1:9">
      <c r="A115" s="78">
        <f t="shared" si="13"/>
        <v>111</v>
      </c>
      <c r="B115" s="140" t="s">
        <v>1479</v>
      </c>
      <c r="C115" s="142" t="s">
        <v>898</v>
      </c>
      <c r="D115" s="141" t="s">
        <v>1603</v>
      </c>
      <c r="E115" s="148">
        <v>20</v>
      </c>
      <c r="F115" s="148">
        <f>8.62-8.62</f>
        <v>0</v>
      </c>
      <c r="G115" s="148">
        <f t="shared" si="14"/>
        <v>20</v>
      </c>
      <c r="H115" s="70"/>
      <c r="I115" s="150">
        <v>2120814</v>
      </c>
    </row>
    <row r="116" customHeight="1" spans="1:9">
      <c r="A116" s="78">
        <f t="shared" ref="A116:A125" si="15">ROW()-4</f>
        <v>112</v>
      </c>
      <c r="B116" s="140" t="s">
        <v>1479</v>
      </c>
      <c r="C116" s="142" t="s">
        <v>898</v>
      </c>
      <c r="D116" s="141" t="s">
        <v>1604</v>
      </c>
      <c r="E116" s="148">
        <v>50</v>
      </c>
      <c r="F116" s="148">
        <v>-30</v>
      </c>
      <c r="G116" s="148">
        <f t="shared" si="14"/>
        <v>20</v>
      </c>
      <c r="H116" s="70"/>
      <c r="I116" s="150">
        <v>2120806</v>
      </c>
    </row>
    <row r="117" customHeight="1" spans="1:9">
      <c r="A117" s="78">
        <f t="shared" si="15"/>
        <v>113</v>
      </c>
      <c r="B117" s="140" t="s">
        <v>1479</v>
      </c>
      <c r="C117" s="142" t="s">
        <v>898</v>
      </c>
      <c r="D117" s="141" t="s">
        <v>1605</v>
      </c>
      <c r="E117" s="148">
        <v>240</v>
      </c>
      <c r="F117" s="148">
        <v>0</v>
      </c>
      <c r="G117" s="148">
        <f t="shared" si="14"/>
        <v>240</v>
      </c>
      <c r="H117" s="70"/>
      <c r="I117" s="150">
        <v>2120806</v>
      </c>
    </row>
    <row r="118" customHeight="1" spans="1:9">
      <c r="A118" s="78">
        <f t="shared" si="15"/>
        <v>114</v>
      </c>
      <c r="B118" s="140" t="s">
        <v>1479</v>
      </c>
      <c r="C118" s="142" t="s">
        <v>898</v>
      </c>
      <c r="D118" s="141" t="s">
        <v>1606</v>
      </c>
      <c r="E118" s="148">
        <v>40</v>
      </c>
      <c r="F118" s="148">
        <v>-10</v>
      </c>
      <c r="G118" s="148">
        <f t="shared" si="14"/>
        <v>30</v>
      </c>
      <c r="H118" s="70"/>
      <c r="I118" s="150">
        <v>2120806</v>
      </c>
    </row>
    <row r="119" customHeight="1" spans="1:9">
      <c r="A119" s="78">
        <f t="shared" si="15"/>
        <v>115</v>
      </c>
      <c r="B119" s="140" t="s">
        <v>1479</v>
      </c>
      <c r="C119" s="142" t="s">
        <v>898</v>
      </c>
      <c r="D119" s="141" t="s">
        <v>1607</v>
      </c>
      <c r="E119" s="148">
        <v>30</v>
      </c>
      <c r="F119" s="148">
        <v>-30</v>
      </c>
      <c r="G119" s="148">
        <f t="shared" si="14"/>
        <v>0</v>
      </c>
      <c r="H119" s="70" t="s">
        <v>1608</v>
      </c>
      <c r="I119" s="149"/>
    </row>
    <row r="120" customHeight="1" spans="1:9">
      <c r="A120" s="78">
        <f t="shared" si="15"/>
        <v>116</v>
      </c>
      <c r="B120" s="140" t="s">
        <v>1479</v>
      </c>
      <c r="C120" s="70" t="s">
        <v>898</v>
      </c>
      <c r="D120" s="141" t="s">
        <v>560</v>
      </c>
      <c r="E120" s="148">
        <v>15</v>
      </c>
      <c r="F120" s="148">
        <v>0</v>
      </c>
      <c r="G120" s="148">
        <f t="shared" si="14"/>
        <v>15</v>
      </c>
      <c r="H120" s="70"/>
      <c r="I120" s="150">
        <v>2120806</v>
      </c>
    </row>
    <row r="121" customHeight="1" spans="1:9">
      <c r="A121" s="78">
        <f t="shared" si="15"/>
        <v>117</v>
      </c>
      <c r="B121" s="140" t="s">
        <v>1479</v>
      </c>
      <c r="C121" s="142" t="s">
        <v>898</v>
      </c>
      <c r="D121" s="141" t="s">
        <v>1605</v>
      </c>
      <c r="E121" s="148">
        <v>20</v>
      </c>
      <c r="F121" s="148">
        <v>-8</v>
      </c>
      <c r="G121" s="148">
        <f t="shared" si="14"/>
        <v>12</v>
      </c>
      <c r="H121" s="70"/>
      <c r="I121" s="150">
        <v>2120806</v>
      </c>
    </row>
    <row r="122" customHeight="1" spans="1:9">
      <c r="A122" s="78">
        <f t="shared" si="15"/>
        <v>118</v>
      </c>
      <c r="B122" s="140" t="s">
        <v>1479</v>
      </c>
      <c r="C122" s="144" t="s">
        <v>898</v>
      </c>
      <c r="D122" s="152" t="s">
        <v>1609</v>
      </c>
      <c r="E122" s="148">
        <v>1</v>
      </c>
      <c r="F122" s="148">
        <v>-1</v>
      </c>
      <c r="G122" s="148">
        <f t="shared" si="14"/>
        <v>0</v>
      </c>
      <c r="H122" s="70"/>
      <c r="I122" s="149"/>
    </row>
    <row r="123" customHeight="1" spans="1:9">
      <c r="A123" s="78">
        <f t="shared" si="15"/>
        <v>119</v>
      </c>
      <c r="B123" s="78" t="s">
        <v>626</v>
      </c>
      <c r="C123" s="154" t="s">
        <v>856</v>
      </c>
      <c r="D123" s="154" t="s">
        <v>1610</v>
      </c>
      <c r="E123" s="148">
        <v>60</v>
      </c>
      <c r="F123" s="148">
        <v>-60</v>
      </c>
      <c r="G123" s="148">
        <f t="shared" si="14"/>
        <v>0</v>
      </c>
      <c r="H123" s="70"/>
      <c r="I123" s="149"/>
    </row>
    <row r="124" customHeight="1" spans="1:9">
      <c r="A124" s="78">
        <f t="shared" si="15"/>
        <v>120</v>
      </c>
      <c r="B124" s="78" t="s">
        <v>626</v>
      </c>
      <c r="C124" s="154" t="s">
        <v>856</v>
      </c>
      <c r="D124" s="154" t="s">
        <v>1611</v>
      </c>
      <c r="E124" s="148">
        <v>40</v>
      </c>
      <c r="F124" s="148">
        <v>-40</v>
      </c>
      <c r="G124" s="148">
        <f t="shared" si="14"/>
        <v>0</v>
      </c>
      <c r="H124" s="70"/>
      <c r="I124" s="149"/>
    </row>
    <row r="125" customHeight="1" spans="1:9">
      <c r="A125" s="78">
        <f t="shared" si="15"/>
        <v>121</v>
      </c>
      <c r="B125" s="78" t="s">
        <v>674</v>
      </c>
      <c r="C125" s="142" t="s">
        <v>1191</v>
      </c>
      <c r="D125" s="142" t="s">
        <v>1612</v>
      </c>
      <c r="E125" s="148">
        <v>20</v>
      </c>
      <c r="F125" s="148">
        <v>-10</v>
      </c>
      <c r="G125" s="148">
        <f t="shared" si="14"/>
        <v>10</v>
      </c>
      <c r="H125" s="142"/>
      <c r="I125" s="150" t="s">
        <v>1528</v>
      </c>
    </row>
    <row r="126" customHeight="1" spans="1:9">
      <c r="A126" s="78">
        <f t="shared" ref="A126:A135" si="16">ROW()-4</f>
        <v>122</v>
      </c>
      <c r="B126" s="78" t="s">
        <v>624</v>
      </c>
      <c r="C126" s="155" t="s">
        <v>1191</v>
      </c>
      <c r="D126" s="155" t="s">
        <v>1613</v>
      </c>
      <c r="E126" s="148">
        <v>200</v>
      </c>
      <c r="F126" s="148">
        <f>-150-50</f>
        <v>-200</v>
      </c>
      <c r="G126" s="148">
        <f t="shared" si="14"/>
        <v>0</v>
      </c>
      <c r="H126" s="155"/>
      <c r="I126" s="149"/>
    </row>
    <row r="127" customHeight="1" spans="1:9">
      <c r="A127" s="78">
        <f t="shared" si="16"/>
        <v>123</v>
      </c>
      <c r="B127" s="78" t="s">
        <v>646</v>
      </c>
      <c r="C127" s="70" t="s">
        <v>1096</v>
      </c>
      <c r="D127" s="141" t="s">
        <v>1614</v>
      </c>
      <c r="E127" s="148">
        <v>150</v>
      </c>
      <c r="F127" s="148">
        <v>-100</v>
      </c>
      <c r="G127" s="148">
        <f t="shared" si="14"/>
        <v>50</v>
      </c>
      <c r="H127" s="70"/>
      <c r="I127" s="150" t="s">
        <v>1528</v>
      </c>
    </row>
    <row r="128" customHeight="1" spans="1:9">
      <c r="A128" s="78">
        <f t="shared" si="16"/>
        <v>124</v>
      </c>
      <c r="B128" s="78" t="s">
        <v>646</v>
      </c>
      <c r="C128" s="70" t="s">
        <v>1096</v>
      </c>
      <c r="D128" s="141" t="s">
        <v>1615</v>
      </c>
      <c r="E128" s="148">
        <v>201.34</v>
      </c>
      <c r="F128" s="148">
        <v>0</v>
      </c>
      <c r="G128" s="148">
        <f t="shared" si="14"/>
        <v>201.34</v>
      </c>
      <c r="H128" s="70"/>
      <c r="I128" s="150" t="s">
        <v>1528</v>
      </c>
    </row>
    <row r="129" customHeight="1" spans="1:9">
      <c r="A129" s="78">
        <f t="shared" si="16"/>
        <v>125</v>
      </c>
      <c r="B129" s="78" t="s">
        <v>646</v>
      </c>
      <c r="C129" s="70" t="s">
        <v>641</v>
      </c>
      <c r="D129" s="141" t="s">
        <v>1616</v>
      </c>
      <c r="E129" s="148">
        <v>0</v>
      </c>
      <c r="F129" s="148">
        <v>5</v>
      </c>
      <c r="G129" s="148">
        <f t="shared" si="14"/>
        <v>5</v>
      </c>
      <c r="H129" s="70" t="s">
        <v>1617</v>
      </c>
      <c r="I129" s="157" t="s">
        <v>1528</v>
      </c>
    </row>
    <row r="130" customHeight="1" spans="1:9">
      <c r="A130" s="78">
        <f t="shared" si="16"/>
        <v>126</v>
      </c>
      <c r="B130" s="78" t="s">
        <v>646</v>
      </c>
      <c r="C130" s="70" t="s">
        <v>1103</v>
      </c>
      <c r="D130" s="70" t="s">
        <v>1618</v>
      </c>
      <c r="E130" s="148">
        <v>23.8</v>
      </c>
      <c r="F130" s="148">
        <v>-8.8</v>
      </c>
      <c r="G130" s="148">
        <f t="shared" si="14"/>
        <v>15</v>
      </c>
      <c r="H130" s="70"/>
      <c r="I130" s="150">
        <v>2120806</v>
      </c>
    </row>
    <row r="131" customHeight="1" spans="1:9">
      <c r="A131" s="78">
        <f t="shared" si="16"/>
        <v>127</v>
      </c>
      <c r="B131" s="78" t="s">
        <v>630</v>
      </c>
      <c r="C131" s="70" t="s">
        <v>1191</v>
      </c>
      <c r="D131" s="141" t="s">
        <v>1619</v>
      </c>
      <c r="E131" s="148">
        <v>30960</v>
      </c>
      <c r="F131" s="148">
        <v>0</v>
      </c>
      <c r="G131" s="148">
        <f t="shared" si="14"/>
        <v>30960</v>
      </c>
      <c r="H131" s="70"/>
      <c r="I131" s="150" t="s">
        <v>1620</v>
      </c>
    </row>
    <row r="132" customHeight="1" spans="1:9">
      <c r="A132" s="78">
        <f t="shared" si="16"/>
        <v>128</v>
      </c>
      <c r="B132" s="78" t="s">
        <v>630</v>
      </c>
      <c r="C132" s="70" t="s">
        <v>1191</v>
      </c>
      <c r="D132" s="141" t="s">
        <v>1621</v>
      </c>
      <c r="E132" s="148">
        <v>25759.396</v>
      </c>
      <c r="F132" s="148">
        <v>788.55</v>
      </c>
      <c r="G132" s="148">
        <f t="shared" si="14"/>
        <v>26547.946</v>
      </c>
      <c r="H132" s="70"/>
      <c r="I132" s="150" t="s">
        <v>1622</v>
      </c>
    </row>
    <row r="133" customHeight="1" spans="1:9">
      <c r="A133" s="78">
        <f t="shared" si="16"/>
        <v>129</v>
      </c>
      <c r="B133" s="78" t="s">
        <v>630</v>
      </c>
      <c r="C133" s="70" t="s">
        <v>1191</v>
      </c>
      <c r="D133" s="141" t="s">
        <v>1456</v>
      </c>
      <c r="E133" s="148">
        <v>250</v>
      </c>
      <c r="F133" s="148">
        <f>130.165493-250</f>
        <v>-119.834507</v>
      </c>
      <c r="G133" s="148">
        <f t="shared" si="14"/>
        <v>130.165493</v>
      </c>
      <c r="H133" s="70"/>
      <c r="I133" s="150" t="s">
        <v>1623</v>
      </c>
    </row>
    <row r="134" customHeight="1" spans="1:9">
      <c r="A134" s="78">
        <f t="shared" si="16"/>
        <v>130</v>
      </c>
      <c r="B134" s="138" t="s">
        <v>1624</v>
      </c>
      <c r="C134" s="139"/>
      <c r="D134" s="139"/>
      <c r="E134" s="137">
        <f>E135+E136+E137+E138</f>
        <v>4000</v>
      </c>
      <c r="F134" s="137">
        <f>F135+F136+F137+F138</f>
        <v>-3170</v>
      </c>
      <c r="G134" s="137">
        <f>G135+G136+G137+G138</f>
        <v>830</v>
      </c>
      <c r="H134" s="136"/>
      <c r="I134" s="149"/>
    </row>
    <row r="135" customHeight="1" spans="1:9">
      <c r="A135" s="78">
        <f t="shared" si="16"/>
        <v>131</v>
      </c>
      <c r="B135" s="78" t="s">
        <v>674</v>
      </c>
      <c r="C135" s="142" t="s">
        <v>1191</v>
      </c>
      <c r="D135" s="141" t="s">
        <v>1625</v>
      </c>
      <c r="E135" s="148">
        <v>100</v>
      </c>
      <c r="F135" s="148">
        <v>-30</v>
      </c>
      <c r="G135" s="148">
        <f t="shared" ref="G135:G140" si="17">E135+F135</f>
        <v>70</v>
      </c>
      <c r="H135" s="70"/>
      <c r="I135" s="150" t="s">
        <v>1528</v>
      </c>
    </row>
    <row r="136" customHeight="1" spans="1:9">
      <c r="A136" s="78">
        <f t="shared" ref="A136:A145" si="18">ROW()-4</f>
        <v>132</v>
      </c>
      <c r="B136" s="78" t="s">
        <v>621</v>
      </c>
      <c r="C136" s="70" t="s">
        <v>1191</v>
      </c>
      <c r="D136" s="141" t="s">
        <v>1626</v>
      </c>
      <c r="E136" s="148">
        <v>2000</v>
      </c>
      <c r="F136" s="148">
        <v>-1800</v>
      </c>
      <c r="G136" s="148">
        <f t="shared" si="17"/>
        <v>200</v>
      </c>
      <c r="H136" s="70"/>
      <c r="I136" s="150">
        <v>2120803</v>
      </c>
    </row>
    <row r="137" customHeight="1" spans="1:9">
      <c r="A137" s="78">
        <f t="shared" si="18"/>
        <v>133</v>
      </c>
      <c r="B137" s="78" t="s">
        <v>814</v>
      </c>
      <c r="C137" s="142" t="s">
        <v>1191</v>
      </c>
      <c r="D137" s="141" t="s">
        <v>1627</v>
      </c>
      <c r="E137" s="148">
        <v>100</v>
      </c>
      <c r="F137" s="148">
        <v>-50</v>
      </c>
      <c r="G137" s="148">
        <f t="shared" si="17"/>
        <v>50</v>
      </c>
      <c r="H137" s="70"/>
      <c r="I137" s="150" t="s">
        <v>1628</v>
      </c>
    </row>
    <row r="138" customHeight="1" spans="1:9">
      <c r="A138" s="78">
        <f t="shared" si="18"/>
        <v>134</v>
      </c>
      <c r="B138" s="140" t="s">
        <v>1479</v>
      </c>
      <c r="C138" s="142" t="s">
        <v>1191</v>
      </c>
      <c r="D138" s="141" t="s">
        <v>1629</v>
      </c>
      <c r="E138" s="148">
        <v>1800</v>
      </c>
      <c r="F138" s="148">
        <f>-1690+400</f>
        <v>-1290</v>
      </c>
      <c r="G138" s="148">
        <f t="shared" si="17"/>
        <v>510</v>
      </c>
      <c r="H138" s="70" t="s">
        <v>1630</v>
      </c>
      <c r="I138" s="150" t="s">
        <v>1488</v>
      </c>
    </row>
    <row r="139" customHeight="1" spans="1:9">
      <c r="A139" s="78">
        <f t="shared" si="18"/>
        <v>135</v>
      </c>
      <c r="B139" s="18" t="s">
        <v>1631</v>
      </c>
      <c r="C139" s="136"/>
      <c r="D139" s="136"/>
      <c r="E139" s="137">
        <f>SUM(E140:E156)</f>
        <v>10236.666835</v>
      </c>
      <c r="F139" s="137">
        <f>SUM(F140:F156)</f>
        <v>-3100.62</v>
      </c>
      <c r="G139" s="137">
        <f>SUM(G140:G156)</f>
        <v>7136.046835</v>
      </c>
      <c r="H139" s="136"/>
      <c r="I139" s="149"/>
    </row>
    <row r="140" customHeight="1" spans="1:9">
      <c r="A140" s="78">
        <f t="shared" si="18"/>
        <v>136</v>
      </c>
      <c r="B140" s="78" t="s">
        <v>646</v>
      </c>
      <c r="C140" s="70" t="s">
        <v>954</v>
      </c>
      <c r="D140" s="70" t="s">
        <v>1632</v>
      </c>
      <c r="E140" s="148">
        <v>800</v>
      </c>
      <c r="F140" s="148">
        <v>50</v>
      </c>
      <c r="G140" s="148">
        <f t="shared" si="17"/>
        <v>850</v>
      </c>
      <c r="H140" s="70" t="s">
        <v>1633</v>
      </c>
      <c r="I140" s="150">
        <v>2121301</v>
      </c>
    </row>
    <row r="141" customHeight="1" spans="1:9">
      <c r="A141" s="78">
        <f t="shared" si="18"/>
        <v>137</v>
      </c>
      <c r="B141" s="78" t="s">
        <v>646</v>
      </c>
      <c r="C141" s="70" t="s">
        <v>954</v>
      </c>
      <c r="D141" s="70" t="s">
        <v>1634</v>
      </c>
      <c r="E141" s="148">
        <v>25</v>
      </c>
      <c r="F141" s="148">
        <v>0</v>
      </c>
      <c r="G141" s="148">
        <f t="shared" ref="G141:G156" si="19">E141+F141</f>
        <v>25</v>
      </c>
      <c r="H141" s="70"/>
      <c r="I141" s="150">
        <v>2121301</v>
      </c>
    </row>
    <row r="142" customHeight="1" spans="1:9">
      <c r="A142" s="78">
        <f t="shared" si="18"/>
        <v>138</v>
      </c>
      <c r="B142" s="78" t="s">
        <v>646</v>
      </c>
      <c r="C142" s="142" t="s">
        <v>942</v>
      </c>
      <c r="D142" s="141" t="s">
        <v>1616</v>
      </c>
      <c r="E142" s="148">
        <v>9</v>
      </c>
      <c r="F142" s="148">
        <v>-9</v>
      </c>
      <c r="G142" s="148">
        <f t="shared" si="19"/>
        <v>0</v>
      </c>
      <c r="H142" s="70" t="s">
        <v>1635</v>
      </c>
      <c r="I142" s="157"/>
    </row>
    <row r="143" customHeight="1" spans="1:9">
      <c r="A143" s="78">
        <f t="shared" si="18"/>
        <v>139</v>
      </c>
      <c r="B143" s="78" t="s">
        <v>646</v>
      </c>
      <c r="C143" s="70" t="s">
        <v>942</v>
      </c>
      <c r="D143" s="70" t="s">
        <v>1636</v>
      </c>
      <c r="E143" s="148">
        <v>1896</v>
      </c>
      <c r="F143" s="148">
        <v>-571</v>
      </c>
      <c r="G143" s="148">
        <f t="shared" si="19"/>
        <v>1325</v>
      </c>
      <c r="H143" s="70"/>
      <c r="I143" s="150">
        <v>2121301</v>
      </c>
    </row>
    <row r="144" customHeight="1" spans="1:9">
      <c r="A144" s="78">
        <f t="shared" si="18"/>
        <v>140</v>
      </c>
      <c r="B144" s="78" t="s">
        <v>646</v>
      </c>
      <c r="C144" s="70" t="s">
        <v>942</v>
      </c>
      <c r="D144" s="70" t="s">
        <v>1637</v>
      </c>
      <c r="E144" s="148">
        <v>2057</v>
      </c>
      <c r="F144" s="148">
        <v>-300</v>
      </c>
      <c r="G144" s="148">
        <f t="shared" si="19"/>
        <v>1757</v>
      </c>
      <c r="H144" s="70"/>
      <c r="I144" s="150">
        <v>2121301</v>
      </c>
    </row>
    <row r="145" customHeight="1" spans="1:9">
      <c r="A145" s="78">
        <f t="shared" si="18"/>
        <v>141</v>
      </c>
      <c r="B145" s="78" t="s">
        <v>646</v>
      </c>
      <c r="C145" s="70" t="s">
        <v>942</v>
      </c>
      <c r="D145" s="70" t="s">
        <v>1638</v>
      </c>
      <c r="E145" s="148">
        <v>145.65</v>
      </c>
      <c r="F145" s="148">
        <v>0</v>
      </c>
      <c r="G145" s="148">
        <f t="shared" si="19"/>
        <v>145.65</v>
      </c>
      <c r="H145" s="70"/>
      <c r="I145" s="150">
        <v>2121302</v>
      </c>
    </row>
    <row r="146" customHeight="1" spans="1:9">
      <c r="A146" s="78">
        <f t="shared" ref="A146:A155" si="20">ROW()-4</f>
        <v>142</v>
      </c>
      <c r="B146" s="78" t="s">
        <v>646</v>
      </c>
      <c r="C146" s="70" t="s">
        <v>942</v>
      </c>
      <c r="D146" s="70" t="s">
        <v>1639</v>
      </c>
      <c r="E146" s="148">
        <v>400</v>
      </c>
      <c r="F146" s="148">
        <v>-350</v>
      </c>
      <c r="G146" s="148">
        <f t="shared" si="19"/>
        <v>50</v>
      </c>
      <c r="H146" s="70"/>
      <c r="I146" s="150">
        <v>2121302</v>
      </c>
    </row>
    <row r="147" customHeight="1" spans="1:9">
      <c r="A147" s="78">
        <f t="shared" si="20"/>
        <v>143</v>
      </c>
      <c r="B147" s="78" t="s">
        <v>646</v>
      </c>
      <c r="C147" s="70" t="s">
        <v>942</v>
      </c>
      <c r="D147" s="70" t="s">
        <v>1640</v>
      </c>
      <c r="E147" s="148">
        <v>1700.888</v>
      </c>
      <c r="F147" s="148">
        <v>-686</v>
      </c>
      <c r="G147" s="148">
        <f t="shared" si="19"/>
        <v>1014.888</v>
      </c>
      <c r="H147" s="70" t="s">
        <v>1641</v>
      </c>
      <c r="I147" s="150">
        <v>2121302</v>
      </c>
    </row>
    <row r="148" customHeight="1" spans="1:9">
      <c r="A148" s="78">
        <f t="shared" si="20"/>
        <v>144</v>
      </c>
      <c r="B148" s="78" t="s">
        <v>646</v>
      </c>
      <c r="C148" s="70" t="s">
        <v>942</v>
      </c>
      <c r="D148" s="70" t="s">
        <v>1642</v>
      </c>
      <c r="E148" s="148">
        <v>2802.641</v>
      </c>
      <c r="F148" s="148">
        <v>-1200</v>
      </c>
      <c r="G148" s="148">
        <f t="shared" si="19"/>
        <v>1602.641</v>
      </c>
      <c r="H148" s="70" t="s">
        <v>1643</v>
      </c>
      <c r="I148" s="150">
        <v>2121302</v>
      </c>
    </row>
    <row r="149" customHeight="1" spans="1:9">
      <c r="A149" s="78">
        <f t="shared" si="20"/>
        <v>145</v>
      </c>
      <c r="B149" s="78" t="s">
        <v>646</v>
      </c>
      <c r="C149" s="70" t="s">
        <v>942</v>
      </c>
      <c r="D149" s="70" t="s">
        <v>1644</v>
      </c>
      <c r="E149" s="148">
        <v>33.5</v>
      </c>
      <c r="F149" s="148">
        <v>0</v>
      </c>
      <c r="G149" s="148">
        <f t="shared" si="19"/>
        <v>33.5</v>
      </c>
      <c r="H149" s="70"/>
      <c r="I149" s="150">
        <v>2121302</v>
      </c>
    </row>
    <row r="150" customHeight="1" spans="1:9">
      <c r="A150" s="78">
        <f t="shared" si="20"/>
        <v>146</v>
      </c>
      <c r="B150" s="78" t="s">
        <v>646</v>
      </c>
      <c r="C150" s="70" t="s">
        <v>942</v>
      </c>
      <c r="D150" s="70" t="s">
        <v>1645</v>
      </c>
      <c r="E150" s="148">
        <v>11.94</v>
      </c>
      <c r="F150" s="148">
        <v>0</v>
      </c>
      <c r="G150" s="148">
        <f t="shared" si="19"/>
        <v>11.94</v>
      </c>
      <c r="H150" s="70"/>
      <c r="I150" s="150">
        <v>2121302</v>
      </c>
    </row>
    <row r="151" customHeight="1" spans="1:9">
      <c r="A151" s="78">
        <f t="shared" si="20"/>
        <v>147</v>
      </c>
      <c r="B151" s="78" t="s">
        <v>646</v>
      </c>
      <c r="C151" s="70" t="s">
        <v>942</v>
      </c>
      <c r="D151" s="70" t="s">
        <v>1646</v>
      </c>
      <c r="E151" s="148">
        <v>16.94</v>
      </c>
      <c r="F151" s="148">
        <v>0</v>
      </c>
      <c r="G151" s="148">
        <f t="shared" si="19"/>
        <v>16.94</v>
      </c>
      <c r="H151" s="70"/>
      <c r="I151" s="157" t="s">
        <v>1647</v>
      </c>
    </row>
    <row r="152" customHeight="1" spans="1:9">
      <c r="A152" s="78">
        <f t="shared" si="20"/>
        <v>148</v>
      </c>
      <c r="B152" s="78" t="s">
        <v>646</v>
      </c>
      <c r="C152" s="70" t="s">
        <v>942</v>
      </c>
      <c r="D152" s="70" t="s">
        <v>1648</v>
      </c>
      <c r="E152" s="148">
        <v>50.97</v>
      </c>
      <c r="F152" s="148">
        <v>0</v>
      </c>
      <c r="G152" s="148">
        <f t="shared" si="19"/>
        <v>50.97</v>
      </c>
      <c r="H152" s="70"/>
      <c r="I152" s="150">
        <v>2121302</v>
      </c>
    </row>
    <row r="153" customHeight="1" spans="1:9">
      <c r="A153" s="78">
        <f t="shared" si="20"/>
        <v>149</v>
      </c>
      <c r="B153" s="78" t="s">
        <v>646</v>
      </c>
      <c r="C153" s="70" t="s">
        <v>942</v>
      </c>
      <c r="D153" s="70" t="s">
        <v>1649</v>
      </c>
      <c r="E153" s="148">
        <v>47.05</v>
      </c>
      <c r="F153" s="148">
        <v>0</v>
      </c>
      <c r="G153" s="148">
        <f t="shared" si="19"/>
        <v>47.05</v>
      </c>
      <c r="H153" s="70"/>
      <c r="I153" s="150">
        <v>2121302</v>
      </c>
    </row>
    <row r="154" customHeight="1" spans="1:9">
      <c r="A154" s="78">
        <f t="shared" si="20"/>
        <v>150</v>
      </c>
      <c r="B154" s="78" t="s">
        <v>646</v>
      </c>
      <c r="C154" s="70" t="s">
        <v>942</v>
      </c>
      <c r="D154" s="70" t="s">
        <v>1650</v>
      </c>
      <c r="E154" s="148">
        <v>205.47</v>
      </c>
      <c r="F154" s="148">
        <v>0</v>
      </c>
      <c r="G154" s="148">
        <f t="shared" si="19"/>
        <v>205.47</v>
      </c>
      <c r="H154" s="70"/>
      <c r="I154" s="150">
        <v>2121302</v>
      </c>
    </row>
    <row r="155" customHeight="1" spans="1:9">
      <c r="A155" s="78">
        <f t="shared" si="20"/>
        <v>151</v>
      </c>
      <c r="B155" s="78" t="s">
        <v>646</v>
      </c>
      <c r="C155" s="70" t="s">
        <v>1103</v>
      </c>
      <c r="D155" s="141" t="s">
        <v>1651</v>
      </c>
      <c r="E155" s="148">
        <v>20</v>
      </c>
      <c r="F155" s="148">
        <v>-20</v>
      </c>
      <c r="G155" s="148">
        <f t="shared" si="19"/>
        <v>0</v>
      </c>
      <c r="H155" s="70"/>
      <c r="I155" s="149"/>
    </row>
    <row r="156" customHeight="1" spans="1:9">
      <c r="A156" s="78">
        <f t="shared" ref="A156:A168" si="21">ROW()-4</f>
        <v>152</v>
      </c>
      <c r="B156" s="78" t="s">
        <v>646</v>
      </c>
      <c r="C156" s="70" t="s">
        <v>1103</v>
      </c>
      <c r="D156" s="70" t="s">
        <v>1652</v>
      </c>
      <c r="E156" s="148">
        <v>14.617835</v>
      </c>
      <c r="F156" s="148">
        <v>-14.62</v>
      </c>
      <c r="G156" s="148">
        <f t="shared" si="19"/>
        <v>-0.00216499999999975</v>
      </c>
      <c r="H156" s="70"/>
      <c r="I156" s="149"/>
    </row>
    <row r="157" customHeight="1" spans="1:9">
      <c r="A157" s="78">
        <f t="shared" si="21"/>
        <v>153</v>
      </c>
      <c r="B157" s="18" t="s">
        <v>1653</v>
      </c>
      <c r="C157" s="136"/>
      <c r="D157" s="136"/>
      <c r="E157" s="137">
        <f>SUM(E158:E164)</f>
        <v>155.765674</v>
      </c>
      <c r="F157" s="137">
        <f>SUM(F158:F164)</f>
        <v>23.09</v>
      </c>
      <c r="G157" s="137">
        <f>SUM(G158:G164)</f>
        <v>178.855674</v>
      </c>
      <c r="H157" s="136"/>
      <c r="I157" s="149"/>
    </row>
    <row r="158" customHeight="1" spans="1:9">
      <c r="A158" s="78">
        <f t="shared" si="21"/>
        <v>154</v>
      </c>
      <c r="B158" s="78" t="s">
        <v>1009</v>
      </c>
      <c r="C158" s="70" t="s">
        <v>1654</v>
      </c>
      <c r="D158" s="141" t="s">
        <v>418</v>
      </c>
      <c r="E158" s="148">
        <v>27.6</v>
      </c>
      <c r="F158" s="148">
        <v>6.62</v>
      </c>
      <c r="G158" s="148">
        <f>E158+F158</f>
        <v>34.22</v>
      </c>
      <c r="H158" s="145"/>
      <c r="I158" s="150">
        <v>2296013</v>
      </c>
    </row>
    <row r="159" customHeight="1" spans="1:9">
      <c r="A159" s="78">
        <f t="shared" si="21"/>
        <v>155</v>
      </c>
      <c r="B159" s="78" t="s">
        <v>1009</v>
      </c>
      <c r="C159" s="70" t="s">
        <v>1115</v>
      </c>
      <c r="D159" s="141" t="s">
        <v>1655</v>
      </c>
      <c r="E159" s="148">
        <f>42.9+33</f>
        <v>75.9</v>
      </c>
      <c r="F159" s="148">
        <v>18.2</v>
      </c>
      <c r="G159" s="148">
        <f t="shared" ref="G159:G168" si="22">E159+F159</f>
        <v>94.1</v>
      </c>
      <c r="H159" s="145" t="s">
        <v>1656</v>
      </c>
      <c r="I159" s="150" t="s">
        <v>1657</v>
      </c>
    </row>
    <row r="160" customHeight="1" spans="1:9">
      <c r="A160" s="78">
        <f t="shared" si="21"/>
        <v>156</v>
      </c>
      <c r="B160" s="78" t="s">
        <v>1009</v>
      </c>
      <c r="C160" s="70" t="s">
        <v>1658</v>
      </c>
      <c r="D160" s="141" t="s">
        <v>1659</v>
      </c>
      <c r="E160" s="148">
        <v>25.265674</v>
      </c>
      <c r="F160" s="148">
        <v>2.045606</v>
      </c>
      <c r="G160" s="148">
        <f t="shared" si="22"/>
        <v>27.31128</v>
      </c>
      <c r="H160" s="145"/>
      <c r="I160" s="150">
        <v>2296006</v>
      </c>
    </row>
    <row r="161" customHeight="1" spans="1:9">
      <c r="A161" s="78">
        <f t="shared" si="21"/>
        <v>157</v>
      </c>
      <c r="B161" s="78" t="s">
        <v>1009</v>
      </c>
      <c r="C161" s="70" t="s">
        <v>1658</v>
      </c>
      <c r="D161" s="141" t="s">
        <v>1660</v>
      </c>
      <c r="E161" s="148">
        <v>0</v>
      </c>
      <c r="F161" s="148">
        <v>6.224394</v>
      </c>
      <c r="G161" s="148">
        <f t="shared" si="22"/>
        <v>6.224394</v>
      </c>
      <c r="H161" s="70"/>
      <c r="I161" s="150" t="s">
        <v>1661</v>
      </c>
    </row>
    <row r="162" customHeight="1" spans="1:9">
      <c r="A162" s="78">
        <f t="shared" si="21"/>
        <v>158</v>
      </c>
      <c r="B162" s="78" t="s">
        <v>1009</v>
      </c>
      <c r="C162" s="70" t="s">
        <v>1115</v>
      </c>
      <c r="D162" s="141" t="s">
        <v>1662</v>
      </c>
      <c r="E162" s="148">
        <v>15</v>
      </c>
      <c r="F162" s="148">
        <v>-10</v>
      </c>
      <c r="G162" s="148">
        <f t="shared" si="22"/>
        <v>5</v>
      </c>
      <c r="H162" s="70"/>
      <c r="I162" s="150" t="s">
        <v>1663</v>
      </c>
    </row>
    <row r="163" customHeight="1" spans="1:9">
      <c r="A163" s="78">
        <f t="shared" si="21"/>
        <v>159</v>
      </c>
      <c r="B163" s="78" t="s">
        <v>1009</v>
      </c>
      <c r="C163" s="70" t="s">
        <v>1658</v>
      </c>
      <c r="D163" s="141" t="s">
        <v>1664</v>
      </c>
      <c r="E163" s="148">
        <v>4</v>
      </c>
      <c r="F163" s="148">
        <v>0</v>
      </c>
      <c r="G163" s="148">
        <f t="shared" si="22"/>
        <v>4</v>
      </c>
      <c r="H163" s="70"/>
      <c r="I163" s="150" t="s">
        <v>1661</v>
      </c>
    </row>
    <row r="164" customHeight="1" spans="1:9">
      <c r="A164" s="78">
        <f t="shared" si="21"/>
        <v>160</v>
      </c>
      <c r="B164" s="78" t="s">
        <v>1009</v>
      </c>
      <c r="C164" s="142" t="s">
        <v>639</v>
      </c>
      <c r="D164" s="141" t="s">
        <v>1665</v>
      </c>
      <c r="E164" s="148">
        <v>8</v>
      </c>
      <c r="F164" s="148">
        <v>0</v>
      </c>
      <c r="G164" s="148">
        <f t="shared" si="22"/>
        <v>8</v>
      </c>
      <c r="H164" s="70"/>
      <c r="I164" s="150" t="s">
        <v>1663</v>
      </c>
    </row>
    <row r="165" customHeight="1" spans="1:9">
      <c r="A165" s="78">
        <f t="shared" si="21"/>
        <v>161</v>
      </c>
      <c r="B165" s="18" t="s">
        <v>1666</v>
      </c>
      <c r="C165" s="136"/>
      <c r="D165" s="136"/>
      <c r="E165" s="137">
        <v>19407</v>
      </c>
      <c r="F165" s="137">
        <v>0</v>
      </c>
      <c r="G165" s="137">
        <f t="shared" si="22"/>
        <v>19407</v>
      </c>
      <c r="H165" s="136"/>
      <c r="I165" s="137"/>
    </row>
    <row r="166" customHeight="1" spans="1:9">
      <c r="A166" s="78">
        <f t="shared" si="21"/>
        <v>162</v>
      </c>
      <c r="B166" s="18" t="s">
        <v>1667</v>
      </c>
      <c r="C166" s="136"/>
      <c r="D166" s="136"/>
      <c r="E166" s="137">
        <v>106500</v>
      </c>
      <c r="F166" s="137">
        <v>-101500</v>
      </c>
      <c r="G166" s="137">
        <f t="shared" si="22"/>
        <v>5000</v>
      </c>
      <c r="H166" s="136"/>
      <c r="I166" s="137"/>
    </row>
    <row r="167" customHeight="1" spans="1:9">
      <c r="A167" s="78">
        <f t="shared" si="21"/>
        <v>163</v>
      </c>
      <c r="B167" s="18" t="s">
        <v>1668</v>
      </c>
      <c r="C167" s="136"/>
      <c r="D167" s="136"/>
      <c r="E167" s="137">
        <v>4823</v>
      </c>
      <c r="F167" s="137">
        <f>-3387+25</f>
        <v>-3362</v>
      </c>
      <c r="G167" s="137">
        <f t="shared" si="22"/>
        <v>1461</v>
      </c>
      <c r="H167" s="136"/>
      <c r="I167" s="137"/>
    </row>
    <row r="168" customHeight="1" spans="1:9">
      <c r="A168" s="78">
        <f t="shared" si="21"/>
        <v>164</v>
      </c>
      <c r="B168" s="18" t="s">
        <v>1669</v>
      </c>
      <c r="C168" s="136"/>
      <c r="D168" s="136"/>
      <c r="E168" s="137">
        <v>24700</v>
      </c>
      <c r="F168" s="137">
        <v>85300</v>
      </c>
      <c r="G168" s="137">
        <f t="shared" si="22"/>
        <v>110000</v>
      </c>
      <c r="H168" s="136"/>
      <c r="I168" s="137"/>
    </row>
  </sheetData>
  <autoFilter xmlns:etc="http://www.wps.cn/officeDocument/2017/etCustomData" ref="A4:I168" etc:filterBottomFollowUsedRange="0">
    <extLst/>
  </autoFilter>
  <mergeCells count="17">
    <mergeCell ref="A2:H2"/>
    <mergeCell ref="G3:H3"/>
    <mergeCell ref="B5:D5"/>
    <mergeCell ref="B6:D6"/>
    <mergeCell ref="B7:D7"/>
    <mergeCell ref="B8:D8"/>
    <mergeCell ref="B10:D10"/>
    <mergeCell ref="B29:D29"/>
    <mergeCell ref="B75:D75"/>
    <mergeCell ref="B77:D77"/>
    <mergeCell ref="B134:D134"/>
    <mergeCell ref="B139:D139"/>
    <mergeCell ref="B157:D157"/>
    <mergeCell ref="B165:D165"/>
    <mergeCell ref="B166:D166"/>
    <mergeCell ref="B167:D167"/>
    <mergeCell ref="B168:D168"/>
  </mergeCells>
  <printOptions horizontalCentered="1"/>
  <pageMargins left="0.393055555555556" right="0.393055555555556" top="0.590277777777778" bottom="0.590277777777778" header="0.196527777777778" footer="0.196527777777778"/>
  <pageSetup paperSize="9" scale="69" fitToHeight="0" orientation="landscape" horizontalDpi="600"/>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Z14"/>
  <sheetViews>
    <sheetView showZeros="0" zoomScaleSheetLayoutView="90" topLeftCell="A4" workbookViewId="0">
      <selection activeCell="B1" sqref="B1"/>
    </sheetView>
  </sheetViews>
  <sheetFormatPr defaultColWidth="9" defaultRowHeight="30" customHeight="1"/>
  <cols>
    <col min="1" max="1" width="35.625" style="107" customWidth="1"/>
    <col min="2" max="4" width="15.625" style="81" customWidth="1"/>
    <col min="5" max="5" width="35.625" style="81" customWidth="1"/>
    <col min="6" max="78" width="9" style="81"/>
    <col min="79" max="16384" width="9" style="107"/>
  </cols>
  <sheetData>
    <row r="1" ht="20" customHeight="1" spans="1:1">
      <c r="A1" s="124" t="s">
        <v>1670</v>
      </c>
    </row>
    <row r="2" customHeight="1" spans="1:5">
      <c r="A2" s="109" t="s">
        <v>1671</v>
      </c>
      <c r="B2" s="109"/>
      <c r="C2" s="109"/>
      <c r="D2" s="109"/>
      <c r="E2" s="109"/>
    </row>
    <row r="3" s="102" customFormat="1" ht="20" customHeight="1" spans="1:78">
      <c r="A3" s="112"/>
      <c r="B3" s="80"/>
      <c r="C3" s="112"/>
      <c r="D3" s="112"/>
      <c r="E3" s="118" t="s">
        <v>27</v>
      </c>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102" customFormat="1" customHeight="1" spans="1:78">
      <c r="A4" s="114" t="s">
        <v>28</v>
      </c>
      <c r="B4" s="97" t="s">
        <v>29</v>
      </c>
      <c r="C4" s="125" t="s">
        <v>31</v>
      </c>
      <c r="D4" s="97" t="s">
        <v>32</v>
      </c>
      <c r="E4" s="114" t="s">
        <v>34</v>
      </c>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123" customFormat="1" customHeight="1" spans="1:78">
      <c r="A5" s="126" t="s">
        <v>1672</v>
      </c>
      <c r="B5" s="64">
        <v>75</v>
      </c>
      <c r="C5" s="64">
        <f>C6+C10</f>
        <v>868</v>
      </c>
      <c r="D5" s="64">
        <f>B5+C5</f>
        <v>943</v>
      </c>
      <c r="E5" s="90"/>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row>
    <row r="6" customHeight="1" spans="1:5">
      <c r="A6" s="128" t="s">
        <v>1673</v>
      </c>
      <c r="B6" s="17">
        <v>75</v>
      </c>
      <c r="C6" s="17">
        <v>-75</v>
      </c>
      <c r="D6" s="17">
        <f t="shared" ref="D6:D14" si="0">B6+C6</f>
        <v>0</v>
      </c>
      <c r="E6" s="129"/>
    </row>
    <row r="7" customHeight="1" spans="1:5">
      <c r="A7" s="128" t="s">
        <v>1674</v>
      </c>
      <c r="B7" s="17"/>
      <c r="C7" s="17"/>
      <c r="D7" s="17">
        <f t="shared" si="0"/>
        <v>0</v>
      </c>
      <c r="E7" s="129"/>
    </row>
    <row r="8" customHeight="1" spans="1:5">
      <c r="A8" s="128" t="s">
        <v>1675</v>
      </c>
      <c r="B8" s="17"/>
      <c r="C8" s="17"/>
      <c r="D8" s="17">
        <f t="shared" si="0"/>
        <v>0</v>
      </c>
      <c r="E8" s="129"/>
    </row>
    <row r="9" customHeight="1" spans="1:5">
      <c r="A9" s="128" t="s">
        <v>1676</v>
      </c>
      <c r="B9" s="17"/>
      <c r="C9" s="17"/>
      <c r="D9" s="17">
        <f t="shared" si="0"/>
        <v>0</v>
      </c>
      <c r="E9" s="129"/>
    </row>
    <row r="10" customHeight="1" spans="1:5">
      <c r="A10" s="128" t="s">
        <v>1677</v>
      </c>
      <c r="B10" s="17"/>
      <c r="C10" s="17">
        <v>943</v>
      </c>
      <c r="D10" s="17">
        <f t="shared" si="0"/>
        <v>943</v>
      </c>
      <c r="E10" s="129"/>
    </row>
    <row r="11" customHeight="1" spans="1:5">
      <c r="A11" s="126" t="s">
        <v>1678</v>
      </c>
      <c r="B11" s="64">
        <v>7</v>
      </c>
      <c r="C11" s="64"/>
      <c r="D11" s="64">
        <f t="shared" si="0"/>
        <v>7</v>
      </c>
      <c r="E11" s="129"/>
    </row>
    <row r="12" customHeight="1" spans="1:5">
      <c r="A12" s="126" t="s">
        <v>1679</v>
      </c>
      <c r="B12" s="64">
        <v>720</v>
      </c>
      <c r="C12" s="64"/>
      <c r="D12" s="64">
        <f t="shared" si="0"/>
        <v>720</v>
      </c>
      <c r="E12" s="129"/>
    </row>
    <row r="13" customHeight="1" spans="1:5">
      <c r="A13" s="126" t="s">
        <v>1680</v>
      </c>
      <c r="B13" s="64">
        <v>715</v>
      </c>
      <c r="C13" s="64"/>
      <c r="D13" s="64">
        <f t="shared" si="0"/>
        <v>715</v>
      </c>
      <c r="E13" s="129"/>
    </row>
    <row r="14" customHeight="1" spans="1:5">
      <c r="A14" s="130" t="s">
        <v>89</v>
      </c>
      <c r="B14" s="64">
        <f>B5+B11+B12</f>
        <v>802</v>
      </c>
      <c r="C14" s="64">
        <v>868</v>
      </c>
      <c r="D14" s="64">
        <f t="shared" si="0"/>
        <v>1670</v>
      </c>
      <c r="E14" s="129"/>
    </row>
  </sheetData>
  <mergeCells count="1">
    <mergeCell ref="A2:E2"/>
  </mergeCells>
  <printOptions horizontalCentered="1"/>
  <pageMargins left="0.393055555555556" right="0.393055555555556" top="0.590277777777778" bottom="0.590277777777778" header="0.196527777777778" footer="0.196527777777778"/>
  <pageSetup paperSize="9"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Z17"/>
  <sheetViews>
    <sheetView showZeros="0" workbookViewId="0">
      <pane ySplit="5" topLeftCell="A6" activePane="bottomLeft" state="frozen"/>
      <selection/>
      <selection pane="bottomLeft" activeCell="C1" sqref="C1"/>
    </sheetView>
  </sheetViews>
  <sheetFormatPr defaultColWidth="9" defaultRowHeight="30" customHeight="1"/>
  <cols>
    <col min="1" max="1" width="15.625" style="105" customWidth="1"/>
    <col min="2" max="2" width="6" style="106" hidden="1" customWidth="1"/>
    <col min="3" max="3" width="35.625" style="107" customWidth="1"/>
    <col min="4" max="12" width="10.625" style="107" customWidth="1"/>
    <col min="13" max="13" width="20.625" style="107" customWidth="1"/>
    <col min="14" max="14" width="10.5" style="107" customWidth="1"/>
    <col min="15" max="16384" width="9" style="107"/>
  </cols>
  <sheetData>
    <row r="1" ht="20" customHeight="1" spans="1:1">
      <c r="A1" s="108" t="s">
        <v>1681</v>
      </c>
    </row>
    <row r="2" customHeight="1" spans="1:13">
      <c r="A2" s="109" t="s">
        <v>1682</v>
      </c>
      <c r="B2" s="109"/>
      <c r="C2" s="109"/>
      <c r="D2" s="109"/>
      <c r="E2" s="109"/>
      <c r="F2" s="109"/>
      <c r="G2" s="109"/>
      <c r="H2" s="109"/>
      <c r="I2" s="109"/>
      <c r="J2" s="109"/>
      <c r="K2" s="109"/>
      <c r="L2" s="109"/>
      <c r="M2" s="109"/>
    </row>
    <row r="3" s="102" customFormat="1" ht="20" customHeight="1" spans="1:13">
      <c r="A3" s="110"/>
      <c r="B3" s="111"/>
      <c r="C3" s="112"/>
      <c r="D3" s="112"/>
      <c r="E3" s="112"/>
      <c r="F3" s="112"/>
      <c r="G3" s="112"/>
      <c r="H3" s="112"/>
      <c r="I3" s="112"/>
      <c r="J3" s="112"/>
      <c r="K3" s="112"/>
      <c r="L3" s="112"/>
      <c r="M3" s="118" t="s">
        <v>27</v>
      </c>
    </row>
    <row r="4" s="103" customFormat="1" customHeight="1" spans="1:13">
      <c r="A4" s="97" t="s">
        <v>92</v>
      </c>
      <c r="B4" s="30"/>
      <c r="C4" s="97" t="s">
        <v>93</v>
      </c>
      <c r="D4" s="30" t="s">
        <v>29</v>
      </c>
      <c r="E4" s="30"/>
      <c r="F4" s="30"/>
      <c r="G4" s="30" t="s">
        <v>31</v>
      </c>
      <c r="H4" s="30"/>
      <c r="I4" s="119" t="s">
        <v>32</v>
      </c>
      <c r="J4" s="120"/>
      <c r="K4" s="121"/>
      <c r="L4" s="114" t="s">
        <v>33</v>
      </c>
      <c r="M4" s="114" t="s">
        <v>34</v>
      </c>
    </row>
    <row r="5" s="104" customFormat="1" customHeight="1" spans="1:13">
      <c r="A5" s="113"/>
      <c r="B5" s="114"/>
      <c r="C5" s="113"/>
      <c r="D5" s="30" t="s">
        <v>94</v>
      </c>
      <c r="E5" s="30" t="s">
        <v>95</v>
      </c>
      <c r="F5" s="30" t="s">
        <v>96</v>
      </c>
      <c r="G5" s="30" t="s">
        <v>1358</v>
      </c>
      <c r="H5" s="30" t="s">
        <v>96</v>
      </c>
      <c r="I5" s="114" t="s">
        <v>94</v>
      </c>
      <c r="J5" s="114" t="s">
        <v>95</v>
      </c>
      <c r="K5" s="114" t="s">
        <v>96</v>
      </c>
      <c r="L5" s="114"/>
      <c r="M5" s="114"/>
    </row>
    <row r="6" s="104" customFormat="1" customHeight="1" spans="1:13">
      <c r="A6" s="115" t="s">
        <v>1683</v>
      </c>
      <c r="B6" s="116"/>
      <c r="C6" s="117"/>
      <c r="D6" s="64">
        <f>D7+D10+D12</f>
        <v>779</v>
      </c>
      <c r="E6" s="64">
        <f>E7+E10+E12</f>
        <v>772</v>
      </c>
      <c r="F6" s="64">
        <f>F7+F10+F12</f>
        <v>7</v>
      </c>
      <c r="G6" s="64">
        <f>G7+G10+G12</f>
        <v>-314</v>
      </c>
      <c r="H6" s="64">
        <f>H7+H10+H12</f>
        <v>0</v>
      </c>
      <c r="I6" s="64">
        <f>J6+K6</f>
        <v>465</v>
      </c>
      <c r="J6" s="64">
        <f>E6+G6</f>
        <v>458</v>
      </c>
      <c r="K6" s="64">
        <f>F6+H6</f>
        <v>7</v>
      </c>
      <c r="L6" s="64">
        <f>IF(D6=0,IF(I6=0,0,100),100*(I6/D6-1))</f>
        <v>-40.3080872913992</v>
      </c>
      <c r="M6" s="89"/>
    </row>
    <row r="7" s="104" customFormat="1" customHeight="1" spans="1:13">
      <c r="A7" s="91">
        <v>22301</v>
      </c>
      <c r="B7" s="89"/>
      <c r="C7" s="92" t="s">
        <v>1684</v>
      </c>
      <c r="D7" s="17">
        <v>64</v>
      </c>
      <c r="E7" s="17">
        <f>E8+E9</f>
        <v>57</v>
      </c>
      <c r="F7" s="17">
        <f>F8+F9</f>
        <v>7</v>
      </c>
      <c r="G7" s="17">
        <f>G8+G9</f>
        <v>-52</v>
      </c>
      <c r="H7" s="17">
        <f>H8+H9</f>
        <v>0</v>
      </c>
      <c r="I7" s="17">
        <f t="shared" ref="I7:I17" si="0">J7+K7</f>
        <v>12</v>
      </c>
      <c r="J7" s="17">
        <f t="shared" ref="J7:J17" si="1">E7+G7</f>
        <v>5</v>
      </c>
      <c r="K7" s="17">
        <f t="shared" ref="K7:K17" si="2">F7+H7</f>
        <v>7</v>
      </c>
      <c r="L7" s="17">
        <f t="shared" ref="L7:L17" si="3">IF(D7=0,IF(I7=0,0,100),100*(I7/D7-1))</f>
        <v>-81.25</v>
      </c>
      <c r="M7" s="92"/>
    </row>
    <row r="8" s="104" customFormat="1" customHeight="1" spans="1:13">
      <c r="A8" s="91">
        <v>2230105</v>
      </c>
      <c r="B8" s="89"/>
      <c r="C8" s="92" t="s">
        <v>1685</v>
      </c>
      <c r="D8" s="17">
        <v>12</v>
      </c>
      <c r="E8" s="17">
        <v>5</v>
      </c>
      <c r="F8" s="17">
        <v>7</v>
      </c>
      <c r="G8" s="17"/>
      <c r="H8" s="17"/>
      <c r="I8" s="17">
        <f t="shared" si="0"/>
        <v>12</v>
      </c>
      <c r="J8" s="17">
        <f t="shared" si="1"/>
        <v>5</v>
      </c>
      <c r="K8" s="17">
        <f t="shared" si="2"/>
        <v>7</v>
      </c>
      <c r="L8" s="17">
        <f t="shared" si="3"/>
        <v>0</v>
      </c>
      <c r="M8" s="92"/>
    </row>
    <row r="9" s="104" customFormat="1" customHeight="1" spans="1:13">
      <c r="A9" s="91">
        <v>2230199</v>
      </c>
      <c r="B9" s="89"/>
      <c r="C9" s="92" t="s">
        <v>1686</v>
      </c>
      <c r="D9" s="17">
        <v>52</v>
      </c>
      <c r="E9" s="17">
        <v>52</v>
      </c>
      <c r="F9" s="17"/>
      <c r="G9" s="17">
        <v>-52</v>
      </c>
      <c r="H9" s="17"/>
      <c r="I9" s="17">
        <f t="shared" si="0"/>
        <v>0</v>
      </c>
      <c r="J9" s="17">
        <f t="shared" si="1"/>
        <v>0</v>
      </c>
      <c r="K9" s="17">
        <f t="shared" si="2"/>
        <v>0</v>
      </c>
      <c r="L9" s="17">
        <f t="shared" si="3"/>
        <v>-100</v>
      </c>
      <c r="M9" s="92"/>
    </row>
    <row r="10" s="104" customFormat="1" customHeight="1" spans="1:13">
      <c r="A10" s="91">
        <v>22302</v>
      </c>
      <c r="B10" s="92"/>
      <c r="C10" s="92" t="s">
        <v>1687</v>
      </c>
      <c r="D10" s="17">
        <v>500</v>
      </c>
      <c r="E10" s="17">
        <v>500</v>
      </c>
      <c r="F10" s="17"/>
      <c r="G10" s="17">
        <f>-300+200</f>
        <v>-100</v>
      </c>
      <c r="H10" s="17"/>
      <c r="I10" s="17">
        <f t="shared" si="0"/>
        <v>400</v>
      </c>
      <c r="J10" s="17">
        <f t="shared" si="1"/>
        <v>400</v>
      </c>
      <c r="K10" s="17">
        <f t="shared" si="2"/>
        <v>0</v>
      </c>
      <c r="L10" s="17">
        <f t="shared" si="3"/>
        <v>-20</v>
      </c>
      <c r="M10" s="92"/>
    </row>
    <row r="11" s="104" customFormat="1" customHeight="1" spans="1:13">
      <c r="A11" s="91">
        <v>2230299</v>
      </c>
      <c r="B11" s="92"/>
      <c r="C11" s="92" t="s">
        <v>1688</v>
      </c>
      <c r="D11" s="17">
        <v>500</v>
      </c>
      <c r="E11" s="17">
        <v>500</v>
      </c>
      <c r="F11" s="17"/>
      <c r="G11" s="17">
        <f>-300+200</f>
        <v>-100</v>
      </c>
      <c r="H11" s="17"/>
      <c r="I11" s="17">
        <f t="shared" si="0"/>
        <v>400</v>
      </c>
      <c r="J11" s="17">
        <f t="shared" si="1"/>
        <v>400</v>
      </c>
      <c r="K11" s="17">
        <f t="shared" si="2"/>
        <v>0</v>
      </c>
      <c r="L11" s="17">
        <f t="shared" si="3"/>
        <v>-20</v>
      </c>
      <c r="M11" s="92"/>
    </row>
    <row r="12" s="103" customFormat="1" customHeight="1" spans="1:13">
      <c r="A12" s="91">
        <v>22399</v>
      </c>
      <c r="B12" s="92"/>
      <c r="C12" s="92" t="s">
        <v>1689</v>
      </c>
      <c r="D12" s="17">
        <v>215</v>
      </c>
      <c r="E12" s="17">
        <v>215</v>
      </c>
      <c r="F12" s="17"/>
      <c r="G12" s="17">
        <v>-162</v>
      </c>
      <c r="H12" s="17"/>
      <c r="I12" s="17">
        <f t="shared" si="0"/>
        <v>53</v>
      </c>
      <c r="J12" s="17">
        <f t="shared" si="1"/>
        <v>53</v>
      </c>
      <c r="K12" s="17">
        <f t="shared" si="2"/>
        <v>0</v>
      </c>
      <c r="L12" s="17">
        <f t="shared" si="3"/>
        <v>-75.3488372093023</v>
      </c>
      <c r="M12" s="92"/>
    </row>
    <row r="13" s="103" customFormat="1" customHeight="1" spans="1:13">
      <c r="A13" s="91">
        <v>2239999</v>
      </c>
      <c r="B13" s="92"/>
      <c r="C13" s="92" t="s">
        <v>1689</v>
      </c>
      <c r="D13" s="17">
        <v>215</v>
      </c>
      <c r="E13" s="17">
        <v>215</v>
      </c>
      <c r="F13" s="17"/>
      <c r="G13" s="17">
        <v>-162</v>
      </c>
      <c r="H13" s="17"/>
      <c r="I13" s="17">
        <f t="shared" si="0"/>
        <v>53</v>
      </c>
      <c r="J13" s="17">
        <f t="shared" si="1"/>
        <v>53</v>
      </c>
      <c r="K13" s="17">
        <f t="shared" si="2"/>
        <v>0</v>
      </c>
      <c r="L13" s="17">
        <f t="shared" si="3"/>
        <v>-75.3488372093023</v>
      </c>
      <c r="M13" s="92"/>
    </row>
    <row r="14" s="103" customFormat="1" customHeight="1" spans="1:260">
      <c r="A14" s="115" t="s">
        <v>1690</v>
      </c>
      <c r="B14" s="116"/>
      <c r="C14" s="117"/>
      <c r="D14" s="64">
        <f>D15+D16</f>
        <v>23</v>
      </c>
      <c r="E14" s="64">
        <f>E15+E16</f>
        <v>23</v>
      </c>
      <c r="F14" s="64"/>
      <c r="G14" s="64">
        <f>G15+G16</f>
        <v>1181.95</v>
      </c>
      <c r="H14" s="64">
        <f>H15+H16</f>
        <v>0</v>
      </c>
      <c r="I14" s="64">
        <f t="shared" si="0"/>
        <v>1204.95</v>
      </c>
      <c r="J14" s="64">
        <f t="shared" si="1"/>
        <v>1204.95</v>
      </c>
      <c r="K14" s="64">
        <f t="shared" si="2"/>
        <v>0</v>
      </c>
      <c r="L14" s="64">
        <f t="shared" si="3"/>
        <v>5138.91304347826</v>
      </c>
      <c r="M14" s="89"/>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row>
    <row r="15" s="103" customFormat="1" customHeight="1" spans="1:260">
      <c r="A15" s="91">
        <v>23008</v>
      </c>
      <c r="B15" s="92"/>
      <c r="C15" s="92" t="s">
        <v>1446</v>
      </c>
      <c r="D15" s="17">
        <v>23</v>
      </c>
      <c r="E15" s="17">
        <v>23</v>
      </c>
      <c r="F15" s="17"/>
      <c r="G15" s="17">
        <f>J15-E15</f>
        <v>720.95</v>
      </c>
      <c r="H15" s="17"/>
      <c r="I15" s="17">
        <f t="shared" si="0"/>
        <v>743.95</v>
      </c>
      <c r="J15" s="17">
        <v>743.95</v>
      </c>
      <c r="K15" s="17">
        <f t="shared" si="2"/>
        <v>0</v>
      </c>
      <c r="L15" s="17">
        <f t="shared" si="3"/>
        <v>3134.5652173913</v>
      </c>
      <c r="M15" s="9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c r="IR15" s="122"/>
      <c r="IS15" s="122"/>
      <c r="IT15" s="122"/>
      <c r="IU15" s="122"/>
      <c r="IV15" s="122"/>
      <c r="IW15" s="122"/>
      <c r="IX15" s="122"/>
      <c r="IY15" s="122"/>
      <c r="IZ15" s="122"/>
    </row>
    <row r="16" s="103" customFormat="1" customHeight="1" spans="1:260">
      <c r="A16" s="91">
        <v>23009</v>
      </c>
      <c r="B16" s="92"/>
      <c r="C16" s="92" t="s">
        <v>1447</v>
      </c>
      <c r="D16" s="17"/>
      <c r="E16" s="17"/>
      <c r="F16" s="17"/>
      <c r="G16" s="17">
        <v>461</v>
      </c>
      <c r="H16" s="17"/>
      <c r="I16" s="17">
        <f t="shared" si="0"/>
        <v>461</v>
      </c>
      <c r="J16" s="17">
        <v>461</v>
      </c>
      <c r="K16" s="17">
        <f t="shared" si="2"/>
        <v>0</v>
      </c>
      <c r="L16" s="17">
        <f t="shared" si="3"/>
        <v>100</v>
      </c>
      <c r="M16" s="9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c r="IR16" s="122"/>
      <c r="IS16" s="122"/>
      <c r="IT16" s="122"/>
      <c r="IU16" s="122"/>
      <c r="IV16" s="122"/>
      <c r="IW16" s="122"/>
      <c r="IX16" s="122"/>
      <c r="IY16" s="122"/>
      <c r="IZ16" s="122"/>
    </row>
    <row r="17" s="103" customFormat="1" customHeight="1" spans="1:260">
      <c r="A17" s="95" t="s">
        <v>1472</v>
      </c>
      <c r="B17" s="95"/>
      <c r="C17" s="95"/>
      <c r="D17" s="64">
        <f>D6+D14</f>
        <v>802</v>
      </c>
      <c r="E17" s="64">
        <f>E6+E14</f>
        <v>795</v>
      </c>
      <c r="F17" s="64">
        <f>F6+F14</f>
        <v>7</v>
      </c>
      <c r="G17" s="64">
        <f>G6+G14</f>
        <v>867.95</v>
      </c>
      <c r="H17" s="64">
        <f>H6+H14</f>
        <v>0</v>
      </c>
      <c r="I17" s="64">
        <f t="shared" si="0"/>
        <v>1669.95</v>
      </c>
      <c r="J17" s="64">
        <f t="shared" si="1"/>
        <v>1662.95</v>
      </c>
      <c r="K17" s="64">
        <f t="shared" si="2"/>
        <v>7</v>
      </c>
      <c r="L17" s="64">
        <f t="shared" si="3"/>
        <v>108.22319201995</v>
      </c>
      <c r="M17" s="89"/>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c r="IR17" s="122"/>
      <c r="IS17" s="122"/>
      <c r="IT17" s="122"/>
      <c r="IU17" s="122"/>
      <c r="IV17" s="122"/>
      <c r="IW17" s="122"/>
      <c r="IX17" s="122"/>
      <c r="IY17" s="122"/>
      <c r="IZ17" s="122"/>
    </row>
  </sheetData>
  <mergeCells count="11">
    <mergeCell ref="A2:M2"/>
    <mergeCell ref="D4:F4"/>
    <mergeCell ref="G4:H4"/>
    <mergeCell ref="I4:K4"/>
    <mergeCell ref="A6:C6"/>
    <mergeCell ref="A14:C14"/>
    <mergeCell ref="A17:C17"/>
    <mergeCell ref="A4:A5"/>
    <mergeCell ref="C4:C5"/>
    <mergeCell ref="L4:L5"/>
    <mergeCell ref="M4:M5"/>
  </mergeCells>
  <printOptions horizontalCentered="1"/>
  <pageMargins left="0.393055555555556" right="0.393055555555556" top="0.590277777777778" bottom="0.590277777777778" header="0.196527777777778" footer="0.196527777777778"/>
  <pageSetup paperSize="9" scale="78"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view="pageBreakPreview" zoomScaleNormal="100" topLeftCell="A12" workbookViewId="0">
      <selection activeCell="B1" sqref="B1"/>
    </sheetView>
  </sheetViews>
  <sheetFormatPr defaultColWidth="9" defaultRowHeight="30" customHeight="1" outlineLevelCol="4"/>
  <cols>
    <col min="1" max="1" width="50.625" style="81" customWidth="1"/>
    <col min="2" max="4" width="15.625" style="81" customWidth="1"/>
    <col min="5" max="5" width="30.625" style="81" customWidth="1"/>
    <col min="6" max="6" width="10.5" style="81"/>
    <col min="7" max="16384" width="9" style="81"/>
  </cols>
  <sheetData>
    <row r="1" ht="20" customHeight="1" spans="1:4">
      <c r="A1" s="45" t="s">
        <v>1691</v>
      </c>
      <c r="B1" s="45"/>
      <c r="C1" s="45"/>
      <c r="D1" s="45"/>
    </row>
    <row r="2" customHeight="1" spans="1:5">
      <c r="A2" s="85" t="s">
        <v>1692</v>
      </c>
      <c r="B2" s="85"/>
      <c r="C2" s="85"/>
      <c r="D2" s="85"/>
      <c r="E2" s="85"/>
    </row>
    <row r="3" s="80" customFormat="1" ht="20" customHeight="1" spans="5:5">
      <c r="E3" s="87" t="s">
        <v>27</v>
      </c>
    </row>
    <row r="4" s="22" customFormat="1" customHeight="1" spans="1:5">
      <c r="A4" s="30" t="s">
        <v>1693</v>
      </c>
      <c r="B4" s="97" t="s">
        <v>29</v>
      </c>
      <c r="C4" s="30" t="s">
        <v>31</v>
      </c>
      <c r="D4" s="30" t="s">
        <v>32</v>
      </c>
      <c r="E4" s="30" t="s">
        <v>34</v>
      </c>
    </row>
    <row r="5" customHeight="1" spans="1:5">
      <c r="A5" s="98" t="s">
        <v>1694</v>
      </c>
      <c r="B5" s="64">
        <f>B6</f>
        <v>20847</v>
      </c>
      <c r="C5" s="64">
        <f>C6</f>
        <v>-4975</v>
      </c>
      <c r="D5" s="64">
        <f>D6</f>
        <v>15872</v>
      </c>
      <c r="E5" s="99"/>
    </row>
    <row r="6" customHeight="1" spans="1:5">
      <c r="A6" s="91" t="s">
        <v>1695</v>
      </c>
      <c r="B6" s="17">
        <v>20847</v>
      </c>
      <c r="C6" s="17">
        <f>D6-B6</f>
        <v>-4975</v>
      </c>
      <c r="D6" s="17">
        <f>SUM(D7:D11)</f>
        <v>15872</v>
      </c>
      <c r="E6" s="100"/>
    </row>
    <row r="7" customHeight="1" spans="1:5">
      <c r="A7" s="91" t="s">
        <v>1696</v>
      </c>
      <c r="B7" s="17">
        <v>17188</v>
      </c>
      <c r="C7" s="17">
        <v>-3740</v>
      </c>
      <c r="D7" s="17">
        <v>13448</v>
      </c>
      <c r="E7" s="70"/>
    </row>
    <row r="8" customHeight="1" spans="1:5">
      <c r="A8" s="91" t="s">
        <v>1697</v>
      </c>
      <c r="B8" s="17">
        <v>3000</v>
      </c>
      <c r="C8" s="17">
        <v>-1250</v>
      </c>
      <c r="D8" s="17">
        <v>1750</v>
      </c>
      <c r="E8" s="100"/>
    </row>
    <row r="9" customHeight="1" spans="1:5">
      <c r="A9" s="91" t="s">
        <v>1698</v>
      </c>
      <c r="B9" s="17">
        <v>299</v>
      </c>
      <c r="C9" s="17">
        <v>14</v>
      </c>
      <c r="D9" s="17">
        <v>313</v>
      </c>
      <c r="E9" s="100"/>
    </row>
    <row r="10" customHeight="1" spans="1:5">
      <c r="A10" s="91" t="s">
        <v>1699</v>
      </c>
      <c r="B10" s="17">
        <v>360</v>
      </c>
      <c r="C10" s="17">
        <v>0</v>
      </c>
      <c r="D10" s="17">
        <v>360</v>
      </c>
      <c r="E10" s="100"/>
    </row>
    <row r="11" customHeight="1" spans="1:5">
      <c r="A11" s="91" t="s">
        <v>1700</v>
      </c>
      <c r="B11" s="17">
        <v>0</v>
      </c>
      <c r="C11" s="17">
        <v>1</v>
      </c>
      <c r="D11" s="17">
        <v>1</v>
      </c>
      <c r="E11" s="100"/>
    </row>
    <row r="12" customHeight="1" spans="1:5">
      <c r="A12" s="95" t="s">
        <v>75</v>
      </c>
      <c r="B12" s="64">
        <f>SUM(B5)</f>
        <v>20847</v>
      </c>
      <c r="C12" s="64">
        <f t="shared" ref="C12:C17" si="0">D12-B12</f>
        <v>-4975</v>
      </c>
      <c r="D12" s="64">
        <f>SUM(D5)</f>
        <v>15872</v>
      </c>
      <c r="E12" s="99"/>
    </row>
    <row r="13" customHeight="1" spans="1:5">
      <c r="A13" s="98" t="s">
        <v>1273</v>
      </c>
      <c r="B13" s="17">
        <f>B14+B16</f>
        <v>16544</v>
      </c>
      <c r="C13" s="17">
        <f>C14+C16</f>
        <v>0</v>
      </c>
      <c r="D13" s="17">
        <f>D14+D16</f>
        <v>16544</v>
      </c>
      <c r="E13" s="99"/>
    </row>
    <row r="14" customHeight="1" spans="1:5">
      <c r="A14" s="91" t="s">
        <v>1701</v>
      </c>
      <c r="B14" s="17">
        <f>SUM(B15:B15)</f>
        <v>16544</v>
      </c>
      <c r="C14" s="17"/>
      <c r="D14" s="17">
        <v>16544</v>
      </c>
      <c r="E14" s="70"/>
    </row>
    <row r="15" customHeight="1" spans="1:5">
      <c r="A15" s="91" t="s">
        <v>1702</v>
      </c>
      <c r="B15" s="17">
        <v>16544</v>
      </c>
      <c r="C15" s="17">
        <f t="shared" si="0"/>
        <v>0</v>
      </c>
      <c r="D15" s="17">
        <v>16544</v>
      </c>
      <c r="E15" s="70"/>
    </row>
    <row r="16" customHeight="1" spans="1:5">
      <c r="A16" s="91" t="s">
        <v>1703</v>
      </c>
      <c r="B16" s="17">
        <v>0</v>
      </c>
      <c r="C16" s="17">
        <v>0</v>
      </c>
      <c r="D16" s="17">
        <v>0</v>
      </c>
      <c r="E16" s="100"/>
    </row>
    <row r="17" customHeight="1" spans="1:5">
      <c r="A17" s="101" t="s">
        <v>89</v>
      </c>
      <c r="B17" s="64">
        <f>B12+B13</f>
        <v>37391</v>
      </c>
      <c r="C17" s="64">
        <f t="shared" si="0"/>
        <v>-4975</v>
      </c>
      <c r="D17" s="64">
        <f>D12+D13</f>
        <v>32416</v>
      </c>
      <c r="E17" s="99"/>
    </row>
  </sheetData>
  <mergeCells count="1">
    <mergeCell ref="A2:E2"/>
  </mergeCells>
  <printOptions horizontalCentered="1"/>
  <pageMargins left="0.393055555555556" right="0.393055555555556" top="0.590277777777778" bottom="0.590277777777778" header="0.196527777777778" footer="0.196527777777778"/>
  <pageSetup paperSize="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view="pageBreakPreview" zoomScaleNormal="100" topLeftCell="B1" workbookViewId="0">
      <selection activeCell="C1" sqref="C1"/>
    </sheetView>
  </sheetViews>
  <sheetFormatPr defaultColWidth="9" defaultRowHeight="30" customHeight="1" outlineLevelCol="5"/>
  <cols>
    <col min="1" max="1" width="15.625" style="83" hidden="1" customWidth="1"/>
    <col min="2" max="2" width="50.625" style="81" customWidth="1"/>
    <col min="3" max="5" width="15.625" style="81" customWidth="1"/>
    <col min="6" max="6" width="30.625" style="81" customWidth="1"/>
    <col min="7" max="7" width="10.5" style="81"/>
    <col min="8" max="16384" width="9" style="81"/>
  </cols>
  <sheetData>
    <row r="1" ht="20" customHeight="1" spans="1:2">
      <c r="A1" s="84" t="s">
        <v>1704</v>
      </c>
      <c r="B1" s="84" t="s">
        <v>1705</v>
      </c>
    </row>
    <row r="2" customHeight="1" spans="1:6">
      <c r="A2" s="85" t="s">
        <v>1706</v>
      </c>
      <c r="B2" s="85"/>
      <c r="C2" s="85"/>
      <c r="D2" s="85"/>
      <c r="E2" s="85"/>
      <c r="F2" s="85"/>
    </row>
    <row r="3" s="80" customFormat="1" ht="20" customHeight="1" spans="1:6">
      <c r="A3" s="86"/>
      <c r="F3" s="87" t="s">
        <v>27</v>
      </c>
    </row>
    <row r="4" s="81" customFormat="1" customHeight="1" spans="1:6">
      <c r="A4" s="88" t="s">
        <v>1707</v>
      </c>
      <c r="B4" s="30" t="s">
        <v>1693</v>
      </c>
      <c r="C4" s="30" t="s">
        <v>29</v>
      </c>
      <c r="D4" s="30" t="s">
        <v>31</v>
      </c>
      <c r="E4" s="30" t="s">
        <v>32</v>
      </c>
      <c r="F4" s="30" t="s">
        <v>34</v>
      </c>
    </row>
    <row r="5" s="82" customFormat="1" customHeight="1" spans="1:6">
      <c r="A5" s="89" t="s">
        <v>1708</v>
      </c>
      <c r="B5" s="89" t="s">
        <v>1709</v>
      </c>
      <c r="C5" s="64">
        <f>C6</f>
        <v>14336</v>
      </c>
      <c r="D5" s="64">
        <f>D6</f>
        <v>-481</v>
      </c>
      <c r="E5" s="64">
        <f>E6</f>
        <v>13855</v>
      </c>
      <c r="F5" s="90"/>
    </row>
    <row r="6" s="82" customFormat="1" customHeight="1" spans="1:6">
      <c r="A6" s="91">
        <v>20911</v>
      </c>
      <c r="B6" s="92" t="s">
        <v>1710</v>
      </c>
      <c r="C6" s="17">
        <v>14336</v>
      </c>
      <c r="D6" s="17">
        <f>E6-C6</f>
        <v>-481</v>
      </c>
      <c r="E6" s="17">
        <f>SUM(E7:E9)</f>
        <v>13855</v>
      </c>
      <c r="F6" s="93"/>
    </row>
    <row r="7" s="82" customFormat="1" customHeight="1" spans="1:6">
      <c r="A7" s="91">
        <v>2091101</v>
      </c>
      <c r="B7" s="92" t="s">
        <v>1711</v>
      </c>
      <c r="C7" s="17">
        <v>14304</v>
      </c>
      <c r="D7" s="17">
        <v>-561</v>
      </c>
      <c r="E7" s="17">
        <v>13743</v>
      </c>
      <c r="F7" s="93"/>
    </row>
    <row r="8" s="82" customFormat="1" customHeight="1" spans="1:6">
      <c r="A8" s="91"/>
      <c r="B8" s="92" t="s">
        <v>1712</v>
      </c>
      <c r="C8" s="17">
        <v>22</v>
      </c>
      <c r="D8" s="17">
        <v>23</v>
      </c>
      <c r="E8" s="17">
        <v>45</v>
      </c>
      <c r="F8" s="93"/>
    </row>
    <row r="9" s="82" customFormat="1" customHeight="1" spans="1:6">
      <c r="A9" s="91"/>
      <c r="B9" s="92" t="s">
        <v>1713</v>
      </c>
      <c r="C9" s="17">
        <v>10</v>
      </c>
      <c r="D9" s="17">
        <v>57</v>
      </c>
      <c r="E9" s="17">
        <v>67</v>
      </c>
      <c r="F9" s="93"/>
    </row>
    <row r="10" s="82" customFormat="1" customHeight="1" spans="1:6">
      <c r="A10" s="89" t="s">
        <v>1714</v>
      </c>
      <c r="B10" s="89" t="s">
        <v>595</v>
      </c>
      <c r="C10" s="64">
        <f>C11+C12</f>
        <v>23055</v>
      </c>
      <c r="D10" s="64">
        <f>D11+D12</f>
        <v>-4494</v>
      </c>
      <c r="E10" s="64">
        <f>E11+E12</f>
        <v>18561</v>
      </c>
      <c r="F10" s="90"/>
    </row>
    <row r="11" s="82" customFormat="1" customHeight="1" spans="1:6">
      <c r="A11" s="92"/>
      <c r="B11" s="91" t="s">
        <v>1715</v>
      </c>
      <c r="C11" s="17">
        <v>1373</v>
      </c>
      <c r="D11" s="17">
        <v>-81</v>
      </c>
      <c r="E11" s="17">
        <v>1292</v>
      </c>
      <c r="F11" s="93"/>
    </row>
    <row r="12" s="82" customFormat="1" customHeight="1" spans="1:6">
      <c r="A12" s="92" t="s">
        <v>1716</v>
      </c>
      <c r="B12" s="92" t="s">
        <v>1717</v>
      </c>
      <c r="C12" s="17">
        <v>21682</v>
      </c>
      <c r="D12" s="17">
        <f>SUM(D13:D13)</f>
        <v>-4413</v>
      </c>
      <c r="E12" s="17">
        <f>E13</f>
        <v>17269</v>
      </c>
      <c r="F12" s="94"/>
    </row>
    <row r="13" s="82" customFormat="1" customHeight="1" spans="1:6">
      <c r="A13" s="92"/>
      <c r="B13" s="91" t="s">
        <v>1718</v>
      </c>
      <c r="C13" s="17">
        <v>21682</v>
      </c>
      <c r="D13" s="17">
        <f>E13-C13</f>
        <v>-4413</v>
      </c>
      <c r="E13" s="17">
        <v>17269</v>
      </c>
      <c r="F13" s="94"/>
    </row>
    <row r="14" s="82" customFormat="1" customHeight="1" spans="1:6">
      <c r="A14" s="89"/>
      <c r="B14" s="95" t="s">
        <v>1472</v>
      </c>
      <c r="C14" s="64">
        <f>C5+C10</f>
        <v>37391</v>
      </c>
      <c r="D14" s="64">
        <f>E14-C14</f>
        <v>-4975</v>
      </c>
      <c r="E14" s="64">
        <f>E5+E10</f>
        <v>32416</v>
      </c>
      <c r="F14" s="96"/>
    </row>
  </sheetData>
  <mergeCells count="1">
    <mergeCell ref="A2:F2"/>
  </mergeCells>
  <printOptions horizontalCentered="1"/>
  <pageMargins left="0.393055555555556" right="0.393055555555556" top="0.590277777777778" bottom="0.590277777777778" header="0.196527777777778" footer="0.196527777777778"/>
  <pageSetup paperSize="9" fitToHeight="0" orientation="landscape"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zoomScale="90" zoomScaleNormal="90" workbookViewId="0">
      <selection activeCell="B1" sqref="B1"/>
    </sheetView>
  </sheetViews>
  <sheetFormatPr defaultColWidth="9" defaultRowHeight="30" customHeight="1"/>
  <cols>
    <col min="1" max="2" width="10.625" style="51" customWidth="1"/>
    <col min="3" max="3" width="20.625" style="51" customWidth="1"/>
    <col min="4" max="4" width="12.625" style="51" customWidth="1"/>
    <col min="5" max="5" width="12.625" style="53" customWidth="1"/>
    <col min="6" max="6" width="12.625" style="52" customWidth="1"/>
    <col min="7" max="7" width="12.625" style="53" customWidth="1"/>
    <col min="8" max="8" width="12.625" style="52" customWidth="1"/>
    <col min="9" max="9" width="12.625" style="54" customWidth="1"/>
    <col min="10" max="10" width="12.625" style="52" customWidth="1"/>
    <col min="11" max="11" width="12.625" style="54" customWidth="1"/>
    <col min="12" max="12" width="12.625" style="52" customWidth="1"/>
    <col min="13" max="13" width="12.625" style="53" customWidth="1"/>
    <col min="14" max="14" width="12.625" style="52" customWidth="1"/>
    <col min="15" max="15" width="15.625" style="24" customWidth="1"/>
    <col min="16" max="17" width="12.625" style="51"/>
    <col min="18" max="18" width="9" style="51"/>
    <col min="19" max="19" width="13.75" style="51"/>
    <col min="20" max="20" width="12.625" style="51"/>
    <col min="21" max="21" width="13.75" style="51"/>
    <col min="22" max="22" width="11.5" style="51"/>
    <col min="23" max="23" width="13.75" style="51"/>
    <col min="24" max="24" width="9.375" style="51"/>
    <col min="25" max="25" width="9" style="51"/>
    <col min="26" max="26" width="12.625" style="51"/>
    <col min="27" max="27" width="11.5" style="51"/>
    <col min="28" max="29" width="12.625" style="51"/>
    <col min="30" max="31" width="9" style="51"/>
    <col min="32" max="34" width="12.625" style="51"/>
    <col min="35" max="36" width="11.5" style="51"/>
    <col min="37" max="37" width="9" style="51"/>
    <col min="38" max="38" width="12.625" style="51"/>
    <col min="39" max="39" width="11.5" style="51"/>
    <col min="40" max="41" width="12.625" style="51"/>
    <col min="42" max="43" width="11.5" style="51"/>
    <col min="44" max="44" width="12.625" style="51"/>
    <col min="45" max="45" width="9" style="51"/>
    <col min="46" max="46" width="12.625" style="51"/>
    <col min="47" max="47" width="9" style="51"/>
    <col min="48" max="48" width="12.625" style="51"/>
    <col min="49" max="16384" width="9" style="51"/>
  </cols>
  <sheetData>
    <row r="1" s="45" customFormat="1" ht="20" customHeight="1" spans="1:14">
      <c r="A1" s="56" t="s">
        <v>1719</v>
      </c>
      <c r="B1" s="57"/>
      <c r="C1" s="57"/>
      <c r="D1" s="57"/>
      <c r="E1" s="57"/>
      <c r="F1" s="57"/>
      <c r="G1" s="57"/>
      <c r="H1" s="57"/>
      <c r="I1" s="57"/>
      <c r="J1" s="57"/>
      <c r="K1" s="71"/>
      <c r="L1" s="71"/>
      <c r="M1" s="71"/>
      <c r="N1" s="71"/>
    </row>
    <row r="2" s="46" customFormat="1" customHeight="1" spans="1:15">
      <c r="A2" s="76" t="s">
        <v>1720</v>
      </c>
      <c r="B2" s="76"/>
      <c r="C2" s="76"/>
      <c r="D2" s="76"/>
      <c r="E2" s="77"/>
      <c r="F2" s="77"/>
      <c r="G2" s="77"/>
      <c r="H2" s="77"/>
      <c r="I2" s="76"/>
      <c r="J2" s="77"/>
      <c r="K2" s="76"/>
      <c r="L2" s="77"/>
      <c r="M2" s="77"/>
      <c r="N2" s="77"/>
      <c r="O2" s="76"/>
    </row>
    <row r="3" s="47" customFormat="1" ht="20" customHeight="1" spans="1:15">
      <c r="A3" s="60"/>
      <c r="B3" s="60"/>
      <c r="C3" s="60"/>
      <c r="D3" s="60"/>
      <c r="E3" s="60"/>
      <c r="F3" s="60"/>
      <c r="G3" s="60"/>
      <c r="H3" s="60"/>
      <c r="I3" s="60"/>
      <c r="J3" s="60"/>
      <c r="K3" s="60"/>
      <c r="L3" s="60"/>
      <c r="M3" s="60"/>
      <c r="N3" s="60"/>
      <c r="O3" s="72" t="s">
        <v>27</v>
      </c>
    </row>
    <row r="4" s="48" customFormat="1" customHeight="1" spans="1:15">
      <c r="A4" s="61" t="s">
        <v>611</v>
      </c>
      <c r="B4" s="61" t="s">
        <v>1721</v>
      </c>
      <c r="C4" s="61" t="s">
        <v>1722</v>
      </c>
      <c r="D4" s="61" t="s">
        <v>94</v>
      </c>
      <c r="E4" s="61" t="s">
        <v>1723</v>
      </c>
      <c r="F4" s="61"/>
      <c r="G4" s="61"/>
      <c r="H4" s="61"/>
      <c r="I4" s="61"/>
      <c r="J4" s="61"/>
      <c r="K4" s="61"/>
      <c r="L4" s="61"/>
      <c r="M4" s="61"/>
      <c r="N4" s="61"/>
      <c r="O4" s="61" t="s">
        <v>34</v>
      </c>
    </row>
    <row r="5" s="48" customFormat="1" customHeight="1" spans="1:15">
      <c r="A5" s="61"/>
      <c r="B5" s="61"/>
      <c r="C5" s="61"/>
      <c r="D5" s="61"/>
      <c r="E5" s="61" t="s">
        <v>1724</v>
      </c>
      <c r="F5" s="62"/>
      <c r="G5" s="61" t="s">
        <v>1725</v>
      </c>
      <c r="H5" s="62"/>
      <c r="I5" s="61" t="s">
        <v>1726</v>
      </c>
      <c r="J5" s="62"/>
      <c r="K5" s="61" t="s">
        <v>1727</v>
      </c>
      <c r="L5" s="62"/>
      <c r="M5" s="61" t="s">
        <v>1728</v>
      </c>
      <c r="N5" s="62"/>
      <c r="O5" s="61"/>
    </row>
    <row r="6" s="48" customFormat="1" customHeight="1" spans="1:15">
      <c r="A6" s="61"/>
      <c r="B6" s="61"/>
      <c r="C6" s="61"/>
      <c r="D6" s="61"/>
      <c r="E6" s="61" t="s">
        <v>1729</v>
      </c>
      <c r="F6" s="62" t="s">
        <v>1730</v>
      </c>
      <c r="G6" s="61" t="s">
        <v>1729</v>
      </c>
      <c r="H6" s="62" t="s">
        <v>1730</v>
      </c>
      <c r="I6" s="61" t="s">
        <v>1729</v>
      </c>
      <c r="J6" s="62" t="s">
        <v>1730</v>
      </c>
      <c r="K6" s="61" t="s">
        <v>1729</v>
      </c>
      <c r="L6" s="62" t="s">
        <v>1730</v>
      </c>
      <c r="M6" s="61" t="s">
        <v>1729</v>
      </c>
      <c r="N6" s="62" t="s">
        <v>1730</v>
      </c>
      <c r="O6" s="61"/>
    </row>
    <row r="7" s="49" customFormat="1" customHeight="1" spans="1:15">
      <c r="A7" s="63" t="s">
        <v>94</v>
      </c>
      <c r="B7" s="63"/>
      <c r="C7" s="63"/>
      <c r="D7" s="65">
        <f>SUM(D8:D13)</f>
        <v>137300</v>
      </c>
      <c r="E7" s="65">
        <f>SUM(E8:E13)</f>
        <v>28900</v>
      </c>
      <c r="F7" s="64"/>
      <c r="G7" s="65">
        <f>SUM(G8:G13)</f>
        <v>1600</v>
      </c>
      <c r="H7" s="64"/>
      <c r="I7" s="65">
        <f>SUM(I8:I13)</f>
        <v>24500</v>
      </c>
      <c r="J7" s="64"/>
      <c r="K7" s="65">
        <f>SUM(K8:K13)</f>
        <v>26200</v>
      </c>
      <c r="L7" s="64"/>
      <c r="M7" s="65">
        <f>SUM(M8:M13)</f>
        <v>56100</v>
      </c>
      <c r="N7" s="64"/>
      <c r="O7" s="73"/>
    </row>
    <row r="8" s="50" customFormat="1" customHeight="1" spans="1:15">
      <c r="A8" s="69">
        <v>1</v>
      </c>
      <c r="B8" s="78" t="s">
        <v>1731</v>
      </c>
      <c r="C8" s="78" t="s">
        <v>1732</v>
      </c>
      <c r="D8" s="17">
        <f t="shared" ref="D8:D13" si="0">E8+G8+I8+K8+M8</f>
        <v>7300</v>
      </c>
      <c r="E8" s="17">
        <v>4200</v>
      </c>
      <c r="F8" s="79">
        <v>0.0298</v>
      </c>
      <c r="G8" s="17"/>
      <c r="H8" s="79"/>
      <c r="I8" s="17">
        <v>800</v>
      </c>
      <c r="J8" s="79">
        <v>0.0276</v>
      </c>
      <c r="K8" s="17">
        <v>2000</v>
      </c>
      <c r="L8" s="79">
        <v>0.0275</v>
      </c>
      <c r="M8" s="17">
        <v>300</v>
      </c>
      <c r="N8" s="79">
        <v>0.027</v>
      </c>
      <c r="O8" s="73"/>
    </row>
    <row r="9" s="50" customFormat="1" customHeight="1" spans="1:15">
      <c r="A9" s="69">
        <v>2</v>
      </c>
      <c r="B9" s="78" t="s">
        <v>1733</v>
      </c>
      <c r="C9" s="78" t="s">
        <v>1734</v>
      </c>
      <c r="D9" s="17">
        <f t="shared" si="0"/>
        <v>29700</v>
      </c>
      <c r="E9" s="17">
        <v>20700</v>
      </c>
      <c r="F9" s="79">
        <v>0.0312</v>
      </c>
      <c r="G9" s="17"/>
      <c r="H9" s="79"/>
      <c r="I9" s="17">
        <v>1000</v>
      </c>
      <c r="J9" s="79">
        <v>0.0292</v>
      </c>
      <c r="K9" s="17">
        <v>1000</v>
      </c>
      <c r="L9" s="79">
        <v>0.0299</v>
      </c>
      <c r="M9" s="17">
        <v>7000</v>
      </c>
      <c r="N9" s="79">
        <v>0.0296</v>
      </c>
      <c r="O9" s="74"/>
    </row>
    <row r="10" s="50" customFormat="1" customHeight="1" spans="1:15">
      <c r="A10" s="69">
        <v>3</v>
      </c>
      <c r="B10" s="78" t="s">
        <v>1733</v>
      </c>
      <c r="C10" s="78" t="s">
        <v>1735</v>
      </c>
      <c r="D10" s="17">
        <f t="shared" si="0"/>
        <v>28600</v>
      </c>
      <c r="E10" s="17">
        <v>4000</v>
      </c>
      <c r="F10" s="79">
        <v>0.0319</v>
      </c>
      <c r="G10" s="17">
        <v>1600</v>
      </c>
      <c r="H10" s="79">
        <v>0.0316</v>
      </c>
      <c r="I10" s="17">
        <v>2000</v>
      </c>
      <c r="J10" s="79">
        <v>0.03</v>
      </c>
      <c r="K10" s="17">
        <v>5200</v>
      </c>
      <c r="L10" s="79">
        <v>0.0306</v>
      </c>
      <c r="M10" s="17">
        <v>15800</v>
      </c>
      <c r="N10" s="79">
        <v>0.03</v>
      </c>
      <c r="O10" s="74"/>
    </row>
    <row r="11" s="50" customFormat="1" customHeight="1" spans="1:15">
      <c r="A11" s="69">
        <v>4</v>
      </c>
      <c r="B11" s="78" t="s">
        <v>1733</v>
      </c>
      <c r="C11" s="78" t="s">
        <v>1736</v>
      </c>
      <c r="D11" s="17">
        <f t="shared" si="0"/>
        <v>46700</v>
      </c>
      <c r="E11" s="17"/>
      <c r="F11" s="79"/>
      <c r="G11" s="17"/>
      <c r="H11" s="79"/>
      <c r="I11" s="17">
        <v>15700</v>
      </c>
      <c r="J11" s="79">
        <v>0.0312</v>
      </c>
      <c r="K11" s="17">
        <v>12500</v>
      </c>
      <c r="L11" s="79">
        <v>0.031</v>
      </c>
      <c r="M11" s="17">
        <v>18500</v>
      </c>
      <c r="N11" s="79">
        <v>0.0299</v>
      </c>
      <c r="O11" s="74"/>
    </row>
    <row r="12" s="50" customFormat="1" customHeight="1" spans="1:15">
      <c r="A12" s="69">
        <v>5</v>
      </c>
      <c r="B12" s="78" t="s">
        <v>1733</v>
      </c>
      <c r="C12" s="78" t="s">
        <v>1737</v>
      </c>
      <c r="D12" s="17">
        <f t="shared" si="0"/>
        <v>20000</v>
      </c>
      <c r="E12" s="17"/>
      <c r="F12" s="79"/>
      <c r="G12" s="17"/>
      <c r="H12" s="79"/>
      <c r="I12" s="17"/>
      <c r="J12" s="79"/>
      <c r="K12" s="17">
        <v>5500</v>
      </c>
      <c r="L12" s="79">
        <v>0.0299</v>
      </c>
      <c r="M12" s="17">
        <v>14500</v>
      </c>
      <c r="N12" s="79">
        <v>0.0296</v>
      </c>
      <c r="O12" s="74"/>
    </row>
    <row r="13" s="50" customFormat="1" customHeight="1" spans="1:15">
      <c r="A13" s="69">
        <v>6</v>
      </c>
      <c r="B13" s="78" t="s">
        <v>1733</v>
      </c>
      <c r="C13" s="78" t="s">
        <v>1738</v>
      </c>
      <c r="D13" s="17">
        <f t="shared" si="0"/>
        <v>5000</v>
      </c>
      <c r="E13" s="17"/>
      <c r="F13" s="79"/>
      <c r="G13" s="17"/>
      <c r="H13" s="79"/>
      <c r="I13" s="17">
        <v>5000</v>
      </c>
      <c r="J13" s="79">
        <v>0.0312</v>
      </c>
      <c r="K13" s="17"/>
      <c r="L13" s="79"/>
      <c r="M13" s="17"/>
      <c r="N13" s="79"/>
      <c r="O13" s="74"/>
    </row>
  </sheetData>
  <autoFilter xmlns:etc="http://www.wps.cn/officeDocument/2017/etCustomData" ref="A6:O13" etc:filterBottomFollowUsedRange="0">
    <extLst/>
  </autoFilter>
  <mergeCells count="13">
    <mergeCell ref="A2:O2"/>
    <mergeCell ref="E4:N4"/>
    <mergeCell ref="E5:F5"/>
    <mergeCell ref="G5:H5"/>
    <mergeCell ref="I5:J5"/>
    <mergeCell ref="K5:L5"/>
    <mergeCell ref="M5:N5"/>
    <mergeCell ref="A7:C7"/>
    <mergeCell ref="A4:A6"/>
    <mergeCell ref="B4:B6"/>
    <mergeCell ref="C4:C6"/>
    <mergeCell ref="D4:D6"/>
    <mergeCell ref="O4:O6"/>
  </mergeCells>
  <printOptions horizontalCentered="1"/>
  <pageMargins left="0.393055555555556" right="0.393055555555556" top="0.590277777777778" bottom="0.590277777777778" header="0.196527777777778" footer="0.196527777777778"/>
  <pageSetup paperSize="9" scale="66"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
  <sheetViews>
    <sheetView zoomScale="60" zoomScaleNormal="60" topLeftCell="A22" workbookViewId="0">
      <selection activeCell="B1" sqref="B1"/>
    </sheetView>
  </sheetViews>
  <sheetFormatPr defaultColWidth="9" defaultRowHeight="50" customHeight="1"/>
  <cols>
    <col min="1" max="1" width="10.625" style="51" customWidth="1"/>
    <col min="2" max="2" width="20.625" style="51" customWidth="1"/>
    <col min="3" max="3" width="30.625" style="51" customWidth="1"/>
    <col min="4" max="4" width="12.625" style="52" customWidth="1"/>
    <col min="5" max="5" width="12.625" style="53" customWidth="1"/>
    <col min="6" max="6" width="12.625" style="52" customWidth="1"/>
    <col min="7" max="7" width="12.625" style="53" customWidth="1"/>
    <col min="8" max="8" width="12.625" style="52" customWidth="1"/>
    <col min="9" max="9" width="12.625" style="54" customWidth="1"/>
    <col min="10" max="10" width="12.625" style="52" customWidth="1"/>
    <col min="11" max="11" width="12.625" style="54" customWidth="1"/>
    <col min="12" max="12" width="12.625" style="52" customWidth="1"/>
    <col min="13" max="13" width="12.625" style="53" customWidth="1"/>
    <col min="14" max="14" width="12.625" style="52" customWidth="1"/>
    <col min="15" max="15" width="12.625" style="55" customWidth="1"/>
    <col min="16" max="16" width="12.625" style="24" customWidth="1"/>
    <col min="17" max="17" width="12.625" style="55" customWidth="1"/>
    <col min="18" max="18" width="12.625" style="24" customWidth="1"/>
    <col min="19" max="19" width="20.625" style="24" customWidth="1"/>
    <col min="20" max="21" width="12.625" style="51"/>
    <col min="22" max="22" width="9" style="51"/>
    <col min="23" max="23" width="13.75" style="51"/>
    <col min="24" max="24" width="12.625" style="51"/>
    <col min="25" max="25" width="13.75" style="51"/>
    <col min="26" max="26" width="11.5" style="51"/>
    <col min="27" max="27" width="13.75" style="51"/>
    <col min="28" max="28" width="9.375" style="51"/>
    <col min="29" max="29" width="9" style="51"/>
    <col min="30" max="30" width="12.625" style="51"/>
    <col min="31" max="31" width="11.5" style="51"/>
    <col min="32" max="33" width="12.625" style="51"/>
    <col min="34" max="35" width="9" style="51"/>
    <col min="36" max="38" width="12.625" style="51"/>
    <col min="39" max="40" width="11.5" style="51"/>
    <col min="41" max="41" width="9" style="51"/>
    <col min="42" max="42" width="12.625" style="51"/>
    <col min="43" max="43" width="11.5" style="51"/>
    <col min="44" max="45" width="12.625" style="51"/>
    <col min="46" max="47" width="11.5" style="51"/>
    <col min="48" max="48" width="12.625" style="51"/>
    <col min="49" max="49" width="9" style="51"/>
    <col min="50" max="50" width="12.625" style="51"/>
    <col min="51" max="51" width="9" style="51"/>
    <col min="52" max="52" width="12.625" style="51"/>
    <col min="53" max="16384" width="9" style="51"/>
  </cols>
  <sheetData>
    <row r="1" s="45" customFormat="1" ht="20" customHeight="1" spans="1:14">
      <c r="A1" s="56" t="s">
        <v>1739</v>
      </c>
      <c r="B1" s="57"/>
      <c r="C1" s="57"/>
      <c r="D1" s="57"/>
      <c r="E1" s="57"/>
      <c r="F1" s="57"/>
      <c r="G1" s="57"/>
      <c r="H1" s="57"/>
      <c r="I1" s="57"/>
      <c r="J1" s="57"/>
      <c r="K1" s="71"/>
      <c r="L1" s="71"/>
      <c r="M1" s="71"/>
      <c r="N1" s="71"/>
    </row>
    <row r="2" s="46" customFormat="1" customHeight="1" spans="1:19">
      <c r="A2" s="58" t="s">
        <v>1740</v>
      </c>
      <c r="B2" s="58"/>
      <c r="C2" s="58"/>
      <c r="D2" s="59"/>
      <c r="E2" s="59"/>
      <c r="F2" s="59"/>
      <c r="G2" s="59"/>
      <c r="H2" s="59"/>
      <c r="I2" s="58"/>
      <c r="J2" s="59"/>
      <c r="K2" s="58"/>
      <c r="L2" s="59"/>
      <c r="M2" s="59"/>
      <c r="N2" s="59"/>
      <c r="O2" s="58"/>
      <c r="P2" s="58"/>
      <c r="Q2" s="58"/>
      <c r="R2" s="58"/>
      <c r="S2" s="58"/>
    </row>
    <row r="3" s="47" customFormat="1" ht="20" customHeight="1" spans="1:19">
      <c r="A3" s="60"/>
      <c r="B3" s="60"/>
      <c r="C3" s="60"/>
      <c r="D3" s="60"/>
      <c r="E3" s="60"/>
      <c r="F3" s="60"/>
      <c r="G3" s="60"/>
      <c r="H3" s="60"/>
      <c r="I3" s="60"/>
      <c r="J3" s="60"/>
      <c r="K3" s="60"/>
      <c r="L3" s="60"/>
      <c r="M3" s="60"/>
      <c r="N3" s="60"/>
      <c r="O3" s="72"/>
      <c r="P3" s="72"/>
      <c r="Q3" s="72"/>
      <c r="R3" s="72"/>
      <c r="S3" s="72" t="s">
        <v>27</v>
      </c>
    </row>
    <row r="4" s="48" customFormat="1" customHeight="1" spans="1:19">
      <c r="A4" s="61" t="s">
        <v>611</v>
      </c>
      <c r="B4" s="61" t="s">
        <v>1741</v>
      </c>
      <c r="C4" s="61" t="s">
        <v>614</v>
      </c>
      <c r="D4" s="62" t="s">
        <v>94</v>
      </c>
      <c r="E4" s="61" t="s">
        <v>1723</v>
      </c>
      <c r="F4" s="61"/>
      <c r="G4" s="61"/>
      <c r="H4" s="61"/>
      <c r="I4" s="61"/>
      <c r="J4" s="61"/>
      <c r="K4" s="61"/>
      <c r="L4" s="61"/>
      <c r="M4" s="61"/>
      <c r="N4" s="61"/>
      <c r="O4" s="61" t="s">
        <v>1742</v>
      </c>
      <c r="P4" s="61"/>
      <c r="Q4" s="61"/>
      <c r="R4" s="61"/>
      <c r="S4" s="61" t="s">
        <v>34</v>
      </c>
    </row>
    <row r="5" s="48" customFormat="1" customHeight="1" spans="1:19">
      <c r="A5" s="61"/>
      <c r="B5" s="61"/>
      <c r="C5" s="61"/>
      <c r="D5" s="62"/>
      <c r="E5" s="61" t="s">
        <v>1724</v>
      </c>
      <c r="F5" s="62"/>
      <c r="G5" s="61" t="s">
        <v>1725</v>
      </c>
      <c r="H5" s="62"/>
      <c r="I5" s="61" t="s">
        <v>1726</v>
      </c>
      <c r="J5" s="62"/>
      <c r="K5" s="61" t="s">
        <v>1727</v>
      </c>
      <c r="L5" s="62"/>
      <c r="M5" s="61" t="s">
        <v>1728</v>
      </c>
      <c r="N5" s="62"/>
      <c r="O5" s="61" t="s">
        <v>1743</v>
      </c>
      <c r="P5" s="62"/>
      <c r="Q5" s="61" t="s">
        <v>1744</v>
      </c>
      <c r="R5" s="62"/>
      <c r="S5" s="61"/>
    </row>
    <row r="6" s="48" customFormat="1" customHeight="1" spans="1:19">
      <c r="A6" s="61"/>
      <c r="B6" s="61"/>
      <c r="C6" s="61"/>
      <c r="D6" s="62"/>
      <c r="E6" s="61" t="s">
        <v>1745</v>
      </c>
      <c r="F6" s="62" t="s">
        <v>1729</v>
      </c>
      <c r="G6" s="61" t="s">
        <v>1745</v>
      </c>
      <c r="H6" s="62" t="s">
        <v>1729</v>
      </c>
      <c r="I6" s="61" t="s">
        <v>1745</v>
      </c>
      <c r="J6" s="62" t="s">
        <v>1729</v>
      </c>
      <c r="K6" s="61" t="s">
        <v>1745</v>
      </c>
      <c r="L6" s="62" t="s">
        <v>1729</v>
      </c>
      <c r="M6" s="61" t="s">
        <v>1745</v>
      </c>
      <c r="N6" s="62" t="s">
        <v>1729</v>
      </c>
      <c r="O6" s="61" t="s">
        <v>1745</v>
      </c>
      <c r="P6" s="62" t="s">
        <v>1729</v>
      </c>
      <c r="Q6" s="61" t="s">
        <v>1745</v>
      </c>
      <c r="R6" s="62" t="s">
        <v>1729</v>
      </c>
      <c r="S6" s="61"/>
    </row>
    <row r="7" s="49" customFormat="1" customHeight="1" spans="1:19">
      <c r="A7" s="63" t="s">
        <v>1746</v>
      </c>
      <c r="B7" s="63"/>
      <c r="C7" s="63"/>
      <c r="D7" s="64">
        <f>D8+D13</f>
        <v>117300</v>
      </c>
      <c r="E7" s="65"/>
      <c r="F7" s="64">
        <f t="shared" ref="D7:H7" si="0">F8+F13</f>
        <v>28900</v>
      </c>
      <c r="G7" s="65"/>
      <c r="H7" s="64">
        <f t="shared" si="0"/>
        <v>1600</v>
      </c>
      <c r="I7" s="65"/>
      <c r="J7" s="64">
        <f t="shared" ref="J7:N7" si="1">J8+J13</f>
        <v>24500</v>
      </c>
      <c r="K7" s="65"/>
      <c r="L7" s="64">
        <f t="shared" si="1"/>
        <v>26200</v>
      </c>
      <c r="M7" s="65"/>
      <c r="N7" s="64">
        <f t="shared" si="1"/>
        <v>56100</v>
      </c>
      <c r="O7" s="73"/>
      <c r="P7" s="64">
        <f>P8+P13</f>
        <v>0</v>
      </c>
      <c r="Q7" s="73"/>
      <c r="R7" s="64">
        <f>R8+R13</f>
        <v>-20000</v>
      </c>
      <c r="S7" s="73"/>
    </row>
    <row r="8" s="49" customFormat="1" customHeight="1" spans="1:19">
      <c r="A8" s="66" t="s">
        <v>1747</v>
      </c>
      <c r="B8" s="67"/>
      <c r="C8" s="68"/>
      <c r="D8" s="64">
        <f t="shared" ref="D8:H8" si="2">SUM(D9:D12)</f>
        <v>7300</v>
      </c>
      <c r="E8" s="65"/>
      <c r="F8" s="64">
        <f t="shared" si="2"/>
        <v>4200</v>
      </c>
      <c r="G8" s="65"/>
      <c r="H8" s="64">
        <f t="shared" si="2"/>
        <v>0</v>
      </c>
      <c r="I8" s="65"/>
      <c r="J8" s="64">
        <f t="shared" ref="J8:N8" si="3">SUM(J9:J12)</f>
        <v>800</v>
      </c>
      <c r="K8" s="65"/>
      <c r="L8" s="64">
        <f t="shared" si="3"/>
        <v>2000</v>
      </c>
      <c r="M8" s="65"/>
      <c r="N8" s="64">
        <f t="shared" si="3"/>
        <v>300</v>
      </c>
      <c r="O8" s="73"/>
      <c r="P8" s="64">
        <f>SUM(P9:P12)</f>
        <v>0</v>
      </c>
      <c r="Q8" s="73"/>
      <c r="R8" s="64">
        <f>SUM(R9:R12)</f>
        <v>0</v>
      </c>
      <c r="S8" s="73"/>
    </row>
    <row r="9" s="50" customFormat="1" customHeight="1" spans="1:19">
      <c r="A9" s="69">
        <v>1</v>
      </c>
      <c r="B9" s="70" t="s">
        <v>1748</v>
      </c>
      <c r="C9" s="70" t="s">
        <v>1749</v>
      </c>
      <c r="D9" s="17">
        <f t="shared" ref="D9:D12" si="4">F9+H9+J9+L9+N9</f>
        <v>4500</v>
      </c>
      <c r="E9" s="70" t="s">
        <v>1750</v>
      </c>
      <c r="F9" s="17">
        <v>4200</v>
      </c>
      <c r="G9" s="70"/>
      <c r="H9" s="17"/>
      <c r="I9" s="70" t="s">
        <v>1751</v>
      </c>
      <c r="J9" s="17">
        <v>300</v>
      </c>
      <c r="K9" s="70"/>
      <c r="L9" s="17"/>
      <c r="M9" s="70"/>
      <c r="N9" s="17"/>
      <c r="O9" s="73"/>
      <c r="P9" s="17"/>
      <c r="Q9" s="73"/>
      <c r="R9" s="17"/>
      <c r="S9" s="73"/>
    </row>
    <row r="10" s="50" customFormat="1" customHeight="1" spans="1:19">
      <c r="A10" s="69">
        <v>2</v>
      </c>
      <c r="B10" s="70" t="s">
        <v>1752</v>
      </c>
      <c r="C10" s="70" t="s">
        <v>1753</v>
      </c>
      <c r="D10" s="17">
        <f t="shared" si="4"/>
        <v>300</v>
      </c>
      <c r="E10" s="70"/>
      <c r="F10" s="17"/>
      <c r="G10" s="70"/>
      <c r="H10" s="17"/>
      <c r="I10" s="70" t="s">
        <v>1751</v>
      </c>
      <c r="J10" s="17">
        <v>300</v>
      </c>
      <c r="K10" s="70"/>
      <c r="L10" s="17"/>
      <c r="M10" s="70"/>
      <c r="N10" s="17"/>
      <c r="O10" s="74"/>
      <c r="P10" s="17"/>
      <c r="Q10" s="74"/>
      <c r="R10" s="17"/>
      <c r="S10" s="74"/>
    </row>
    <row r="11" s="50" customFormat="1" customHeight="1" spans="1:19">
      <c r="A11" s="69">
        <v>3</v>
      </c>
      <c r="B11" s="70" t="s">
        <v>1752</v>
      </c>
      <c r="C11" s="70" t="s">
        <v>1754</v>
      </c>
      <c r="D11" s="17">
        <f t="shared" si="4"/>
        <v>500</v>
      </c>
      <c r="E11" s="70"/>
      <c r="F11" s="17"/>
      <c r="G11" s="70"/>
      <c r="H11" s="17"/>
      <c r="I11" s="70" t="s">
        <v>1751</v>
      </c>
      <c r="J11" s="17">
        <v>200</v>
      </c>
      <c r="K11" s="70"/>
      <c r="L11" s="17"/>
      <c r="M11" s="70" t="s">
        <v>1755</v>
      </c>
      <c r="N11" s="17">
        <v>300</v>
      </c>
      <c r="O11" s="74"/>
      <c r="P11" s="17"/>
      <c r="Q11" s="74"/>
      <c r="R11" s="17"/>
      <c r="S11" s="74"/>
    </row>
    <row r="12" s="50" customFormat="1" customHeight="1" spans="1:19">
      <c r="A12" s="69">
        <v>4</v>
      </c>
      <c r="B12" s="70" t="s">
        <v>1756</v>
      </c>
      <c r="C12" s="70" t="s">
        <v>1757</v>
      </c>
      <c r="D12" s="17">
        <f t="shared" si="4"/>
        <v>2000</v>
      </c>
      <c r="E12" s="70"/>
      <c r="F12" s="17"/>
      <c r="G12" s="70"/>
      <c r="H12" s="17"/>
      <c r="I12" s="70"/>
      <c r="J12" s="17"/>
      <c r="K12" s="70" t="s">
        <v>1758</v>
      </c>
      <c r="L12" s="17">
        <v>2000</v>
      </c>
      <c r="M12" s="70"/>
      <c r="N12" s="17"/>
      <c r="O12" s="73"/>
      <c r="P12" s="17"/>
      <c r="Q12" s="73"/>
      <c r="R12" s="17"/>
      <c r="S12" s="73"/>
    </row>
    <row r="13" s="49" customFormat="1" customHeight="1" spans="1:19">
      <c r="A13" s="66" t="s">
        <v>1759</v>
      </c>
      <c r="B13" s="67"/>
      <c r="C13" s="68"/>
      <c r="D13" s="64">
        <f>SUM(D14:D28)</f>
        <v>110000</v>
      </c>
      <c r="E13" s="65"/>
      <c r="F13" s="64">
        <f t="shared" ref="D13:H13" si="5">SUM(F14:F28)</f>
        <v>24700</v>
      </c>
      <c r="G13" s="65"/>
      <c r="H13" s="64">
        <f t="shared" si="5"/>
        <v>1600</v>
      </c>
      <c r="I13" s="65"/>
      <c r="J13" s="64">
        <f t="shared" ref="J13:N13" si="6">SUM(J14:J28)</f>
        <v>23700</v>
      </c>
      <c r="K13" s="65"/>
      <c r="L13" s="64">
        <f t="shared" si="6"/>
        <v>24200</v>
      </c>
      <c r="M13" s="65"/>
      <c r="N13" s="64">
        <f t="shared" si="6"/>
        <v>55800</v>
      </c>
      <c r="O13" s="73"/>
      <c r="P13" s="64">
        <f>SUM(P14:P28)</f>
        <v>0</v>
      </c>
      <c r="Q13" s="73"/>
      <c r="R13" s="64">
        <f>SUM(R14:R28)</f>
        <v>-20000</v>
      </c>
      <c r="S13" s="73"/>
    </row>
    <row r="14" s="50" customFormat="1" customHeight="1" spans="1:19">
      <c r="A14" s="69">
        <v>1</v>
      </c>
      <c r="B14" s="70" t="s">
        <v>1760</v>
      </c>
      <c r="C14" s="70" t="s">
        <v>1761</v>
      </c>
      <c r="D14" s="17">
        <f t="shared" ref="D14:D21" si="7">F14+H14+J14+L14+N14+P14+R14</f>
        <v>7000</v>
      </c>
      <c r="E14" s="70" t="s">
        <v>1762</v>
      </c>
      <c r="F14" s="17">
        <v>3000</v>
      </c>
      <c r="G14" s="70"/>
      <c r="H14" s="17"/>
      <c r="I14" s="70"/>
      <c r="J14" s="17"/>
      <c r="K14" s="70" t="s">
        <v>1763</v>
      </c>
      <c r="L14" s="17">
        <v>1000</v>
      </c>
      <c r="M14" s="70" t="s">
        <v>1764</v>
      </c>
      <c r="N14" s="17">
        <v>4000</v>
      </c>
      <c r="O14" s="70"/>
      <c r="P14" s="17"/>
      <c r="Q14" s="70" t="s">
        <v>1764</v>
      </c>
      <c r="R14" s="17">
        <v>-1000</v>
      </c>
      <c r="S14" s="74"/>
    </row>
    <row r="15" s="50" customFormat="1" customHeight="1" spans="1:19">
      <c r="A15" s="69">
        <v>2</v>
      </c>
      <c r="B15" s="70" t="s">
        <v>1765</v>
      </c>
      <c r="C15" s="70" t="s">
        <v>1766</v>
      </c>
      <c r="D15" s="17">
        <f t="shared" si="7"/>
        <v>3200</v>
      </c>
      <c r="E15" s="70" t="s">
        <v>1762</v>
      </c>
      <c r="F15" s="17">
        <v>3200</v>
      </c>
      <c r="G15" s="70"/>
      <c r="H15" s="17"/>
      <c r="I15" s="70"/>
      <c r="J15" s="17"/>
      <c r="K15" s="70"/>
      <c r="L15" s="17"/>
      <c r="M15" s="70" t="s">
        <v>1764</v>
      </c>
      <c r="N15" s="17">
        <v>1500</v>
      </c>
      <c r="O15" s="70"/>
      <c r="P15" s="17"/>
      <c r="Q15" s="70" t="s">
        <v>1764</v>
      </c>
      <c r="R15" s="17">
        <v>-1500</v>
      </c>
      <c r="S15" s="74"/>
    </row>
    <row r="16" s="50" customFormat="1" customHeight="1" spans="1:19">
      <c r="A16" s="69">
        <v>3</v>
      </c>
      <c r="B16" s="70" t="s">
        <v>1767</v>
      </c>
      <c r="C16" s="70" t="s">
        <v>1768</v>
      </c>
      <c r="D16" s="17">
        <f t="shared" si="7"/>
        <v>5000</v>
      </c>
      <c r="E16" s="70" t="s">
        <v>1762</v>
      </c>
      <c r="F16" s="17">
        <v>12000</v>
      </c>
      <c r="G16" s="70"/>
      <c r="H16" s="17"/>
      <c r="I16" s="70"/>
      <c r="J16" s="17"/>
      <c r="K16" s="70"/>
      <c r="L16" s="17"/>
      <c r="M16" s="70"/>
      <c r="N16" s="17"/>
      <c r="O16" s="70" t="s">
        <v>1762</v>
      </c>
      <c r="P16" s="17">
        <v>-1200</v>
      </c>
      <c r="Q16" s="70" t="s">
        <v>1762</v>
      </c>
      <c r="R16" s="17">
        <v>-5800</v>
      </c>
      <c r="S16" s="74"/>
    </row>
    <row r="17" s="50" customFormat="1" customHeight="1" spans="1:19">
      <c r="A17" s="69">
        <v>4</v>
      </c>
      <c r="B17" s="70" t="s">
        <v>1769</v>
      </c>
      <c r="C17" s="70" t="s">
        <v>1770</v>
      </c>
      <c r="D17" s="17">
        <f t="shared" si="7"/>
        <v>3183</v>
      </c>
      <c r="E17" s="70" t="s">
        <v>1762</v>
      </c>
      <c r="F17" s="17">
        <v>2500</v>
      </c>
      <c r="G17" s="70"/>
      <c r="H17" s="17"/>
      <c r="I17" s="70" t="s">
        <v>1771</v>
      </c>
      <c r="J17" s="17">
        <v>1000</v>
      </c>
      <c r="K17" s="70"/>
      <c r="L17" s="17"/>
      <c r="M17" s="70" t="s">
        <v>1764</v>
      </c>
      <c r="N17" s="17">
        <v>1500</v>
      </c>
      <c r="O17" s="70" t="s">
        <v>1771</v>
      </c>
      <c r="P17" s="17">
        <v>-317</v>
      </c>
      <c r="Q17" s="70" t="s">
        <v>1764</v>
      </c>
      <c r="R17" s="17">
        <v>-1500</v>
      </c>
      <c r="S17" s="74"/>
    </row>
    <row r="18" s="50" customFormat="1" customHeight="1" spans="1:19">
      <c r="A18" s="69">
        <v>5</v>
      </c>
      <c r="B18" s="70" t="s">
        <v>1748</v>
      </c>
      <c r="C18" s="70" t="s">
        <v>1772</v>
      </c>
      <c r="D18" s="17">
        <f t="shared" si="7"/>
        <v>6000</v>
      </c>
      <c r="E18" s="70" t="s">
        <v>1773</v>
      </c>
      <c r="F18" s="17">
        <v>4000</v>
      </c>
      <c r="G18" s="70"/>
      <c r="H18" s="17"/>
      <c r="I18" s="70" t="s">
        <v>1774</v>
      </c>
      <c r="J18" s="17">
        <v>2000</v>
      </c>
      <c r="K18" s="70"/>
      <c r="L18" s="17"/>
      <c r="M18" s="70"/>
      <c r="N18" s="17"/>
      <c r="O18" s="70"/>
      <c r="P18" s="17"/>
      <c r="Q18" s="75"/>
      <c r="R18" s="75"/>
      <c r="S18" s="74"/>
    </row>
    <row r="19" s="50" customFormat="1" customHeight="1" spans="1:19">
      <c r="A19" s="69">
        <v>6</v>
      </c>
      <c r="B19" s="70" t="s">
        <v>1748</v>
      </c>
      <c r="C19" s="70" t="s">
        <v>1775</v>
      </c>
      <c r="D19" s="17">
        <f t="shared" si="7"/>
        <v>1600</v>
      </c>
      <c r="E19" s="70"/>
      <c r="F19" s="17"/>
      <c r="G19" s="70" t="s">
        <v>1776</v>
      </c>
      <c r="H19" s="17">
        <v>1600</v>
      </c>
      <c r="I19" s="70"/>
      <c r="J19" s="17"/>
      <c r="K19" s="70"/>
      <c r="L19" s="17"/>
      <c r="M19" s="70"/>
      <c r="N19" s="17"/>
      <c r="O19" s="70"/>
      <c r="P19" s="17"/>
      <c r="Q19" s="70"/>
      <c r="R19" s="17"/>
      <c r="S19" s="74"/>
    </row>
    <row r="20" s="50" customFormat="1" customHeight="1" spans="1:19">
      <c r="A20" s="69">
        <v>7</v>
      </c>
      <c r="B20" s="70" t="s">
        <v>1760</v>
      </c>
      <c r="C20" s="70" t="s">
        <v>1777</v>
      </c>
      <c r="D20" s="17">
        <f t="shared" si="7"/>
        <v>20700</v>
      </c>
      <c r="E20" s="70"/>
      <c r="F20" s="17"/>
      <c r="G20" s="70"/>
      <c r="H20" s="17"/>
      <c r="I20" s="70" t="s">
        <v>1778</v>
      </c>
      <c r="J20" s="17">
        <v>15700</v>
      </c>
      <c r="K20" s="70"/>
      <c r="L20" s="17"/>
      <c r="M20" s="70" t="s">
        <v>1779</v>
      </c>
      <c r="N20" s="17">
        <v>6000</v>
      </c>
      <c r="O20" s="70"/>
      <c r="P20" s="17"/>
      <c r="Q20" s="70" t="s">
        <v>1779</v>
      </c>
      <c r="R20" s="17">
        <v>-1000</v>
      </c>
      <c r="S20" s="74"/>
    </row>
    <row r="21" s="50" customFormat="1" customHeight="1" spans="1:19">
      <c r="A21" s="69">
        <v>8</v>
      </c>
      <c r="B21" s="70" t="s">
        <v>1748</v>
      </c>
      <c r="C21" s="70" t="s">
        <v>1780</v>
      </c>
      <c r="D21" s="17">
        <f t="shared" si="7"/>
        <v>11850</v>
      </c>
      <c r="E21" s="70"/>
      <c r="F21" s="17"/>
      <c r="G21" s="70"/>
      <c r="H21" s="17"/>
      <c r="I21" s="70" t="s">
        <v>1781</v>
      </c>
      <c r="J21" s="17">
        <v>5000</v>
      </c>
      <c r="K21" s="70" t="s">
        <v>1782</v>
      </c>
      <c r="L21" s="17">
        <v>2300</v>
      </c>
      <c r="M21" s="70" t="s">
        <v>1783</v>
      </c>
      <c r="N21" s="17">
        <v>3700</v>
      </c>
      <c r="O21" s="70" t="s">
        <v>1762</v>
      </c>
      <c r="P21" s="17">
        <v>850</v>
      </c>
      <c r="Q21" s="70"/>
      <c r="R21" s="17"/>
      <c r="S21" s="74"/>
    </row>
    <row r="22" s="50" customFormat="1" customHeight="1" spans="1:19">
      <c r="A22" s="69">
        <v>9</v>
      </c>
      <c r="B22" s="70" t="s">
        <v>1784</v>
      </c>
      <c r="C22" s="70" t="s">
        <v>1785</v>
      </c>
      <c r="D22" s="17">
        <f>F22+H22+J22+L22+N22+P22+R22+R23</f>
        <v>1500</v>
      </c>
      <c r="E22" s="70"/>
      <c r="F22" s="17"/>
      <c r="G22" s="70"/>
      <c r="H22" s="17"/>
      <c r="I22" s="70"/>
      <c r="J22" s="17"/>
      <c r="K22" s="70" t="s">
        <v>1782</v>
      </c>
      <c r="L22" s="17">
        <v>2900</v>
      </c>
      <c r="M22" s="70" t="s">
        <v>1783</v>
      </c>
      <c r="N22" s="17">
        <v>2100</v>
      </c>
      <c r="O22" s="70"/>
      <c r="P22" s="17"/>
      <c r="Q22" s="70" t="s">
        <v>1782</v>
      </c>
      <c r="R22" s="17">
        <v>-1400</v>
      </c>
      <c r="S22" s="73"/>
    </row>
    <row r="23" s="50" customFormat="1" customHeight="1" spans="1:19">
      <c r="A23" s="69"/>
      <c r="B23" s="70"/>
      <c r="C23" s="70"/>
      <c r="D23" s="17"/>
      <c r="E23" s="70"/>
      <c r="F23" s="17"/>
      <c r="G23" s="70"/>
      <c r="H23" s="17"/>
      <c r="I23" s="70"/>
      <c r="J23" s="17"/>
      <c r="K23" s="70"/>
      <c r="L23" s="17"/>
      <c r="M23" s="70"/>
      <c r="N23" s="17"/>
      <c r="O23" s="70"/>
      <c r="P23" s="17"/>
      <c r="Q23" s="70" t="s">
        <v>1783</v>
      </c>
      <c r="R23" s="17">
        <v>-2100</v>
      </c>
      <c r="S23" s="73"/>
    </row>
    <row r="24" s="50" customFormat="1" customHeight="1" spans="1:19">
      <c r="A24" s="69">
        <v>10</v>
      </c>
      <c r="B24" s="70" t="s">
        <v>1786</v>
      </c>
      <c r="C24" s="70" t="s">
        <v>1787</v>
      </c>
      <c r="D24" s="17">
        <f>F24+H24+J24+L24+N24+P24+R24+P25</f>
        <v>25667</v>
      </c>
      <c r="E24" s="70"/>
      <c r="F24" s="17"/>
      <c r="G24" s="70"/>
      <c r="H24" s="17"/>
      <c r="I24" s="70"/>
      <c r="J24" s="17"/>
      <c r="K24" s="70" t="s">
        <v>1788</v>
      </c>
      <c r="L24" s="17">
        <v>12500</v>
      </c>
      <c r="M24" s="70" t="s">
        <v>1779</v>
      </c>
      <c r="N24" s="17">
        <v>12500</v>
      </c>
      <c r="O24" s="70" t="s">
        <v>1762</v>
      </c>
      <c r="P24" s="17">
        <v>350</v>
      </c>
      <c r="Q24" s="70"/>
      <c r="R24" s="17"/>
      <c r="S24" s="73"/>
    </row>
    <row r="25" s="50" customFormat="1" customHeight="1" spans="1:19">
      <c r="A25" s="69"/>
      <c r="B25" s="70"/>
      <c r="C25" s="70"/>
      <c r="D25" s="17"/>
      <c r="E25" s="70"/>
      <c r="F25" s="17"/>
      <c r="G25" s="70"/>
      <c r="H25" s="17"/>
      <c r="I25" s="70"/>
      <c r="J25" s="17"/>
      <c r="K25" s="70"/>
      <c r="L25" s="17"/>
      <c r="M25" s="70"/>
      <c r="N25" s="17"/>
      <c r="O25" s="70" t="s">
        <v>1771</v>
      </c>
      <c r="P25" s="17">
        <v>317</v>
      </c>
      <c r="Q25" s="70"/>
      <c r="R25" s="17"/>
      <c r="S25" s="73"/>
    </row>
    <row r="26" s="50" customFormat="1" customHeight="1" spans="1:19">
      <c r="A26" s="69">
        <v>11</v>
      </c>
      <c r="B26" s="70" t="s">
        <v>1786</v>
      </c>
      <c r="C26" s="70" t="s">
        <v>1789</v>
      </c>
      <c r="D26" s="17">
        <f t="shared" ref="D26:D28" si="8">F26+H26+J26+L26+N26+P26+R26</f>
        <v>19600</v>
      </c>
      <c r="E26" s="70"/>
      <c r="F26" s="17"/>
      <c r="G26" s="70"/>
      <c r="H26" s="17"/>
      <c r="I26" s="70"/>
      <c r="J26" s="17"/>
      <c r="K26" s="70" t="s">
        <v>1790</v>
      </c>
      <c r="L26" s="17">
        <v>5500</v>
      </c>
      <c r="M26" s="70" t="s">
        <v>1791</v>
      </c>
      <c r="N26" s="17">
        <v>14500</v>
      </c>
      <c r="O26" s="70"/>
      <c r="P26" s="17"/>
      <c r="Q26" s="70" t="s">
        <v>1791</v>
      </c>
      <c r="R26" s="17">
        <v>-400</v>
      </c>
      <c r="S26" s="74"/>
    </row>
    <row r="27" s="50" customFormat="1" customHeight="1" spans="1:19">
      <c r="A27" s="69">
        <v>12</v>
      </c>
      <c r="B27" s="70" t="s">
        <v>1786</v>
      </c>
      <c r="C27" s="70" t="s">
        <v>1792</v>
      </c>
      <c r="D27" s="17">
        <f t="shared" si="8"/>
        <v>3900</v>
      </c>
      <c r="E27" s="70"/>
      <c r="F27" s="17"/>
      <c r="G27" s="70"/>
      <c r="H27" s="17"/>
      <c r="I27" s="70"/>
      <c r="J27" s="17"/>
      <c r="K27" s="70"/>
      <c r="L27" s="17"/>
      <c r="M27" s="70" t="s">
        <v>1783</v>
      </c>
      <c r="N27" s="17">
        <v>5000</v>
      </c>
      <c r="O27" s="70"/>
      <c r="P27" s="17"/>
      <c r="Q27" s="70" t="s">
        <v>1783</v>
      </c>
      <c r="R27" s="17">
        <v>-1100</v>
      </c>
      <c r="S27" s="74"/>
    </row>
    <row r="28" s="50" customFormat="1" customHeight="1" spans="1:19">
      <c r="A28" s="69">
        <v>13</v>
      </c>
      <c r="B28" s="70" t="s">
        <v>1767</v>
      </c>
      <c r="C28" s="70" t="s">
        <v>1793</v>
      </c>
      <c r="D28" s="17">
        <f t="shared" si="8"/>
        <v>800</v>
      </c>
      <c r="E28" s="70"/>
      <c r="F28" s="17"/>
      <c r="G28" s="70"/>
      <c r="H28" s="17"/>
      <c r="I28" s="70"/>
      <c r="J28" s="17"/>
      <c r="K28" s="70"/>
      <c r="L28" s="17"/>
      <c r="M28" s="70" t="s">
        <v>1783</v>
      </c>
      <c r="N28" s="17">
        <v>5000</v>
      </c>
      <c r="O28" s="70"/>
      <c r="P28" s="17"/>
      <c r="Q28" s="70" t="s">
        <v>1783</v>
      </c>
      <c r="R28" s="17">
        <v>-4200</v>
      </c>
      <c r="S28" s="74"/>
    </row>
  </sheetData>
  <autoFilter xmlns:etc="http://www.wps.cn/officeDocument/2017/etCustomData" ref="A6:S28" etc:filterBottomFollowUsedRange="0">
    <extLst/>
  </autoFilter>
  <mergeCells count="52">
    <mergeCell ref="A2:S2"/>
    <mergeCell ref="E4:N4"/>
    <mergeCell ref="O4:R4"/>
    <mergeCell ref="E5:F5"/>
    <mergeCell ref="G5:H5"/>
    <mergeCell ref="I5:J5"/>
    <mergeCell ref="K5:L5"/>
    <mergeCell ref="M5:N5"/>
    <mergeCell ref="O5:P5"/>
    <mergeCell ref="Q5:R5"/>
    <mergeCell ref="A7:C7"/>
    <mergeCell ref="A8:C8"/>
    <mergeCell ref="A13:C13"/>
    <mergeCell ref="A4:A6"/>
    <mergeCell ref="A22:A23"/>
    <mergeCell ref="A24:A25"/>
    <mergeCell ref="B4:B6"/>
    <mergeCell ref="B22:B23"/>
    <mergeCell ref="B24:B25"/>
    <mergeCell ref="C4:C6"/>
    <mergeCell ref="C22:C23"/>
    <mergeCell ref="C24:C25"/>
    <mergeCell ref="D4:D6"/>
    <mergeCell ref="D22:D23"/>
    <mergeCell ref="D24:D25"/>
    <mergeCell ref="E22:E23"/>
    <mergeCell ref="E24:E25"/>
    <mergeCell ref="F22:F23"/>
    <mergeCell ref="F24:F25"/>
    <mergeCell ref="G22:G23"/>
    <mergeCell ref="G24:G25"/>
    <mergeCell ref="H22:H23"/>
    <mergeCell ref="H24:H25"/>
    <mergeCell ref="I22:I23"/>
    <mergeCell ref="I24:I25"/>
    <mergeCell ref="J22:J23"/>
    <mergeCell ref="J24:J25"/>
    <mergeCell ref="K22:K23"/>
    <mergeCell ref="K24:K25"/>
    <mergeCell ref="L22:L23"/>
    <mergeCell ref="L24:L25"/>
    <mergeCell ref="M22:M23"/>
    <mergeCell ref="M24:M25"/>
    <mergeCell ref="N22:N23"/>
    <mergeCell ref="N24:N25"/>
    <mergeCell ref="O22:O23"/>
    <mergeCell ref="P22:P23"/>
    <mergeCell ref="Q24:Q25"/>
    <mergeCell ref="R24:R25"/>
    <mergeCell ref="S4:S6"/>
    <mergeCell ref="S22:S23"/>
    <mergeCell ref="S24:S25"/>
  </mergeCells>
  <printOptions horizontalCentered="1"/>
  <pageMargins left="0.393055555555556" right="0.393055555555556" top="0.590277777777778" bottom="0.590277777777778" header="0.196527777777778" footer="0.196527777777778"/>
  <pageSetup paperSize="9" scale="48" fitToHeight="0" orientation="landscape"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
  <sheetViews>
    <sheetView view="pageBreakPreview" zoomScaleNormal="100" workbookViewId="0">
      <selection activeCell="B1" sqref="B1"/>
    </sheetView>
  </sheetViews>
  <sheetFormatPr defaultColWidth="9" defaultRowHeight="30" customHeight="1"/>
  <cols>
    <col min="1" max="1" width="10.625" style="24" customWidth="1"/>
    <col min="2" max="2" width="25.625" style="24" customWidth="1"/>
    <col min="3" max="4" width="10.625" style="24" customWidth="1"/>
    <col min="5" max="5" width="35.625" style="24" customWidth="1"/>
    <col min="6" max="6" width="10.625" style="24" customWidth="1"/>
    <col min="7" max="9" width="15.625" style="24" customWidth="1"/>
    <col min="10" max="10" width="10.625" style="24" customWidth="1"/>
    <col min="11" max="11" width="35.625" style="24" customWidth="1"/>
    <col min="12" max="13" width="10.625" style="24" customWidth="1"/>
    <col min="14" max="16" width="15.625" style="24" customWidth="1"/>
    <col min="17" max="16384" width="9" style="24"/>
  </cols>
  <sheetData>
    <row r="1" s="22" customFormat="1" ht="20" customHeight="1" spans="1:15">
      <c r="A1" s="25" t="s">
        <v>1794</v>
      </c>
      <c r="B1" s="26"/>
      <c r="C1" s="26"/>
      <c r="D1" s="26"/>
      <c r="E1" s="26"/>
      <c r="F1" s="26"/>
      <c r="G1" s="26"/>
      <c r="H1" s="26"/>
      <c r="I1" s="26"/>
      <c r="J1" s="26"/>
      <c r="K1" s="26"/>
      <c r="L1" s="37"/>
      <c r="M1" s="26"/>
      <c r="N1" s="37"/>
      <c r="O1" s="37"/>
    </row>
    <row r="2" s="22" customFormat="1" customHeight="1" spans="1:16">
      <c r="A2" s="27" t="s">
        <v>1795</v>
      </c>
      <c r="B2" s="27"/>
      <c r="C2" s="27"/>
      <c r="D2" s="27"/>
      <c r="E2" s="27"/>
      <c r="F2" s="27"/>
      <c r="G2" s="27"/>
      <c r="H2" s="27"/>
      <c r="I2" s="27"/>
      <c r="J2" s="27"/>
      <c r="K2" s="27"/>
      <c r="L2" s="27"/>
      <c r="M2" s="27"/>
      <c r="N2" s="27"/>
      <c r="O2" s="27"/>
      <c r="P2" s="27"/>
    </row>
    <row r="3" s="22" customFormat="1" ht="20" customHeight="1" spans="1:16">
      <c r="A3" s="28"/>
      <c r="B3" s="28"/>
      <c r="C3" s="28"/>
      <c r="D3" s="28"/>
      <c r="E3" s="28"/>
      <c r="F3" s="28"/>
      <c r="G3" s="29"/>
      <c r="H3" s="29"/>
      <c r="I3" s="28"/>
      <c r="J3" s="28"/>
      <c r="K3" s="28"/>
      <c r="L3" s="28"/>
      <c r="M3" s="28"/>
      <c r="N3" s="29"/>
      <c r="P3" s="38" t="s">
        <v>27</v>
      </c>
    </row>
    <row r="4" s="23" customFormat="1" customHeight="1" spans="1:16">
      <c r="A4" s="30" t="s">
        <v>1796</v>
      </c>
      <c r="B4" s="30" t="s">
        <v>1797</v>
      </c>
      <c r="C4" s="30" t="s">
        <v>1798</v>
      </c>
      <c r="D4" s="30" t="s">
        <v>1799</v>
      </c>
      <c r="E4" s="30"/>
      <c r="F4" s="30"/>
      <c r="G4" s="30"/>
      <c r="H4" s="30"/>
      <c r="I4" s="30" t="s">
        <v>1800</v>
      </c>
      <c r="J4" s="39" t="s">
        <v>1801</v>
      </c>
      <c r="K4" s="40"/>
      <c r="L4" s="40"/>
      <c r="M4" s="30"/>
      <c r="N4" s="40"/>
      <c r="O4" s="40"/>
      <c r="P4" s="30" t="s">
        <v>34</v>
      </c>
    </row>
    <row r="5" s="23" customFormat="1" customHeight="1" spans="1:16">
      <c r="A5" s="30"/>
      <c r="B5" s="30"/>
      <c r="C5" s="30"/>
      <c r="D5" s="30" t="s">
        <v>1802</v>
      </c>
      <c r="E5" s="30" t="s">
        <v>614</v>
      </c>
      <c r="F5" s="30" t="s">
        <v>1803</v>
      </c>
      <c r="G5" s="31" t="s">
        <v>1804</v>
      </c>
      <c r="H5" s="31" t="s">
        <v>1805</v>
      </c>
      <c r="I5" s="30"/>
      <c r="J5" s="30" t="s">
        <v>1802</v>
      </c>
      <c r="K5" s="30" t="s">
        <v>614</v>
      </c>
      <c r="L5" s="30" t="s">
        <v>1806</v>
      </c>
      <c r="M5" s="30" t="s">
        <v>1803</v>
      </c>
      <c r="N5" s="31" t="s">
        <v>1807</v>
      </c>
      <c r="O5" s="41" t="s">
        <v>1805</v>
      </c>
      <c r="P5" s="30"/>
    </row>
    <row r="6" s="22" customFormat="1" customHeight="1" spans="1:16">
      <c r="A6" s="32" t="s">
        <v>94</v>
      </c>
      <c r="B6" s="33"/>
      <c r="C6" s="33"/>
      <c r="D6" s="33"/>
      <c r="E6" s="33"/>
      <c r="F6" s="34"/>
      <c r="G6" s="17">
        <f>SUM(G7:G29)</f>
        <v>37286</v>
      </c>
      <c r="H6" s="17">
        <f>SUM(H7:H29)</f>
        <v>0</v>
      </c>
      <c r="I6" s="42"/>
      <c r="J6" s="42"/>
      <c r="K6" s="42"/>
      <c r="L6" s="42"/>
      <c r="M6" s="34"/>
      <c r="N6" s="17">
        <f>SUM(N7:N29)</f>
        <v>17286</v>
      </c>
      <c r="O6" s="17">
        <f>SUM(O7:O29)</f>
        <v>0</v>
      </c>
      <c r="P6" s="43"/>
    </row>
    <row r="7" s="22" customFormat="1" customHeight="1" spans="1:16">
      <c r="A7" s="35" t="s">
        <v>1808</v>
      </c>
      <c r="B7" s="36" t="s">
        <v>1809</v>
      </c>
      <c r="C7" s="35" t="s">
        <v>1810</v>
      </c>
      <c r="D7" s="35" t="s">
        <v>1811</v>
      </c>
      <c r="E7" s="36" t="s">
        <v>1812</v>
      </c>
      <c r="F7" s="35" t="s">
        <v>1813</v>
      </c>
      <c r="G7" s="17">
        <v>1464</v>
      </c>
      <c r="H7" s="17">
        <v>0</v>
      </c>
      <c r="I7" s="35" t="s">
        <v>1814</v>
      </c>
      <c r="J7" s="35" t="s">
        <v>1811</v>
      </c>
      <c r="K7" s="36" t="s">
        <v>1777</v>
      </c>
      <c r="L7" s="35" t="s">
        <v>1815</v>
      </c>
      <c r="M7" s="35" t="s">
        <v>1813</v>
      </c>
      <c r="N7" s="17">
        <v>1464</v>
      </c>
      <c r="O7" s="17">
        <v>0</v>
      </c>
      <c r="P7" s="43"/>
    </row>
    <row r="8" s="22" customFormat="1" customHeight="1" spans="1:16">
      <c r="A8" s="35" t="s">
        <v>1808</v>
      </c>
      <c r="B8" s="36" t="s">
        <v>1809</v>
      </c>
      <c r="C8" s="35" t="s">
        <v>1810</v>
      </c>
      <c r="D8" s="35" t="s">
        <v>1811</v>
      </c>
      <c r="E8" s="36" t="s">
        <v>1816</v>
      </c>
      <c r="F8" s="35" t="s">
        <v>1813</v>
      </c>
      <c r="G8" s="17">
        <v>900</v>
      </c>
      <c r="H8" s="17">
        <v>0</v>
      </c>
      <c r="I8" s="35" t="s">
        <v>1814</v>
      </c>
      <c r="J8" s="35" t="s">
        <v>1811</v>
      </c>
      <c r="K8" s="36" t="s">
        <v>1777</v>
      </c>
      <c r="L8" s="35" t="s">
        <v>1815</v>
      </c>
      <c r="M8" s="35" t="s">
        <v>1813</v>
      </c>
      <c r="N8" s="17">
        <v>900</v>
      </c>
      <c r="O8" s="17">
        <v>0</v>
      </c>
      <c r="P8" s="43"/>
    </row>
    <row r="9" s="22" customFormat="1" customHeight="1" spans="1:16">
      <c r="A9" s="35" t="s">
        <v>1808</v>
      </c>
      <c r="B9" s="36" t="s">
        <v>1809</v>
      </c>
      <c r="C9" s="35" t="s">
        <v>1810</v>
      </c>
      <c r="D9" s="35" t="s">
        <v>1811</v>
      </c>
      <c r="E9" s="36" t="s">
        <v>1816</v>
      </c>
      <c r="F9" s="35" t="s">
        <v>1813</v>
      </c>
      <c r="G9" s="17">
        <v>671</v>
      </c>
      <c r="H9" s="17">
        <v>0</v>
      </c>
      <c r="I9" s="35" t="s">
        <v>1814</v>
      </c>
      <c r="J9" s="35" t="s">
        <v>1811</v>
      </c>
      <c r="K9" s="36" t="s">
        <v>1768</v>
      </c>
      <c r="L9" s="35" t="s">
        <v>1817</v>
      </c>
      <c r="M9" s="35" t="s">
        <v>1813</v>
      </c>
      <c r="N9" s="17">
        <v>671</v>
      </c>
      <c r="O9" s="17">
        <v>0</v>
      </c>
      <c r="P9" s="43"/>
    </row>
    <row r="10" s="22" customFormat="1" customHeight="1" spans="1:16">
      <c r="A10" s="35" t="s">
        <v>1808</v>
      </c>
      <c r="B10" s="36" t="s">
        <v>1809</v>
      </c>
      <c r="C10" s="35" t="s">
        <v>1810</v>
      </c>
      <c r="D10" s="35" t="s">
        <v>1811</v>
      </c>
      <c r="E10" s="36" t="s">
        <v>1818</v>
      </c>
      <c r="F10" s="35" t="s">
        <v>1813</v>
      </c>
      <c r="G10" s="17">
        <v>6714</v>
      </c>
      <c r="H10" s="17">
        <v>0</v>
      </c>
      <c r="I10" s="35" t="s">
        <v>1814</v>
      </c>
      <c r="J10" s="35" t="s">
        <v>1811</v>
      </c>
      <c r="K10" s="36" t="s">
        <v>1768</v>
      </c>
      <c r="L10" s="35" t="s">
        <v>1817</v>
      </c>
      <c r="M10" s="35" t="s">
        <v>1813</v>
      </c>
      <c r="N10" s="17">
        <v>6714</v>
      </c>
      <c r="O10" s="17">
        <v>0</v>
      </c>
      <c r="P10" s="43"/>
    </row>
    <row r="11" s="22" customFormat="1" customHeight="1" spans="1:16">
      <c r="A11" s="35" t="s">
        <v>1808</v>
      </c>
      <c r="B11" s="36" t="s">
        <v>1819</v>
      </c>
      <c r="C11" s="35" t="s">
        <v>1810</v>
      </c>
      <c r="D11" s="35" t="s">
        <v>1811</v>
      </c>
      <c r="E11" s="36" t="s">
        <v>1820</v>
      </c>
      <c r="F11" s="35" t="s">
        <v>1813</v>
      </c>
      <c r="G11" s="17">
        <v>1370</v>
      </c>
      <c r="H11" s="17">
        <v>0</v>
      </c>
      <c r="I11" s="35" t="s">
        <v>1814</v>
      </c>
      <c r="J11" s="35" t="s">
        <v>1811</v>
      </c>
      <c r="K11" s="36" t="s">
        <v>1770</v>
      </c>
      <c r="L11" s="35" t="s">
        <v>1821</v>
      </c>
      <c r="M11" s="35" t="s">
        <v>1813</v>
      </c>
      <c r="N11" s="17">
        <v>1370</v>
      </c>
      <c r="O11" s="17">
        <v>0</v>
      </c>
      <c r="P11" s="43"/>
    </row>
    <row r="12" s="22" customFormat="1" customHeight="1" spans="1:16">
      <c r="A12" s="35" t="s">
        <v>1808</v>
      </c>
      <c r="B12" s="36" t="s">
        <v>1822</v>
      </c>
      <c r="C12" s="35" t="s">
        <v>1810</v>
      </c>
      <c r="D12" s="35" t="s">
        <v>1811</v>
      </c>
      <c r="E12" s="36" t="s">
        <v>1823</v>
      </c>
      <c r="F12" s="35" t="s">
        <v>1813</v>
      </c>
      <c r="G12" s="17">
        <v>400</v>
      </c>
      <c r="H12" s="17">
        <v>0</v>
      </c>
      <c r="I12" s="35" t="s">
        <v>1814</v>
      </c>
      <c r="J12" s="35" t="s">
        <v>1811</v>
      </c>
      <c r="K12" s="36" t="s">
        <v>1761</v>
      </c>
      <c r="L12" s="35" t="s">
        <v>1824</v>
      </c>
      <c r="M12" s="35" t="s">
        <v>1813</v>
      </c>
      <c r="N12" s="17">
        <v>400</v>
      </c>
      <c r="O12" s="17">
        <v>0</v>
      </c>
      <c r="P12" s="43"/>
    </row>
    <row r="13" s="22" customFormat="1" customHeight="1" spans="1:16">
      <c r="A13" s="35" t="s">
        <v>1808</v>
      </c>
      <c r="B13" s="36" t="s">
        <v>1822</v>
      </c>
      <c r="C13" s="35" t="s">
        <v>1810</v>
      </c>
      <c r="D13" s="35" t="s">
        <v>1811</v>
      </c>
      <c r="E13" s="36" t="s">
        <v>1823</v>
      </c>
      <c r="F13" s="35" t="s">
        <v>1813</v>
      </c>
      <c r="G13" s="17">
        <v>400</v>
      </c>
      <c r="H13" s="17">
        <v>0</v>
      </c>
      <c r="I13" s="35" t="s">
        <v>1814</v>
      </c>
      <c r="J13" s="35" t="s">
        <v>1811</v>
      </c>
      <c r="K13" s="36" t="s">
        <v>1768</v>
      </c>
      <c r="L13" s="35" t="s">
        <v>1817</v>
      </c>
      <c r="M13" s="35" t="s">
        <v>1813</v>
      </c>
      <c r="N13" s="17">
        <v>400</v>
      </c>
      <c r="O13" s="17">
        <v>0</v>
      </c>
      <c r="P13" s="43"/>
    </row>
    <row r="14" s="22" customFormat="1" customHeight="1" spans="1:16">
      <c r="A14" s="35" t="s">
        <v>1808</v>
      </c>
      <c r="B14" s="36" t="s">
        <v>1825</v>
      </c>
      <c r="C14" s="35" t="s">
        <v>1810</v>
      </c>
      <c r="D14" s="35" t="s">
        <v>1811</v>
      </c>
      <c r="E14" s="36" t="s">
        <v>1826</v>
      </c>
      <c r="F14" s="35" t="s">
        <v>1813</v>
      </c>
      <c r="G14" s="17">
        <v>1250</v>
      </c>
      <c r="H14" s="17">
        <v>0</v>
      </c>
      <c r="I14" s="35" t="s">
        <v>1814</v>
      </c>
      <c r="J14" s="35" t="s">
        <v>1811</v>
      </c>
      <c r="K14" s="36" t="s">
        <v>1766</v>
      </c>
      <c r="L14" s="35" t="s">
        <v>1827</v>
      </c>
      <c r="M14" s="35" t="s">
        <v>1813</v>
      </c>
      <c r="N14" s="17">
        <v>1250</v>
      </c>
      <c r="O14" s="17">
        <v>0</v>
      </c>
      <c r="P14" s="43"/>
    </row>
    <row r="15" s="22" customFormat="1" customHeight="1" spans="1:16">
      <c r="A15" s="35" t="s">
        <v>1808</v>
      </c>
      <c r="B15" s="36" t="s">
        <v>1828</v>
      </c>
      <c r="C15" s="35" t="s">
        <v>1810</v>
      </c>
      <c r="D15" s="35" t="s">
        <v>1811</v>
      </c>
      <c r="E15" s="36" t="s">
        <v>1829</v>
      </c>
      <c r="F15" s="35" t="s">
        <v>1813</v>
      </c>
      <c r="G15" s="17">
        <v>1600</v>
      </c>
      <c r="H15" s="17">
        <v>0</v>
      </c>
      <c r="I15" s="35" t="s">
        <v>1814</v>
      </c>
      <c r="J15" s="35" t="s">
        <v>1811</v>
      </c>
      <c r="K15" s="36" t="s">
        <v>1772</v>
      </c>
      <c r="L15" s="35" t="s">
        <v>1815</v>
      </c>
      <c r="M15" s="35" t="s">
        <v>1813</v>
      </c>
      <c r="N15" s="17">
        <v>1600</v>
      </c>
      <c r="O15" s="17">
        <v>0</v>
      </c>
      <c r="P15" s="43"/>
    </row>
    <row r="16" s="22" customFormat="1" customHeight="1" spans="1:16">
      <c r="A16" s="35" t="s">
        <v>1808</v>
      </c>
      <c r="B16" s="36" t="s">
        <v>1830</v>
      </c>
      <c r="C16" s="35" t="s">
        <v>1810</v>
      </c>
      <c r="D16" s="35" t="s">
        <v>1811</v>
      </c>
      <c r="E16" s="36" t="s">
        <v>1831</v>
      </c>
      <c r="F16" s="35" t="s">
        <v>1813</v>
      </c>
      <c r="G16" s="17">
        <v>1000</v>
      </c>
      <c r="H16" s="17">
        <v>0</v>
      </c>
      <c r="I16" s="35" t="s">
        <v>1814</v>
      </c>
      <c r="J16" s="35" t="s">
        <v>1811</v>
      </c>
      <c r="K16" s="36" t="s">
        <v>1787</v>
      </c>
      <c r="L16" s="35" t="s">
        <v>1815</v>
      </c>
      <c r="M16" s="35" t="s">
        <v>1813</v>
      </c>
      <c r="N16" s="17">
        <v>1000</v>
      </c>
      <c r="O16" s="17">
        <v>0</v>
      </c>
      <c r="P16" s="43"/>
    </row>
    <row r="17" customHeight="1" spans="1:16">
      <c r="A17" s="35" t="s">
        <v>1808</v>
      </c>
      <c r="B17" s="36" t="s">
        <v>1762</v>
      </c>
      <c r="C17" s="35" t="s">
        <v>1832</v>
      </c>
      <c r="D17" s="35" t="s">
        <v>1811</v>
      </c>
      <c r="E17" s="36" t="s">
        <v>1768</v>
      </c>
      <c r="F17" s="35" t="s">
        <v>1813</v>
      </c>
      <c r="G17" s="17">
        <v>850</v>
      </c>
      <c r="H17" s="17">
        <v>0</v>
      </c>
      <c r="I17" s="35" t="s">
        <v>1814</v>
      </c>
      <c r="J17" s="35" t="s">
        <v>1811</v>
      </c>
      <c r="K17" s="36" t="s">
        <v>1780</v>
      </c>
      <c r="L17" s="35" t="s">
        <v>1815</v>
      </c>
      <c r="M17" s="35" t="s">
        <v>1813</v>
      </c>
      <c r="N17" s="17">
        <v>850</v>
      </c>
      <c r="O17" s="17">
        <v>0</v>
      </c>
      <c r="P17" s="44"/>
    </row>
    <row r="18" customHeight="1" spans="1:16">
      <c r="A18" s="35" t="s">
        <v>1808</v>
      </c>
      <c r="B18" s="36" t="s">
        <v>1762</v>
      </c>
      <c r="C18" s="35" t="s">
        <v>1832</v>
      </c>
      <c r="D18" s="35" t="s">
        <v>1811</v>
      </c>
      <c r="E18" s="36" t="s">
        <v>1768</v>
      </c>
      <c r="F18" s="35" t="s">
        <v>1813</v>
      </c>
      <c r="G18" s="17">
        <v>350</v>
      </c>
      <c r="H18" s="17">
        <v>0</v>
      </c>
      <c r="I18" s="35" t="s">
        <v>1814</v>
      </c>
      <c r="J18" s="35" t="s">
        <v>1811</v>
      </c>
      <c r="K18" s="36" t="s">
        <v>1787</v>
      </c>
      <c r="L18" s="35" t="s">
        <v>1815</v>
      </c>
      <c r="M18" s="35" t="s">
        <v>1813</v>
      </c>
      <c r="N18" s="17">
        <v>350</v>
      </c>
      <c r="O18" s="17">
        <v>0</v>
      </c>
      <c r="P18" s="44"/>
    </row>
    <row r="19" customHeight="1" spans="1:16">
      <c r="A19" s="35" t="s">
        <v>1808</v>
      </c>
      <c r="B19" s="36" t="s">
        <v>1771</v>
      </c>
      <c r="C19" s="35" t="s">
        <v>1832</v>
      </c>
      <c r="D19" s="35" t="s">
        <v>1811</v>
      </c>
      <c r="E19" s="36" t="s">
        <v>1770</v>
      </c>
      <c r="F19" s="35" t="s">
        <v>1813</v>
      </c>
      <c r="G19" s="17">
        <v>317</v>
      </c>
      <c r="H19" s="17">
        <v>0</v>
      </c>
      <c r="I19" s="35" t="s">
        <v>1814</v>
      </c>
      <c r="J19" s="35" t="s">
        <v>1811</v>
      </c>
      <c r="K19" s="36" t="s">
        <v>1787</v>
      </c>
      <c r="L19" s="35" t="s">
        <v>1815</v>
      </c>
      <c r="M19" s="35" t="s">
        <v>1813</v>
      </c>
      <c r="N19" s="17">
        <v>317</v>
      </c>
      <c r="O19" s="17">
        <v>0</v>
      </c>
      <c r="P19" s="44"/>
    </row>
    <row r="20" customHeight="1" spans="1:16">
      <c r="A20" s="35" t="s">
        <v>1808</v>
      </c>
      <c r="B20" s="36" t="s">
        <v>1762</v>
      </c>
      <c r="C20" s="35" t="s">
        <v>1832</v>
      </c>
      <c r="D20" s="35" t="s">
        <v>1811</v>
      </c>
      <c r="E20" s="36" t="s">
        <v>1768</v>
      </c>
      <c r="F20" s="35" t="s">
        <v>1813</v>
      </c>
      <c r="G20" s="17">
        <v>5800</v>
      </c>
      <c r="H20" s="17">
        <v>0</v>
      </c>
      <c r="I20" s="35" t="s">
        <v>1814</v>
      </c>
      <c r="J20" s="35"/>
      <c r="K20" s="36"/>
      <c r="L20" s="35"/>
      <c r="M20" s="35"/>
      <c r="N20" s="17"/>
      <c r="O20" s="17"/>
      <c r="P20" s="44"/>
    </row>
    <row r="21" customHeight="1" spans="1:16">
      <c r="A21" s="35" t="s">
        <v>1808</v>
      </c>
      <c r="B21" s="36" t="s">
        <v>1782</v>
      </c>
      <c r="C21" s="35" t="s">
        <v>1832</v>
      </c>
      <c r="D21" s="35" t="s">
        <v>1811</v>
      </c>
      <c r="E21" s="36" t="s">
        <v>1785</v>
      </c>
      <c r="F21" s="35" t="s">
        <v>1833</v>
      </c>
      <c r="G21" s="17">
        <v>1400</v>
      </c>
      <c r="H21" s="17">
        <v>0</v>
      </c>
      <c r="I21" s="35" t="s">
        <v>1814</v>
      </c>
      <c r="J21" s="35"/>
      <c r="K21" s="36"/>
      <c r="L21" s="35"/>
      <c r="M21" s="35"/>
      <c r="N21" s="17"/>
      <c r="O21" s="17"/>
      <c r="P21" s="44"/>
    </row>
    <row r="22" customHeight="1" spans="1:16">
      <c r="A22" s="35" t="s">
        <v>1808</v>
      </c>
      <c r="B22" s="36" t="s">
        <v>1764</v>
      </c>
      <c r="C22" s="35" t="s">
        <v>1832</v>
      </c>
      <c r="D22" s="35" t="s">
        <v>1811</v>
      </c>
      <c r="E22" s="36" t="s">
        <v>1770</v>
      </c>
      <c r="F22" s="35" t="s">
        <v>1813</v>
      </c>
      <c r="G22" s="17">
        <v>1500</v>
      </c>
      <c r="H22" s="17">
        <v>0</v>
      </c>
      <c r="I22" s="35" t="s">
        <v>1814</v>
      </c>
      <c r="J22" s="35"/>
      <c r="K22" s="36"/>
      <c r="L22" s="35"/>
      <c r="M22" s="35"/>
      <c r="N22" s="17"/>
      <c r="O22" s="17"/>
      <c r="P22" s="44"/>
    </row>
    <row r="23" customHeight="1" spans="1:16">
      <c r="A23" s="35" t="s">
        <v>1808</v>
      </c>
      <c r="B23" s="36" t="s">
        <v>1764</v>
      </c>
      <c r="C23" s="35" t="s">
        <v>1832</v>
      </c>
      <c r="D23" s="35" t="s">
        <v>1811</v>
      </c>
      <c r="E23" s="36" t="s">
        <v>1761</v>
      </c>
      <c r="F23" s="35" t="s">
        <v>1813</v>
      </c>
      <c r="G23" s="17">
        <v>1000</v>
      </c>
      <c r="H23" s="17">
        <v>0</v>
      </c>
      <c r="I23" s="35" t="s">
        <v>1814</v>
      </c>
      <c r="J23" s="35"/>
      <c r="K23" s="36"/>
      <c r="L23" s="35"/>
      <c r="M23" s="35"/>
      <c r="N23" s="17"/>
      <c r="O23" s="17"/>
      <c r="P23" s="44"/>
    </row>
    <row r="24" customHeight="1" spans="1:16">
      <c r="A24" s="35" t="s">
        <v>1808</v>
      </c>
      <c r="B24" s="36" t="s">
        <v>1764</v>
      </c>
      <c r="C24" s="35" t="s">
        <v>1832</v>
      </c>
      <c r="D24" s="35" t="s">
        <v>1811</v>
      </c>
      <c r="E24" s="36" t="s">
        <v>1766</v>
      </c>
      <c r="F24" s="35" t="s">
        <v>1813</v>
      </c>
      <c r="G24" s="17">
        <v>1500</v>
      </c>
      <c r="H24" s="17">
        <v>0</v>
      </c>
      <c r="I24" s="35" t="s">
        <v>1814</v>
      </c>
      <c r="J24" s="35"/>
      <c r="K24" s="36"/>
      <c r="L24" s="35"/>
      <c r="M24" s="35"/>
      <c r="N24" s="17"/>
      <c r="O24" s="17"/>
      <c r="P24" s="44"/>
    </row>
    <row r="25" customHeight="1" spans="1:16">
      <c r="A25" s="35" t="s">
        <v>1808</v>
      </c>
      <c r="B25" s="36" t="s">
        <v>1783</v>
      </c>
      <c r="C25" s="35" t="s">
        <v>1832</v>
      </c>
      <c r="D25" s="35" t="s">
        <v>1811</v>
      </c>
      <c r="E25" s="36" t="s">
        <v>1785</v>
      </c>
      <c r="F25" s="35" t="s">
        <v>1833</v>
      </c>
      <c r="G25" s="17">
        <v>2100</v>
      </c>
      <c r="H25" s="17">
        <v>0</v>
      </c>
      <c r="I25" s="35" t="s">
        <v>1814</v>
      </c>
      <c r="J25" s="35"/>
      <c r="K25" s="36"/>
      <c r="L25" s="35"/>
      <c r="M25" s="35"/>
      <c r="N25" s="17"/>
      <c r="O25" s="17"/>
      <c r="P25" s="44"/>
    </row>
    <row r="26" customHeight="1" spans="1:16">
      <c r="A26" s="35" t="s">
        <v>1808</v>
      </c>
      <c r="B26" s="36" t="s">
        <v>1783</v>
      </c>
      <c r="C26" s="35" t="s">
        <v>1832</v>
      </c>
      <c r="D26" s="35" t="s">
        <v>1811</v>
      </c>
      <c r="E26" s="36" t="s">
        <v>1792</v>
      </c>
      <c r="F26" s="35" t="s">
        <v>1813</v>
      </c>
      <c r="G26" s="17">
        <v>1100</v>
      </c>
      <c r="H26" s="17">
        <v>0</v>
      </c>
      <c r="I26" s="35" t="s">
        <v>1814</v>
      </c>
      <c r="J26" s="35"/>
      <c r="K26" s="36"/>
      <c r="L26" s="35"/>
      <c r="M26" s="35"/>
      <c r="N26" s="17"/>
      <c r="O26" s="17"/>
      <c r="P26" s="44"/>
    </row>
    <row r="27" customHeight="1" spans="1:16">
      <c r="A27" s="35" t="s">
        <v>1808</v>
      </c>
      <c r="B27" s="36" t="s">
        <v>1783</v>
      </c>
      <c r="C27" s="35" t="s">
        <v>1832</v>
      </c>
      <c r="D27" s="35" t="s">
        <v>1811</v>
      </c>
      <c r="E27" s="36" t="s">
        <v>1793</v>
      </c>
      <c r="F27" s="35" t="s">
        <v>1833</v>
      </c>
      <c r="G27" s="17">
        <v>4200</v>
      </c>
      <c r="H27" s="17">
        <v>0</v>
      </c>
      <c r="I27" s="35" t="s">
        <v>1814</v>
      </c>
      <c r="J27" s="35"/>
      <c r="K27" s="36"/>
      <c r="L27" s="35"/>
      <c r="M27" s="35"/>
      <c r="N27" s="17"/>
      <c r="O27" s="17"/>
      <c r="P27" s="44"/>
    </row>
    <row r="28" customHeight="1" spans="1:16">
      <c r="A28" s="35" t="s">
        <v>1808</v>
      </c>
      <c r="B28" s="36" t="s">
        <v>1779</v>
      </c>
      <c r="C28" s="35" t="s">
        <v>1832</v>
      </c>
      <c r="D28" s="35" t="s">
        <v>1811</v>
      </c>
      <c r="E28" s="36" t="s">
        <v>1777</v>
      </c>
      <c r="F28" s="35" t="s">
        <v>1813</v>
      </c>
      <c r="G28" s="17">
        <v>1000</v>
      </c>
      <c r="H28" s="17">
        <v>0</v>
      </c>
      <c r="I28" s="35" t="s">
        <v>1814</v>
      </c>
      <c r="J28" s="35"/>
      <c r="K28" s="36"/>
      <c r="L28" s="35"/>
      <c r="M28" s="35"/>
      <c r="N28" s="17"/>
      <c r="O28" s="17"/>
      <c r="P28" s="44"/>
    </row>
    <row r="29" customHeight="1" spans="1:16">
      <c r="A29" s="35" t="s">
        <v>1808</v>
      </c>
      <c r="B29" s="36" t="s">
        <v>1791</v>
      </c>
      <c r="C29" s="35" t="s">
        <v>1832</v>
      </c>
      <c r="D29" s="35" t="s">
        <v>1811</v>
      </c>
      <c r="E29" s="36" t="s">
        <v>1789</v>
      </c>
      <c r="F29" s="35" t="s">
        <v>1813</v>
      </c>
      <c r="G29" s="17">
        <v>400</v>
      </c>
      <c r="H29" s="17">
        <v>0</v>
      </c>
      <c r="I29" s="35" t="s">
        <v>1814</v>
      </c>
      <c r="J29" s="35"/>
      <c r="K29" s="36"/>
      <c r="L29" s="35"/>
      <c r="M29" s="35"/>
      <c r="N29" s="17"/>
      <c r="O29" s="17"/>
      <c r="P29" s="44"/>
    </row>
  </sheetData>
  <mergeCells count="10">
    <mergeCell ref="A2:P2"/>
    <mergeCell ref="A3:B3"/>
    <mergeCell ref="D4:H4"/>
    <mergeCell ref="J4:O4"/>
    <mergeCell ref="A6:F6"/>
    <mergeCell ref="A4:A5"/>
    <mergeCell ref="B4:B5"/>
    <mergeCell ref="C4:C5"/>
    <mergeCell ref="I4:I5"/>
    <mergeCell ref="P4:P5"/>
  </mergeCells>
  <dataValidations count="4">
    <dataValidation type="list" allowBlank="1" showInputMessage="1" showErrorMessage="1" sqref="F7:F29 M7:M19">
      <formula1>"未开工,在建,已竣工"</formula1>
    </dataValidation>
    <dataValidation type="list" allowBlank="1" showInputMessage="1" showErrorMessage="1" sqref="I7:I16">
      <formula1>"项目短期内难以继续建设实施,项目实施过程重大变化导致资金需求减少,项目竣工债券资金结余,按照监督检查和审计等意见调整,其他需要调整情形"</formula1>
    </dataValidation>
    <dataValidation type="list" allowBlank="1" showInputMessage="1" showErrorMessage="1" sqref="L2:L4">
      <formula1>"无收益公益性项目,土储项目,棚改项目,其他专项债券项目"</formula1>
    </dataValidation>
    <dataValidation allowBlank="1" showInputMessage="1" showErrorMessage="1" sqref="L7:L16"/>
  </dataValidations>
  <printOptions horizontalCentered="1"/>
  <pageMargins left="0.393055555555556" right="0.393055555555556" top="0.590277777777778" bottom="0.590277777777778" header="0.196527777777778" footer="0.196527777777778"/>
  <pageSetup paperSize="9" scale="49" fitToHeight="0" orientation="landscape" horizontalDpi="600"/>
  <headerFooter alignWithMargins="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B1" sqref="B1"/>
    </sheetView>
  </sheetViews>
  <sheetFormatPr defaultColWidth="9" defaultRowHeight="30" customHeight="1" outlineLevelCol="6"/>
  <cols>
    <col min="1" max="1" width="35.625" style="1" customWidth="1"/>
    <col min="2" max="2" width="40.625" style="2" customWidth="1"/>
    <col min="3" max="3" width="15.625" style="2" customWidth="1"/>
    <col min="4" max="5" width="35.625" style="3" customWidth="1"/>
    <col min="6" max="6" width="15.625" style="2" customWidth="1"/>
    <col min="7" max="7" width="15.625" style="1" customWidth="1"/>
    <col min="8" max="9" width="9" style="1"/>
    <col min="10" max="10" width="11.5" style="1"/>
    <col min="11" max="16375" width="9" style="1"/>
    <col min="16376" max="16384" width="9" style="4"/>
  </cols>
  <sheetData>
    <row r="1" s="1" customFormat="1" ht="20" customHeight="1" spans="1:6">
      <c r="A1" s="5" t="s">
        <v>1834</v>
      </c>
      <c r="B1" s="2"/>
      <c r="C1" s="2"/>
      <c r="D1" s="3"/>
      <c r="E1" s="3"/>
      <c r="F1" s="2"/>
    </row>
    <row r="2" s="1" customFormat="1" customHeight="1" spans="1:7">
      <c r="A2" s="6" t="s">
        <v>1835</v>
      </c>
      <c r="B2" s="6"/>
      <c r="C2" s="6"/>
      <c r="D2" s="6"/>
      <c r="E2" s="7"/>
      <c r="F2" s="7"/>
      <c r="G2" s="7"/>
    </row>
    <row r="3" ht="20" customHeight="1" spans="1:4">
      <c r="A3" s="8"/>
      <c r="B3" s="8"/>
      <c r="C3" s="8"/>
      <c r="D3" s="9" t="s">
        <v>27</v>
      </c>
    </row>
    <row r="4" customHeight="1" spans="1:4">
      <c r="A4" s="10" t="s">
        <v>613</v>
      </c>
      <c r="B4" s="10" t="s">
        <v>614</v>
      </c>
      <c r="C4" s="11" t="s">
        <v>1729</v>
      </c>
      <c r="D4" s="12" t="s">
        <v>34</v>
      </c>
    </row>
    <row r="5" customHeight="1" spans="1:4">
      <c r="A5" s="13" t="s">
        <v>1836</v>
      </c>
      <c r="B5" s="13"/>
      <c r="C5" s="14">
        <f>SUM(C6:C9)</f>
        <v>5545.523</v>
      </c>
      <c r="D5" s="15"/>
    </row>
    <row r="6" customHeight="1" spans="1:4">
      <c r="A6" s="16" t="s">
        <v>1103</v>
      </c>
      <c r="B6" s="16" t="s">
        <v>1837</v>
      </c>
      <c r="C6" s="17">
        <v>2065</v>
      </c>
      <c r="D6" s="16" t="s">
        <v>1838</v>
      </c>
    </row>
    <row r="7" customHeight="1" spans="1:4">
      <c r="A7" s="16" t="s">
        <v>1191</v>
      </c>
      <c r="B7" s="16" t="s">
        <v>1839</v>
      </c>
      <c r="C7" s="17">
        <v>479</v>
      </c>
      <c r="D7" s="16" t="s">
        <v>1840</v>
      </c>
    </row>
    <row r="8" customHeight="1" spans="1:4">
      <c r="A8" s="16" t="s">
        <v>1841</v>
      </c>
      <c r="B8" s="16" t="s">
        <v>1842</v>
      </c>
      <c r="C8" s="17">
        <v>2990</v>
      </c>
      <c r="D8" s="16"/>
    </row>
    <row r="9" customHeight="1" spans="1:4">
      <c r="A9" s="16" t="s">
        <v>1191</v>
      </c>
      <c r="B9" s="16" t="s">
        <v>1843</v>
      </c>
      <c r="C9" s="17">
        <v>11.523</v>
      </c>
      <c r="D9" s="16"/>
    </row>
    <row r="10" customHeight="1" spans="1:4">
      <c r="A10" s="18" t="s">
        <v>1844</v>
      </c>
      <c r="B10" s="18"/>
      <c r="C10" s="14">
        <f>SUM(C11:C11)</f>
        <v>5533.7814</v>
      </c>
      <c r="D10" s="19"/>
    </row>
    <row r="11" customHeight="1" spans="1:4">
      <c r="A11" s="16" t="s">
        <v>1103</v>
      </c>
      <c r="B11" s="16" t="s">
        <v>1845</v>
      </c>
      <c r="C11" s="17">
        <v>5533.7814</v>
      </c>
      <c r="D11" s="20"/>
    </row>
    <row r="12" customHeight="1" spans="1:4">
      <c r="A12" s="18" t="s">
        <v>1846</v>
      </c>
      <c r="B12" s="18"/>
      <c r="C12" s="14">
        <f>C5-C10</f>
        <v>11.7416000000003</v>
      </c>
      <c r="D12" s="21" t="s">
        <v>1847</v>
      </c>
    </row>
  </sheetData>
  <mergeCells count="4">
    <mergeCell ref="A2:D2"/>
    <mergeCell ref="A5:B5"/>
    <mergeCell ref="A10:B10"/>
    <mergeCell ref="A12:B12"/>
  </mergeCells>
  <printOptions horizontalCentered="1"/>
  <pageMargins left="0.393055555555556" right="0.393055555555556" top="0.590277777777778" bottom="0.590277777777778" header="0.196527777777778" footer="0.196527777777778"/>
  <pageSetup paperSize="9"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2"/>
  <sheetViews>
    <sheetView view="pageBreakPreview" zoomScaleNormal="100" topLeftCell="A15" workbookViewId="0">
      <selection activeCell="B1" sqref="B1"/>
    </sheetView>
  </sheetViews>
  <sheetFormatPr defaultColWidth="8.8" defaultRowHeight="25" customHeight="1"/>
  <cols>
    <col min="1" max="1" width="100.625" customWidth="1"/>
  </cols>
  <sheetData>
    <row r="1" ht="50" customHeight="1" spans="1:1">
      <c r="A1" s="109" t="s">
        <v>3</v>
      </c>
    </row>
    <row r="2" customHeight="1" spans="1:1">
      <c r="A2" s="351" t="s">
        <v>4</v>
      </c>
    </row>
    <row r="3" customHeight="1" spans="1:1">
      <c r="A3" s="352" t="s">
        <v>5</v>
      </c>
    </row>
    <row r="4" customHeight="1" spans="1:1">
      <c r="A4" s="352" t="s">
        <v>6</v>
      </c>
    </row>
    <row r="5" customHeight="1" spans="1:1">
      <c r="A5" s="352" t="s">
        <v>7</v>
      </c>
    </row>
    <row r="6" customHeight="1" spans="1:1">
      <c r="A6" s="352" t="s">
        <v>8</v>
      </c>
    </row>
    <row r="7" customHeight="1" spans="1:1">
      <c r="A7" s="351" t="s">
        <v>9</v>
      </c>
    </row>
    <row r="8" customHeight="1" spans="1:1">
      <c r="A8" s="352" t="s">
        <v>10</v>
      </c>
    </row>
    <row r="9" customHeight="1" spans="1:1">
      <c r="A9" s="352" t="s">
        <v>11</v>
      </c>
    </row>
    <row r="10" customHeight="1" spans="1:1">
      <c r="A10" s="352" t="s">
        <v>12</v>
      </c>
    </row>
    <row r="11" customHeight="1" spans="1:1">
      <c r="A11" s="352" t="s">
        <v>13</v>
      </c>
    </row>
    <row r="12" customHeight="1" spans="1:1">
      <c r="A12" s="351" t="s">
        <v>14</v>
      </c>
    </row>
    <row r="13" customHeight="1" spans="1:1">
      <c r="A13" s="352" t="s">
        <v>15</v>
      </c>
    </row>
    <row r="14" customHeight="1" spans="1:1">
      <c r="A14" s="352" t="s">
        <v>16</v>
      </c>
    </row>
    <row r="15" customHeight="1" spans="1:1">
      <c r="A15" s="351" t="s">
        <v>17</v>
      </c>
    </row>
    <row r="16" customHeight="1" spans="1:1">
      <c r="A16" s="352" t="s">
        <v>18</v>
      </c>
    </row>
    <row r="17" customHeight="1" spans="1:1">
      <c r="A17" s="352" t="s">
        <v>19</v>
      </c>
    </row>
    <row r="18" customHeight="1" spans="1:1">
      <c r="A18" s="351" t="s">
        <v>20</v>
      </c>
    </row>
    <row r="19" customHeight="1" spans="1:1">
      <c r="A19" s="352" t="s">
        <v>21</v>
      </c>
    </row>
    <row r="20" customHeight="1" spans="1:1">
      <c r="A20" s="352" t="s">
        <v>22</v>
      </c>
    </row>
    <row r="21" customHeight="1" spans="1:1">
      <c r="A21" s="352" t="s">
        <v>23</v>
      </c>
    </row>
    <row r="22" customHeight="1" spans="1:1">
      <c r="A22" s="352" t="s">
        <v>24</v>
      </c>
    </row>
  </sheetData>
  <printOptions horizontalCentered="1"/>
  <pageMargins left="0.393055555555556" right="0.393055555555556" top="0.590277777777778" bottom="0.590277777777778" header="0.196527777777778" footer="0.196527777777778"/>
  <pageSetup paperSize="9" scale="86"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1"/>
  <sheetViews>
    <sheetView showZeros="0" view="pageBreakPreview" zoomScaleNormal="100" topLeftCell="A50" workbookViewId="0">
      <selection activeCell="K52" sqref="K52:N54"/>
    </sheetView>
  </sheetViews>
  <sheetFormatPr defaultColWidth="9" defaultRowHeight="30" customHeight="1"/>
  <cols>
    <col min="1" max="1" width="35.625" style="131" customWidth="1"/>
    <col min="2" max="2" width="10.625" style="131" customWidth="1"/>
    <col min="3" max="3" width="10.625" style="219" customWidth="1"/>
    <col min="4" max="7" width="10.625" style="219" hidden="1" customWidth="1"/>
    <col min="8" max="11" width="10.625" style="219" customWidth="1"/>
    <col min="12" max="13" width="10.625" style="338" customWidth="1"/>
    <col min="14" max="14" width="40.625" style="131" customWidth="1"/>
    <col min="15" max="15" width="1.875" style="339" hidden="1" customWidth="1"/>
    <col min="16" max="16" width="12.625" style="339"/>
    <col min="17" max="16384" width="9" style="339"/>
  </cols>
  <sheetData>
    <row r="1" ht="20" customHeight="1" spans="1:1">
      <c r="A1" s="218" t="s">
        <v>25</v>
      </c>
    </row>
    <row r="2" customHeight="1" spans="1:14">
      <c r="A2" s="27" t="s">
        <v>26</v>
      </c>
      <c r="B2" s="27"/>
      <c r="C2" s="27"/>
      <c r="D2" s="27"/>
      <c r="E2" s="27"/>
      <c r="F2" s="27"/>
      <c r="G2" s="27"/>
      <c r="H2" s="27"/>
      <c r="I2" s="27"/>
      <c r="J2" s="27"/>
      <c r="K2" s="27"/>
      <c r="L2" s="345"/>
      <c r="M2" s="345"/>
      <c r="N2" s="27"/>
    </row>
    <row r="3" s="336" customFormat="1" ht="20" customHeight="1" spans="1:14">
      <c r="A3" s="158"/>
      <c r="B3" s="158"/>
      <c r="C3" s="340"/>
      <c r="D3" s="340"/>
      <c r="E3" s="340"/>
      <c r="F3" s="340"/>
      <c r="G3" s="340"/>
      <c r="H3" s="340"/>
      <c r="I3" s="340"/>
      <c r="J3" s="340"/>
      <c r="K3" s="340"/>
      <c r="L3" s="346"/>
      <c r="M3" s="346"/>
      <c r="N3" s="192" t="s">
        <v>27</v>
      </c>
    </row>
    <row r="4" s="104" customFormat="1" customHeight="1" spans="1:14">
      <c r="A4" s="30" t="s">
        <v>28</v>
      </c>
      <c r="B4" s="30" t="s">
        <v>29</v>
      </c>
      <c r="C4" s="30"/>
      <c r="D4" s="341" t="s">
        <v>30</v>
      </c>
      <c r="E4" s="341"/>
      <c r="F4" s="341"/>
      <c r="G4" s="341"/>
      <c r="H4" s="30" t="s">
        <v>31</v>
      </c>
      <c r="I4" s="30"/>
      <c r="J4" s="30" t="s">
        <v>32</v>
      </c>
      <c r="K4" s="30"/>
      <c r="L4" s="347" t="s">
        <v>33</v>
      </c>
      <c r="M4" s="347"/>
      <c r="N4" s="30" t="s">
        <v>34</v>
      </c>
    </row>
    <row r="5" s="104" customFormat="1" customHeight="1" spans="1:14">
      <c r="A5" s="30"/>
      <c r="B5" s="342"/>
      <c r="C5" s="342"/>
      <c r="D5" s="341"/>
      <c r="E5" s="341"/>
      <c r="F5" s="341"/>
      <c r="G5" s="341"/>
      <c r="H5" s="30"/>
      <c r="I5" s="30"/>
      <c r="J5" s="30"/>
      <c r="K5" s="30"/>
      <c r="L5" s="348"/>
      <c r="M5" s="348"/>
      <c r="N5" s="30"/>
    </row>
    <row r="6" s="104" customFormat="1" customHeight="1" spans="1:14">
      <c r="A6" s="30"/>
      <c r="B6" s="30" t="s">
        <v>35</v>
      </c>
      <c r="C6" s="273" t="s">
        <v>36</v>
      </c>
      <c r="D6" s="273"/>
      <c r="E6" s="273"/>
      <c r="F6" s="273"/>
      <c r="G6" s="273"/>
      <c r="H6" s="273" t="s">
        <v>35</v>
      </c>
      <c r="I6" s="273" t="s">
        <v>36</v>
      </c>
      <c r="J6" s="273" t="s">
        <v>35</v>
      </c>
      <c r="K6" s="273" t="s">
        <v>36</v>
      </c>
      <c r="L6" s="347" t="s">
        <v>35</v>
      </c>
      <c r="M6" s="349" t="s">
        <v>36</v>
      </c>
      <c r="N6" s="30"/>
    </row>
    <row r="7" s="337" customFormat="1" customHeight="1" spans="1:14">
      <c r="A7" s="274" t="s">
        <v>37</v>
      </c>
      <c r="B7" s="343">
        <f t="shared" ref="B7:K7" si="0">SUM(B8:B23)</f>
        <v>242262.8341842</v>
      </c>
      <c r="C7" s="343">
        <f t="shared" si="0"/>
        <v>38772.52760804</v>
      </c>
      <c r="D7" s="343">
        <f t="shared" si="0"/>
        <v>173363</v>
      </c>
      <c r="E7" s="343">
        <f t="shared" si="0"/>
        <v>29580</v>
      </c>
      <c r="F7" s="343">
        <f t="shared" si="0"/>
        <v>20203</v>
      </c>
      <c r="G7" s="343">
        <f t="shared" si="0"/>
        <v>4109.25</v>
      </c>
      <c r="H7" s="343">
        <f t="shared" si="0"/>
        <v>-48696.8341842</v>
      </c>
      <c r="I7" s="343">
        <f t="shared" si="0"/>
        <v>-5083.27760804</v>
      </c>
      <c r="J7" s="343">
        <f t="shared" si="0"/>
        <v>193566</v>
      </c>
      <c r="K7" s="343">
        <f t="shared" si="0"/>
        <v>33689.25</v>
      </c>
      <c r="L7" s="343">
        <f>IF(B7=0,IF(J7=0,0,100),100*(J7/B7-1))</f>
        <v>-20.1008274125837</v>
      </c>
      <c r="M7" s="343">
        <f>IF(C7=0,IF(K7=0,0,100),100*(K7/C7-1))</f>
        <v>-13.1105138654564</v>
      </c>
      <c r="N7" s="281"/>
    </row>
    <row r="8" customHeight="1" spans="1:15">
      <c r="A8" s="360" t="s">
        <v>38</v>
      </c>
      <c r="B8" s="228">
        <v>113449.98052272</v>
      </c>
      <c r="C8" s="228">
        <v>14181.24756534</v>
      </c>
      <c r="D8" s="228">
        <v>90826</v>
      </c>
      <c r="E8" s="228">
        <v>12366</v>
      </c>
      <c r="F8" s="228">
        <v>12410</v>
      </c>
      <c r="G8" s="228">
        <f>F8*0.125+287</f>
        <v>1838.25</v>
      </c>
      <c r="H8" s="228">
        <f>J8-B8</f>
        <v>-10213.98052272</v>
      </c>
      <c r="I8" s="228">
        <f>K8-C8</f>
        <v>23.0024346600003</v>
      </c>
      <c r="J8" s="228">
        <f>F8+D8</f>
        <v>103236</v>
      </c>
      <c r="K8" s="228">
        <f>G8+E8</f>
        <v>14204.25</v>
      </c>
      <c r="L8" s="228">
        <f t="shared" ref="L8:L51" si="1">IF(B8=0,IF(J8=0,0,100),100*(J8/B8-1))</f>
        <v>-9.00306943699695</v>
      </c>
      <c r="M8" s="228">
        <f t="shared" ref="M8:M51" si="2">IF(C8=0,IF(K8=0,0,100),100*(K8/C8-1))</f>
        <v>0.162203181024911</v>
      </c>
      <c r="N8" s="281"/>
      <c r="O8" s="350" t="s">
        <v>39</v>
      </c>
    </row>
    <row r="9" customHeight="1" spans="1:14">
      <c r="A9" s="360" t="s">
        <v>40</v>
      </c>
      <c r="B9" s="228">
        <v>10.55055948</v>
      </c>
      <c r="C9" s="228"/>
      <c r="D9" s="228">
        <v>36</v>
      </c>
      <c r="E9" s="228"/>
      <c r="F9" s="228"/>
      <c r="G9" s="228"/>
      <c r="H9" s="228">
        <f t="shared" ref="H9:H23" si="3">J9-B9</f>
        <v>25.44944052</v>
      </c>
      <c r="I9" s="228">
        <f t="shared" ref="I9:I23" si="4">K9-C9</f>
        <v>0</v>
      </c>
      <c r="J9" s="228">
        <f t="shared" ref="J9:J39" si="5">F9+D9</f>
        <v>36</v>
      </c>
      <c r="K9" s="228">
        <f t="shared" ref="K9:K39" si="6">G9+E9</f>
        <v>0</v>
      </c>
      <c r="L9" s="228">
        <f t="shared" si="1"/>
        <v>241.214132466082</v>
      </c>
      <c r="M9" s="228">
        <f t="shared" si="2"/>
        <v>0</v>
      </c>
      <c r="N9" s="281"/>
    </row>
    <row r="10" customHeight="1" spans="1:15">
      <c r="A10" s="360" t="s">
        <v>41</v>
      </c>
      <c r="B10" s="228">
        <v>573.9334437</v>
      </c>
      <c r="C10" s="228"/>
      <c r="D10" s="228">
        <v>668</v>
      </c>
      <c r="E10" s="228"/>
      <c r="F10" s="228">
        <v>60</v>
      </c>
      <c r="G10" s="228"/>
      <c r="H10" s="228">
        <f t="shared" si="3"/>
        <v>154.0665563</v>
      </c>
      <c r="I10" s="228">
        <f t="shared" si="4"/>
        <v>0</v>
      </c>
      <c r="J10" s="228">
        <f t="shared" si="5"/>
        <v>728</v>
      </c>
      <c r="K10" s="228">
        <f t="shared" si="6"/>
        <v>0</v>
      </c>
      <c r="L10" s="228">
        <f t="shared" si="1"/>
        <v>26.8439760726911</v>
      </c>
      <c r="M10" s="228">
        <f t="shared" si="2"/>
        <v>0</v>
      </c>
      <c r="N10" s="281"/>
      <c r="O10" s="350" t="s">
        <v>42</v>
      </c>
    </row>
    <row r="11" customHeight="1" spans="1:15">
      <c r="A11" s="360" t="s">
        <v>43</v>
      </c>
      <c r="B11" s="228">
        <v>62768.6182878</v>
      </c>
      <c r="C11" s="228">
        <v>6276.86182878</v>
      </c>
      <c r="D11" s="228">
        <v>34529</v>
      </c>
      <c r="E11" s="228">
        <v>3357</v>
      </c>
      <c r="F11" s="228">
        <v>180</v>
      </c>
      <c r="G11" s="228">
        <f>F11*0.1</f>
        <v>18</v>
      </c>
      <c r="H11" s="228">
        <f t="shared" si="3"/>
        <v>-28059.6182878</v>
      </c>
      <c r="I11" s="228">
        <f t="shared" si="4"/>
        <v>-2901.86182878</v>
      </c>
      <c r="J11" s="228">
        <f t="shared" si="5"/>
        <v>34709</v>
      </c>
      <c r="K11" s="228">
        <f t="shared" si="6"/>
        <v>3375</v>
      </c>
      <c r="L11" s="228">
        <f t="shared" si="1"/>
        <v>-44.7032594522696</v>
      </c>
      <c r="M11" s="228">
        <f t="shared" si="2"/>
        <v>-46.2310929878158</v>
      </c>
      <c r="N11" s="281"/>
      <c r="O11" s="350" t="s">
        <v>39</v>
      </c>
    </row>
    <row r="12" customHeight="1" spans="1:15">
      <c r="A12" s="360" t="s">
        <v>44</v>
      </c>
      <c r="B12" s="228">
        <v>9719.0587298</v>
      </c>
      <c r="C12" s="228">
        <v>971.90587298</v>
      </c>
      <c r="D12" s="228">
        <v>7882</v>
      </c>
      <c r="E12" s="228">
        <v>788</v>
      </c>
      <c r="F12" s="228">
        <v>550</v>
      </c>
      <c r="G12" s="228">
        <f>F12*0.1</f>
        <v>55</v>
      </c>
      <c r="H12" s="228">
        <f t="shared" si="3"/>
        <v>-1287.0587298</v>
      </c>
      <c r="I12" s="228">
        <f t="shared" si="4"/>
        <v>-128.90587298</v>
      </c>
      <c r="J12" s="228">
        <f t="shared" si="5"/>
        <v>8432</v>
      </c>
      <c r="K12" s="228">
        <f t="shared" si="6"/>
        <v>843</v>
      </c>
      <c r="L12" s="228">
        <f t="shared" si="1"/>
        <v>-13.2426273529318</v>
      </c>
      <c r="M12" s="228">
        <f t="shared" si="2"/>
        <v>-13.2632054773737</v>
      </c>
      <c r="N12" s="281"/>
      <c r="O12" s="350" t="s">
        <v>39</v>
      </c>
    </row>
    <row r="13" customHeight="1" spans="1:15">
      <c r="A13" s="360" t="s">
        <v>45</v>
      </c>
      <c r="B13" s="228">
        <v>657.33441542</v>
      </c>
      <c r="C13" s="228">
        <v>657.33441542</v>
      </c>
      <c r="D13" s="228">
        <v>317</v>
      </c>
      <c r="E13" s="228">
        <v>317</v>
      </c>
      <c r="F13" s="228">
        <v>45</v>
      </c>
      <c r="G13" s="228">
        <f>F13/2</f>
        <v>22.5</v>
      </c>
      <c r="H13" s="228">
        <f t="shared" si="3"/>
        <v>-295.33441542</v>
      </c>
      <c r="I13" s="228">
        <f t="shared" si="4"/>
        <v>-317.83441542</v>
      </c>
      <c r="J13" s="228">
        <f t="shared" si="5"/>
        <v>362</v>
      </c>
      <c r="K13" s="228">
        <f t="shared" si="6"/>
        <v>339.5</v>
      </c>
      <c r="L13" s="228">
        <f t="shared" si="1"/>
        <v>-44.9290967416179</v>
      </c>
      <c r="M13" s="228">
        <f t="shared" si="2"/>
        <v>-48.3520119993902</v>
      </c>
      <c r="N13" s="281"/>
      <c r="O13" s="350" t="s">
        <v>46</v>
      </c>
    </row>
    <row r="14" customHeight="1" spans="1:15">
      <c r="A14" s="360" t="s">
        <v>47</v>
      </c>
      <c r="B14" s="228">
        <v>7268.2101412</v>
      </c>
      <c r="C14" s="228">
        <v>3634.1050706</v>
      </c>
      <c r="D14" s="228">
        <v>5955</v>
      </c>
      <c r="E14" s="228">
        <v>2977</v>
      </c>
      <c r="F14" s="228">
        <v>700</v>
      </c>
      <c r="G14" s="228">
        <f>F14/2</f>
        <v>350</v>
      </c>
      <c r="H14" s="228">
        <f t="shared" si="3"/>
        <v>-613.2101412</v>
      </c>
      <c r="I14" s="228">
        <f t="shared" si="4"/>
        <v>-307.1050706</v>
      </c>
      <c r="J14" s="228">
        <f t="shared" si="5"/>
        <v>6655</v>
      </c>
      <c r="K14" s="228">
        <f t="shared" si="6"/>
        <v>3327</v>
      </c>
      <c r="L14" s="228">
        <f t="shared" si="1"/>
        <v>-8.436879634561</v>
      </c>
      <c r="M14" s="228">
        <f t="shared" si="2"/>
        <v>-8.45063818007046</v>
      </c>
      <c r="N14" s="281"/>
      <c r="O14" s="350" t="s">
        <v>39</v>
      </c>
    </row>
    <row r="15" customHeight="1" spans="1:15">
      <c r="A15" s="360" t="s">
        <v>48</v>
      </c>
      <c r="B15" s="228">
        <v>7650.21625052</v>
      </c>
      <c r="C15" s="228">
        <v>3825.10812526</v>
      </c>
      <c r="D15" s="228">
        <v>6236</v>
      </c>
      <c r="E15" s="228">
        <v>3118</v>
      </c>
      <c r="F15" s="228">
        <v>3116</v>
      </c>
      <c r="G15" s="228">
        <f>F15/2</f>
        <v>1558</v>
      </c>
      <c r="H15" s="228">
        <f t="shared" si="3"/>
        <v>1701.78374948</v>
      </c>
      <c r="I15" s="228">
        <f t="shared" si="4"/>
        <v>850.89187474</v>
      </c>
      <c r="J15" s="228">
        <f t="shared" si="5"/>
        <v>9352</v>
      </c>
      <c r="K15" s="228">
        <f t="shared" si="6"/>
        <v>4676</v>
      </c>
      <c r="L15" s="228">
        <f t="shared" si="1"/>
        <v>22.2449103888315</v>
      </c>
      <c r="M15" s="228">
        <f t="shared" si="2"/>
        <v>22.2449103888315</v>
      </c>
      <c r="N15" s="281"/>
      <c r="O15" s="350" t="s">
        <v>39</v>
      </c>
    </row>
    <row r="16" customHeight="1" spans="1:15">
      <c r="A16" s="360" t="s">
        <v>49</v>
      </c>
      <c r="B16" s="228">
        <v>2958.51797034</v>
      </c>
      <c r="C16" s="228">
        <v>2958.51797034</v>
      </c>
      <c r="D16" s="228">
        <v>2305</v>
      </c>
      <c r="E16" s="228">
        <v>2305</v>
      </c>
      <c r="F16" s="228">
        <v>65</v>
      </c>
      <c r="G16" s="228">
        <v>65</v>
      </c>
      <c r="H16" s="228">
        <f t="shared" si="3"/>
        <v>-588.51797034</v>
      </c>
      <c r="I16" s="228">
        <f t="shared" si="4"/>
        <v>-588.51797034</v>
      </c>
      <c r="J16" s="228">
        <f t="shared" si="5"/>
        <v>2370</v>
      </c>
      <c r="K16" s="228">
        <f t="shared" si="6"/>
        <v>2370</v>
      </c>
      <c r="L16" s="228">
        <f t="shared" si="1"/>
        <v>-19.8923236647559</v>
      </c>
      <c r="M16" s="228">
        <f t="shared" si="2"/>
        <v>-19.8923236647559</v>
      </c>
      <c r="N16" s="281"/>
      <c r="O16" s="350" t="s">
        <v>46</v>
      </c>
    </row>
    <row r="17" customHeight="1" spans="1:15">
      <c r="A17" s="360" t="s">
        <v>50</v>
      </c>
      <c r="B17" s="228">
        <v>4225.56915576</v>
      </c>
      <c r="C17" s="228"/>
      <c r="D17" s="228">
        <v>2331</v>
      </c>
      <c r="E17" s="228"/>
      <c r="F17" s="228">
        <v>1800</v>
      </c>
      <c r="G17" s="228"/>
      <c r="H17" s="228">
        <f t="shared" si="3"/>
        <v>-94.5691557600003</v>
      </c>
      <c r="I17" s="228">
        <f t="shared" si="4"/>
        <v>0</v>
      </c>
      <c r="J17" s="228">
        <f t="shared" si="5"/>
        <v>4131</v>
      </c>
      <c r="K17" s="228">
        <f t="shared" si="6"/>
        <v>0</v>
      </c>
      <c r="L17" s="228">
        <f t="shared" si="1"/>
        <v>-2.23802172616416</v>
      </c>
      <c r="M17" s="228">
        <f t="shared" si="2"/>
        <v>0</v>
      </c>
      <c r="N17" s="281"/>
      <c r="O17" s="350" t="s">
        <v>42</v>
      </c>
    </row>
    <row r="18" customHeight="1" spans="1:15">
      <c r="A18" s="360" t="s">
        <v>51</v>
      </c>
      <c r="B18" s="228">
        <v>23810.25748784</v>
      </c>
      <c r="C18" s="228">
        <v>5952.56437196</v>
      </c>
      <c r="D18" s="228">
        <v>11737</v>
      </c>
      <c r="E18" s="228">
        <v>2934</v>
      </c>
      <c r="F18" s="228">
        <v>700</v>
      </c>
      <c r="G18" s="228">
        <f>F18*0.25</f>
        <v>175</v>
      </c>
      <c r="H18" s="228">
        <f t="shared" si="3"/>
        <v>-11373.25748784</v>
      </c>
      <c r="I18" s="228">
        <f t="shared" si="4"/>
        <v>-2843.56437196</v>
      </c>
      <c r="J18" s="228">
        <f t="shared" si="5"/>
        <v>12437</v>
      </c>
      <c r="K18" s="228">
        <f t="shared" si="6"/>
        <v>3109</v>
      </c>
      <c r="L18" s="228">
        <f t="shared" si="1"/>
        <v>-47.7662095575756</v>
      </c>
      <c r="M18" s="228">
        <f t="shared" si="2"/>
        <v>-47.7704094281588</v>
      </c>
      <c r="N18" s="281"/>
      <c r="O18" s="350" t="s">
        <v>39</v>
      </c>
    </row>
    <row r="19" customHeight="1" spans="1:15">
      <c r="A19" s="360" t="s">
        <v>52</v>
      </c>
      <c r="B19" s="228">
        <v>3.5710976</v>
      </c>
      <c r="C19" s="228"/>
      <c r="D19" s="228">
        <v>3</v>
      </c>
      <c r="E19" s="228"/>
      <c r="F19" s="228"/>
      <c r="G19" s="228"/>
      <c r="H19" s="228">
        <f t="shared" si="3"/>
        <v>-0.5710976</v>
      </c>
      <c r="I19" s="228">
        <f t="shared" si="4"/>
        <v>0</v>
      </c>
      <c r="J19" s="228">
        <f t="shared" si="5"/>
        <v>3</v>
      </c>
      <c r="K19" s="228">
        <f t="shared" si="6"/>
        <v>0</v>
      </c>
      <c r="L19" s="228">
        <f t="shared" si="1"/>
        <v>-15.9922148305328</v>
      </c>
      <c r="M19" s="228">
        <f t="shared" si="2"/>
        <v>0</v>
      </c>
      <c r="N19" s="281"/>
      <c r="O19" s="350" t="s">
        <v>42</v>
      </c>
    </row>
    <row r="20" customHeight="1" spans="1:15">
      <c r="A20" s="360" t="s">
        <v>53</v>
      </c>
      <c r="B20" s="228">
        <v>197.1388</v>
      </c>
      <c r="C20" s="228">
        <v>98.5694</v>
      </c>
      <c r="D20" s="228">
        <v>2505</v>
      </c>
      <c r="E20" s="228">
        <v>1252</v>
      </c>
      <c r="F20" s="228">
        <v>55</v>
      </c>
      <c r="G20" s="228">
        <f>F20/2</f>
        <v>27.5</v>
      </c>
      <c r="H20" s="228">
        <f t="shared" si="3"/>
        <v>2362.8612</v>
      </c>
      <c r="I20" s="228">
        <f t="shared" si="4"/>
        <v>1180.9306</v>
      </c>
      <c r="J20" s="228">
        <f t="shared" si="5"/>
        <v>2560</v>
      </c>
      <c r="K20" s="228">
        <f t="shared" si="6"/>
        <v>1279.5</v>
      </c>
      <c r="L20" s="228">
        <f t="shared" si="1"/>
        <v>1198.57744898518</v>
      </c>
      <c r="M20" s="228">
        <f t="shared" si="2"/>
        <v>1198.07019216917</v>
      </c>
      <c r="N20" s="281"/>
      <c r="O20" s="350" t="s">
        <v>39</v>
      </c>
    </row>
    <row r="21" customHeight="1" spans="1:15">
      <c r="A21" s="360" t="s">
        <v>54</v>
      </c>
      <c r="B21" s="228">
        <v>8229.43290382</v>
      </c>
      <c r="C21" s="228"/>
      <c r="D21" s="228">
        <v>7696</v>
      </c>
      <c r="E21" s="228"/>
      <c r="F21" s="228">
        <v>522</v>
      </c>
      <c r="G21" s="228"/>
      <c r="H21" s="228">
        <f t="shared" si="3"/>
        <v>-11.4329038199994</v>
      </c>
      <c r="I21" s="228">
        <f t="shared" si="4"/>
        <v>0</v>
      </c>
      <c r="J21" s="228">
        <f t="shared" si="5"/>
        <v>8218</v>
      </c>
      <c r="K21" s="228">
        <f t="shared" si="6"/>
        <v>0</v>
      </c>
      <c r="L21" s="228">
        <f t="shared" si="1"/>
        <v>-0.138926994771327</v>
      </c>
      <c r="M21" s="228">
        <f t="shared" si="2"/>
        <v>0</v>
      </c>
      <c r="N21" s="281"/>
      <c r="O21" s="350" t="s">
        <v>42</v>
      </c>
    </row>
    <row r="22" customHeight="1" spans="1:15">
      <c r="A22" s="360" t="s">
        <v>55</v>
      </c>
      <c r="B22" s="228">
        <v>330.0198276</v>
      </c>
      <c r="C22" s="228">
        <v>165.0099138</v>
      </c>
      <c r="D22" s="228">
        <v>330</v>
      </c>
      <c r="E22" s="228">
        <v>165</v>
      </c>
      <c r="F22" s="228"/>
      <c r="G22" s="228"/>
      <c r="H22" s="228">
        <f t="shared" si="3"/>
        <v>-0.0198275999999851</v>
      </c>
      <c r="I22" s="228">
        <f t="shared" si="4"/>
        <v>-0.00991379999999253</v>
      </c>
      <c r="J22" s="228">
        <f t="shared" si="5"/>
        <v>330</v>
      </c>
      <c r="K22" s="228">
        <f t="shared" si="6"/>
        <v>165</v>
      </c>
      <c r="L22" s="228">
        <f t="shared" si="1"/>
        <v>-0.00600800265371237</v>
      </c>
      <c r="M22" s="228">
        <f t="shared" si="2"/>
        <v>-0.00600800265371237</v>
      </c>
      <c r="N22" s="281"/>
      <c r="O22" s="350" t="s">
        <v>39</v>
      </c>
    </row>
    <row r="23" customHeight="1" spans="1:14">
      <c r="A23" s="360" t="s">
        <v>56</v>
      </c>
      <c r="B23" s="228">
        <v>410.4245906</v>
      </c>
      <c r="C23" s="228">
        <v>51.30307356</v>
      </c>
      <c r="D23" s="228">
        <v>7</v>
      </c>
      <c r="E23" s="228">
        <v>1</v>
      </c>
      <c r="F23" s="228"/>
      <c r="G23" s="228"/>
      <c r="H23" s="228">
        <f t="shared" si="3"/>
        <v>-403.4245906</v>
      </c>
      <c r="I23" s="228">
        <f t="shared" si="4"/>
        <v>-50.30307356</v>
      </c>
      <c r="J23" s="228">
        <f t="shared" si="5"/>
        <v>7</v>
      </c>
      <c r="K23" s="228">
        <f t="shared" si="6"/>
        <v>1</v>
      </c>
      <c r="L23" s="228">
        <f t="shared" si="1"/>
        <v>-98.2944491728026</v>
      </c>
      <c r="M23" s="228">
        <f t="shared" si="2"/>
        <v>-98.0507990445631</v>
      </c>
      <c r="N23" s="281"/>
    </row>
    <row r="24" s="337" customFormat="1" customHeight="1" spans="1:14">
      <c r="A24" s="274" t="s">
        <v>57</v>
      </c>
      <c r="B24" s="343">
        <f>SUM(B25:B39)</f>
        <v>10518.5647566229</v>
      </c>
      <c r="C24" s="343">
        <f>SUM(C25:C39)</f>
        <v>6752.02130522</v>
      </c>
      <c r="D24" s="343">
        <f>SUM(D25:D39)</f>
        <v>41470</v>
      </c>
      <c r="E24" s="343">
        <f>SUM(E25:E39)</f>
        <v>32938</v>
      </c>
      <c r="F24" s="343">
        <f t="shared" ref="F24:K24" si="7">SUM(F25:F39)</f>
        <v>479.448214285714</v>
      </c>
      <c r="G24" s="343">
        <f t="shared" si="7"/>
        <v>376.59375</v>
      </c>
      <c r="H24" s="343">
        <f t="shared" si="7"/>
        <v>31430.8834576629</v>
      </c>
      <c r="I24" s="343">
        <f t="shared" si="7"/>
        <v>26562.57244478</v>
      </c>
      <c r="J24" s="343">
        <f t="shared" si="5"/>
        <v>41949.4482142857</v>
      </c>
      <c r="K24" s="343">
        <f t="shared" si="6"/>
        <v>33314.59375</v>
      </c>
      <c r="L24" s="343">
        <f t="shared" si="1"/>
        <v>298.813423550707</v>
      </c>
      <c r="M24" s="343">
        <f t="shared" si="2"/>
        <v>393.401786576776</v>
      </c>
      <c r="N24" s="281"/>
    </row>
    <row r="25" customHeight="1" spans="1:15">
      <c r="A25" s="361" t="s">
        <v>58</v>
      </c>
      <c r="B25" s="228">
        <v>3059.27488068</v>
      </c>
      <c r="C25" s="228">
        <v>1529.63744034</v>
      </c>
      <c r="D25" s="228">
        <v>2597</v>
      </c>
      <c r="E25" s="228">
        <v>1298</v>
      </c>
      <c r="F25" s="228">
        <f>G25*2</f>
        <v>91.9125</v>
      </c>
      <c r="G25" s="228">
        <f>G8*0.025</f>
        <v>45.95625</v>
      </c>
      <c r="H25" s="228">
        <f>J25-B25</f>
        <v>-370.36238068</v>
      </c>
      <c r="I25" s="228">
        <f>K25-C25</f>
        <v>-185.68119034</v>
      </c>
      <c r="J25" s="228">
        <f t="shared" si="5"/>
        <v>2688.9125</v>
      </c>
      <c r="K25" s="228">
        <f t="shared" si="6"/>
        <v>1343.95625</v>
      </c>
      <c r="L25" s="228">
        <f t="shared" si="1"/>
        <v>-12.106214548386</v>
      </c>
      <c r="M25" s="228">
        <f t="shared" si="2"/>
        <v>-12.1389020328064</v>
      </c>
      <c r="N25" s="281"/>
      <c r="O25" s="350" t="s">
        <v>39</v>
      </c>
    </row>
    <row r="26" customHeight="1" spans="1:15">
      <c r="A26" s="361" t="s">
        <v>59</v>
      </c>
      <c r="B26" s="228">
        <v>2041.79234594286</v>
      </c>
      <c r="C26" s="228">
        <v>714.62732108</v>
      </c>
      <c r="D26" s="228">
        <v>1724</v>
      </c>
      <c r="E26" s="228">
        <v>604</v>
      </c>
      <c r="F26" s="228">
        <f>G26/0.35</f>
        <v>87.5357142857143</v>
      </c>
      <c r="G26" s="228">
        <f>G25*2/3</f>
        <v>30.6375</v>
      </c>
      <c r="H26" s="228">
        <f t="shared" ref="H26:H39" si="8">J26-B26</f>
        <v>-230.256631657146</v>
      </c>
      <c r="I26" s="228">
        <f t="shared" ref="I26:I39" si="9">K26-C26</f>
        <v>-79.98982108</v>
      </c>
      <c r="J26" s="228">
        <f t="shared" si="5"/>
        <v>1811.53571428571</v>
      </c>
      <c r="K26" s="228">
        <f t="shared" si="6"/>
        <v>634.6375</v>
      </c>
      <c r="L26" s="228">
        <f t="shared" si="1"/>
        <v>-11.2771816445819</v>
      </c>
      <c r="M26" s="228">
        <f t="shared" si="2"/>
        <v>-11.1932217983372</v>
      </c>
      <c r="N26" s="281"/>
      <c r="O26" s="350" t="s">
        <v>39</v>
      </c>
    </row>
    <row r="27" customHeight="1" spans="1:15">
      <c r="A27" s="361" t="s">
        <v>60</v>
      </c>
      <c r="B27" s="228">
        <v>0</v>
      </c>
      <c r="C27" s="228"/>
      <c r="D27" s="228">
        <v>800</v>
      </c>
      <c r="E27" s="228">
        <v>800</v>
      </c>
      <c r="F27" s="228"/>
      <c r="G27" s="228"/>
      <c r="H27" s="228">
        <f t="shared" si="8"/>
        <v>800</v>
      </c>
      <c r="I27" s="228">
        <f t="shared" si="9"/>
        <v>800</v>
      </c>
      <c r="J27" s="228">
        <f t="shared" si="5"/>
        <v>800</v>
      </c>
      <c r="K27" s="228">
        <f t="shared" si="6"/>
        <v>800</v>
      </c>
      <c r="L27" s="228">
        <f t="shared" si="1"/>
        <v>100</v>
      </c>
      <c r="M27" s="228">
        <f t="shared" si="2"/>
        <v>100</v>
      </c>
      <c r="N27" s="281"/>
      <c r="O27" s="350"/>
    </row>
    <row r="28" customHeight="1" spans="1:15">
      <c r="A28" s="361" t="s">
        <v>61</v>
      </c>
      <c r="B28" s="228"/>
      <c r="C28" s="228"/>
      <c r="D28" s="228">
        <v>49</v>
      </c>
      <c r="E28" s="228"/>
      <c r="F28" s="228"/>
      <c r="G28" s="228"/>
      <c r="H28" s="228">
        <f t="shared" si="8"/>
        <v>49</v>
      </c>
      <c r="I28" s="228">
        <f t="shared" si="9"/>
        <v>0</v>
      </c>
      <c r="J28" s="228">
        <f t="shared" si="5"/>
        <v>49</v>
      </c>
      <c r="K28" s="228">
        <f t="shared" si="6"/>
        <v>0</v>
      </c>
      <c r="L28" s="228">
        <f t="shared" si="1"/>
        <v>100</v>
      </c>
      <c r="M28" s="228">
        <f t="shared" si="2"/>
        <v>0</v>
      </c>
      <c r="N28" s="281"/>
      <c r="O28" s="350"/>
    </row>
    <row r="29" customHeight="1" spans="1:15">
      <c r="A29" s="70" t="s">
        <v>62</v>
      </c>
      <c r="B29" s="228"/>
      <c r="C29" s="228"/>
      <c r="D29" s="228"/>
      <c r="E29" s="228"/>
      <c r="F29" s="228"/>
      <c r="G29" s="228"/>
      <c r="H29" s="228">
        <f t="shared" si="8"/>
        <v>0</v>
      </c>
      <c r="I29" s="228">
        <f t="shared" si="9"/>
        <v>0</v>
      </c>
      <c r="J29" s="228">
        <f t="shared" si="5"/>
        <v>0</v>
      </c>
      <c r="K29" s="228">
        <f t="shared" si="6"/>
        <v>0</v>
      </c>
      <c r="L29" s="228">
        <f t="shared" si="1"/>
        <v>0</v>
      </c>
      <c r="M29" s="228">
        <f t="shared" si="2"/>
        <v>0</v>
      </c>
      <c r="N29" s="281"/>
      <c r="O29" s="350"/>
    </row>
    <row r="30" customHeight="1" spans="1:15">
      <c r="A30" s="70" t="s">
        <v>63</v>
      </c>
      <c r="B30" s="228"/>
      <c r="C30" s="228"/>
      <c r="D30" s="228">
        <v>950</v>
      </c>
      <c r="E30" s="228">
        <v>950</v>
      </c>
      <c r="F30" s="228"/>
      <c r="G30" s="228"/>
      <c r="H30" s="228">
        <f t="shared" si="8"/>
        <v>950</v>
      </c>
      <c r="I30" s="228">
        <f t="shared" si="9"/>
        <v>950</v>
      </c>
      <c r="J30" s="228">
        <f t="shared" si="5"/>
        <v>950</v>
      </c>
      <c r="K30" s="228">
        <f t="shared" si="6"/>
        <v>950</v>
      </c>
      <c r="L30" s="228">
        <f t="shared" si="1"/>
        <v>100</v>
      </c>
      <c r="M30" s="228">
        <f t="shared" si="2"/>
        <v>100</v>
      </c>
      <c r="N30" s="281"/>
      <c r="O30" s="350"/>
    </row>
    <row r="31" customHeight="1" spans="1:15">
      <c r="A31" s="361" t="s">
        <v>64</v>
      </c>
      <c r="B31" s="228">
        <v>50</v>
      </c>
      <c r="C31" s="228">
        <v>50</v>
      </c>
      <c r="D31" s="228">
        <v>25</v>
      </c>
      <c r="E31" s="228">
        <v>25</v>
      </c>
      <c r="F31" s="228"/>
      <c r="G31" s="228"/>
      <c r="H31" s="228">
        <f t="shared" si="8"/>
        <v>-25</v>
      </c>
      <c r="I31" s="228">
        <f t="shared" si="9"/>
        <v>-25</v>
      </c>
      <c r="J31" s="228">
        <f t="shared" si="5"/>
        <v>25</v>
      </c>
      <c r="K31" s="228">
        <f t="shared" si="6"/>
        <v>25</v>
      </c>
      <c r="L31" s="228">
        <f t="shared" si="1"/>
        <v>-50</v>
      </c>
      <c r="M31" s="228">
        <f t="shared" si="2"/>
        <v>-50</v>
      </c>
      <c r="N31" s="281"/>
      <c r="O31" s="350"/>
    </row>
    <row r="32" customHeight="1" spans="1:15">
      <c r="A32" s="361" t="s">
        <v>65</v>
      </c>
      <c r="B32" s="228">
        <v>100</v>
      </c>
      <c r="C32" s="228">
        <v>100</v>
      </c>
      <c r="D32" s="228">
        <v>132</v>
      </c>
      <c r="E32" s="228">
        <v>132</v>
      </c>
      <c r="F32" s="228"/>
      <c r="G32" s="228"/>
      <c r="H32" s="228">
        <f t="shared" si="8"/>
        <v>32</v>
      </c>
      <c r="I32" s="228">
        <f t="shared" si="9"/>
        <v>32</v>
      </c>
      <c r="J32" s="228">
        <f t="shared" si="5"/>
        <v>132</v>
      </c>
      <c r="K32" s="228">
        <f t="shared" si="6"/>
        <v>132</v>
      </c>
      <c r="L32" s="228">
        <f t="shared" si="1"/>
        <v>32</v>
      </c>
      <c r="M32" s="228">
        <f t="shared" si="2"/>
        <v>32</v>
      </c>
      <c r="N32" s="281"/>
      <c r="O32" s="350"/>
    </row>
    <row r="33" customHeight="1" spans="1:14">
      <c r="A33" s="361" t="s">
        <v>66</v>
      </c>
      <c r="B33" s="228">
        <v>1255.04</v>
      </c>
      <c r="C33" s="228">
        <v>1229.08056396</v>
      </c>
      <c r="D33" s="228">
        <v>2659</v>
      </c>
      <c r="E33" s="228">
        <v>2659</v>
      </c>
      <c r="F33" s="228">
        <v>100</v>
      </c>
      <c r="G33" s="228">
        <v>100</v>
      </c>
      <c r="H33" s="228">
        <f t="shared" si="8"/>
        <v>1503.96</v>
      </c>
      <c r="I33" s="228">
        <f t="shared" si="9"/>
        <v>1529.91943604</v>
      </c>
      <c r="J33" s="228">
        <f t="shared" si="5"/>
        <v>2759</v>
      </c>
      <c r="K33" s="228">
        <f t="shared" si="6"/>
        <v>2759</v>
      </c>
      <c r="L33" s="228">
        <f t="shared" si="1"/>
        <v>119.833630800612</v>
      </c>
      <c r="M33" s="228">
        <f t="shared" si="2"/>
        <v>124.476741468494</v>
      </c>
      <c r="N33" s="281"/>
    </row>
    <row r="34" customHeight="1" spans="1:14">
      <c r="A34" s="361" t="s">
        <v>67</v>
      </c>
      <c r="B34" s="228">
        <v>500</v>
      </c>
      <c r="C34" s="228">
        <v>500</v>
      </c>
      <c r="D34" s="228">
        <v>14503</v>
      </c>
      <c r="E34" s="228">
        <v>14499</v>
      </c>
      <c r="F34" s="228"/>
      <c r="G34" s="228"/>
      <c r="H34" s="228">
        <f t="shared" si="8"/>
        <v>14003</v>
      </c>
      <c r="I34" s="228">
        <f t="shared" si="9"/>
        <v>13999</v>
      </c>
      <c r="J34" s="228">
        <f t="shared" si="5"/>
        <v>14503</v>
      </c>
      <c r="K34" s="228">
        <f t="shared" si="6"/>
        <v>14499</v>
      </c>
      <c r="L34" s="228">
        <f t="shared" si="1"/>
        <v>2800.6</v>
      </c>
      <c r="M34" s="228">
        <f t="shared" si="2"/>
        <v>2799.8</v>
      </c>
      <c r="N34" s="281" t="s">
        <v>68</v>
      </c>
    </row>
    <row r="35" hidden="1" customHeight="1" spans="1:14">
      <c r="A35" s="362" t="s">
        <v>69</v>
      </c>
      <c r="B35" s="228"/>
      <c r="C35" s="228"/>
      <c r="D35" s="228"/>
      <c r="E35" s="228"/>
      <c r="F35" s="228"/>
      <c r="G35" s="228"/>
      <c r="H35" s="228">
        <f t="shared" si="8"/>
        <v>0</v>
      </c>
      <c r="I35" s="228">
        <f t="shared" si="9"/>
        <v>0</v>
      </c>
      <c r="J35" s="228">
        <f t="shared" si="5"/>
        <v>0</v>
      </c>
      <c r="K35" s="228">
        <f t="shared" si="6"/>
        <v>0</v>
      </c>
      <c r="L35" s="228">
        <f t="shared" si="1"/>
        <v>0</v>
      </c>
      <c r="M35" s="228">
        <f t="shared" si="2"/>
        <v>0</v>
      </c>
      <c r="N35" s="281"/>
    </row>
    <row r="36" customHeight="1" spans="1:14">
      <c r="A36" s="361" t="s">
        <v>70</v>
      </c>
      <c r="B36" s="228">
        <v>3000</v>
      </c>
      <c r="C36" s="228">
        <v>2137</v>
      </c>
      <c r="D36" s="228">
        <v>16017</v>
      </c>
      <c r="E36" s="228">
        <v>11223</v>
      </c>
      <c r="F36" s="228">
        <v>200</v>
      </c>
      <c r="G36" s="228">
        <v>200</v>
      </c>
      <c r="H36" s="228">
        <f t="shared" si="8"/>
        <v>13217</v>
      </c>
      <c r="I36" s="228">
        <f t="shared" si="9"/>
        <v>9286</v>
      </c>
      <c r="J36" s="228">
        <f t="shared" si="5"/>
        <v>16217</v>
      </c>
      <c r="K36" s="228">
        <f t="shared" si="6"/>
        <v>11423</v>
      </c>
      <c r="L36" s="228">
        <f t="shared" si="1"/>
        <v>440.566666666667</v>
      </c>
      <c r="M36" s="228">
        <f t="shared" si="2"/>
        <v>434.534394010295</v>
      </c>
      <c r="N36" s="281" t="s">
        <v>71</v>
      </c>
    </row>
    <row r="37" customHeight="1" spans="1:14">
      <c r="A37" s="361" t="s">
        <v>72</v>
      </c>
      <c r="B37" s="228">
        <v>23.0232</v>
      </c>
      <c r="C37" s="228">
        <v>17.5642</v>
      </c>
      <c r="D37" s="228">
        <v>80</v>
      </c>
      <c r="E37" s="228">
        <v>60</v>
      </c>
      <c r="F37" s="228"/>
      <c r="G37" s="228"/>
      <c r="H37" s="228">
        <f t="shared" si="8"/>
        <v>56.9768</v>
      </c>
      <c r="I37" s="228">
        <f t="shared" si="9"/>
        <v>42.4358</v>
      </c>
      <c r="J37" s="228">
        <f t="shared" si="5"/>
        <v>80</v>
      </c>
      <c r="K37" s="228">
        <f t="shared" si="6"/>
        <v>60</v>
      </c>
      <c r="L37" s="228">
        <f t="shared" si="1"/>
        <v>247.475589839814</v>
      </c>
      <c r="M37" s="228">
        <f t="shared" si="2"/>
        <v>241.603944386878</v>
      </c>
      <c r="N37" s="281"/>
    </row>
    <row r="38" customHeight="1" spans="1:14">
      <c r="A38" s="361" t="s">
        <v>73</v>
      </c>
      <c r="B38" s="228">
        <v>308.95873</v>
      </c>
      <c r="C38" s="228">
        <v>293.63617984</v>
      </c>
      <c r="D38" s="228">
        <v>300</v>
      </c>
      <c r="E38" s="228">
        <v>291</v>
      </c>
      <c r="F38" s="228"/>
      <c r="G38" s="228"/>
      <c r="H38" s="228">
        <f t="shared" si="8"/>
        <v>-8.95873</v>
      </c>
      <c r="I38" s="228">
        <f t="shared" si="9"/>
        <v>-2.63617984000001</v>
      </c>
      <c r="J38" s="228">
        <f t="shared" si="5"/>
        <v>300</v>
      </c>
      <c r="K38" s="228">
        <f t="shared" si="6"/>
        <v>291</v>
      </c>
      <c r="L38" s="228">
        <f t="shared" si="1"/>
        <v>-2.89965264940077</v>
      </c>
      <c r="M38" s="228">
        <f t="shared" si="2"/>
        <v>-0.897770786091978</v>
      </c>
      <c r="N38" s="281"/>
    </row>
    <row r="39" customHeight="1" spans="1:14">
      <c r="A39" s="361" t="s">
        <v>74</v>
      </c>
      <c r="B39" s="228">
        <v>180.4756</v>
      </c>
      <c r="C39" s="228">
        <v>180.4756</v>
      </c>
      <c r="D39" s="228">
        <f>1237+397</f>
        <v>1634</v>
      </c>
      <c r="E39" s="228">
        <v>397</v>
      </c>
      <c r="F39" s="228"/>
      <c r="G39" s="228"/>
      <c r="H39" s="228">
        <f t="shared" si="8"/>
        <v>1453.5244</v>
      </c>
      <c r="I39" s="228">
        <f t="shared" si="9"/>
        <v>216.5244</v>
      </c>
      <c r="J39" s="228">
        <f t="shared" si="5"/>
        <v>1634</v>
      </c>
      <c r="K39" s="228">
        <f t="shared" si="6"/>
        <v>397</v>
      </c>
      <c r="L39" s="228">
        <f t="shared" si="1"/>
        <v>805.38554796327</v>
      </c>
      <c r="M39" s="228">
        <f t="shared" si="2"/>
        <v>119.974334480672</v>
      </c>
      <c r="N39" s="281"/>
    </row>
    <row r="40" s="337" customFormat="1" customHeight="1" spans="1:14">
      <c r="A40" s="167" t="s">
        <v>75</v>
      </c>
      <c r="B40" s="343">
        <f>+B7+B24</f>
        <v>252781.398940823</v>
      </c>
      <c r="C40" s="343">
        <f>+C7+C24</f>
        <v>45524.54891326</v>
      </c>
      <c r="D40" s="343">
        <f>+D7+D24</f>
        <v>214833</v>
      </c>
      <c r="E40" s="343">
        <f>+E7+E24</f>
        <v>62518</v>
      </c>
      <c r="F40" s="343">
        <f t="shared" ref="F40:K40" si="10">+F7+F24</f>
        <v>20682.4482142857</v>
      </c>
      <c r="G40" s="343">
        <f t="shared" si="10"/>
        <v>4485.84375</v>
      </c>
      <c r="H40" s="343">
        <f t="shared" si="10"/>
        <v>-17265.9507265371</v>
      </c>
      <c r="I40" s="343">
        <f t="shared" si="10"/>
        <v>21479.29483674</v>
      </c>
      <c r="J40" s="343">
        <f t="shared" si="10"/>
        <v>235515.448214286</v>
      </c>
      <c r="K40" s="343">
        <f t="shared" si="10"/>
        <v>67003.84375</v>
      </c>
      <c r="L40" s="343">
        <f t="shared" si="1"/>
        <v>-6.8303881531169</v>
      </c>
      <c r="M40" s="343">
        <f t="shared" si="2"/>
        <v>47.1817851016283</v>
      </c>
      <c r="N40" s="281"/>
    </row>
    <row r="41" customHeight="1" spans="1:14">
      <c r="A41" s="361" t="s">
        <v>76</v>
      </c>
      <c r="B41" s="228">
        <f>+B7+B25+B26+B37+B38+275</f>
        <v>247970.883340823</v>
      </c>
      <c r="C41" s="228">
        <f>+C7+C25+C26+C37+C38+275</f>
        <v>41602.9927493</v>
      </c>
      <c r="D41" s="228">
        <v>179483</v>
      </c>
      <c r="E41" s="228">
        <v>31869</v>
      </c>
      <c r="F41" s="228"/>
      <c r="G41" s="228"/>
      <c r="H41" s="228">
        <f>J41-B41</f>
        <v>-48003.4351265371</v>
      </c>
      <c r="I41" s="228">
        <f>K41-C41</f>
        <v>-5448.1489993</v>
      </c>
      <c r="J41" s="228">
        <f>J40-J42</f>
        <v>199967.448214286</v>
      </c>
      <c r="K41" s="228">
        <f>K40-K42</f>
        <v>36154.84375</v>
      </c>
      <c r="L41" s="343">
        <f t="shared" si="1"/>
        <v>-19.3584966427526</v>
      </c>
      <c r="M41" s="343">
        <f t="shared" si="2"/>
        <v>-13.0955699079886</v>
      </c>
      <c r="N41" s="281"/>
    </row>
    <row r="42" customHeight="1" spans="1:14">
      <c r="A42" s="361" t="s">
        <v>77</v>
      </c>
      <c r="B42" s="228">
        <f>SUM(B27:B39)-B37-B38-275</f>
        <v>4810.5156</v>
      </c>
      <c r="C42" s="228">
        <f>C40-C41</f>
        <v>3921.55616396</v>
      </c>
      <c r="D42" s="228">
        <v>35348</v>
      </c>
      <c r="E42" s="228">
        <v>30649</v>
      </c>
      <c r="F42" s="228"/>
      <c r="G42" s="228"/>
      <c r="H42" s="228">
        <f>J42-B42</f>
        <v>30737.4844</v>
      </c>
      <c r="I42" s="228">
        <f>K42-C42</f>
        <v>26927.44383604</v>
      </c>
      <c r="J42" s="228">
        <f>D42+200</f>
        <v>35548</v>
      </c>
      <c r="K42" s="228">
        <f>E42+200</f>
        <v>30849</v>
      </c>
      <c r="L42" s="343">
        <f t="shared" si="1"/>
        <v>638.964446971131</v>
      </c>
      <c r="M42" s="343">
        <f t="shared" si="2"/>
        <v>686.652000129678</v>
      </c>
      <c r="N42" s="281"/>
    </row>
    <row r="43" s="337" customFormat="1" customHeight="1" spans="1:14">
      <c r="A43" s="274" t="s">
        <v>78</v>
      </c>
      <c r="B43" s="343">
        <f>SUM(B44:B50)</f>
        <v>0</v>
      </c>
      <c r="C43" s="343">
        <f t="shared" ref="C43:K43" si="11">SUM(C44:C50)</f>
        <v>241964</v>
      </c>
      <c r="D43" s="343">
        <f t="shared" si="11"/>
        <v>0</v>
      </c>
      <c r="E43" s="343">
        <f t="shared" si="11"/>
        <v>0</v>
      </c>
      <c r="F43" s="343">
        <f t="shared" si="11"/>
        <v>0</v>
      </c>
      <c r="G43" s="343">
        <f t="shared" si="11"/>
        <v>0</v>
      </c>
      <c r="H43" s="343">
        <f t="shared" si="11"/>
        <v>0</v>
      </c>
      <c r="I43" s="343">
        <f t="shared" si="11"/>
        <v>-48557.41</v>
      </c>
      <c r="J43" s="343">
        <f t="shared" si="11"/>
        <v>0</v>
      </c>
      <c r="K43" s="343">
        <f t="shared" si="11"/>
        <v>193406.59</v>
      </c>
      <c r="L43" s="343">
        <f t="shared" si="1"/>
        <v>0</v>
      </c>
      <c r="M43" s="343">
        <f t="shared" si="2"/>
        <v>-20.0680307814386</v>
      </c>
      <c r="N43" s="281"/>
    </row>
    <row r="44" customHeight="1" spans="1:14">
      <c r="A44" s="361" t="s">
        <v>79</v>
      </c>
      <c r="B44" s="228"/>
      <c r="C44" s="228">
        <v>45024</v>
      </c>
      <c r="D44" s="228"/>
      <c r="E44" s="228"/>
      <c r="F44" s="228"/>
      <c r="G44" s="228"/>
      <c r="H44" s="228">
        <f>J44-B44</f>
        <v>0</v>
      </c>
      <c r="I44" s="228">
        <f>K44-C44</f>
        <v>11851</v>
      </c>
      <c r="J44" s="228"/>
      <c r="K44" s="228">
        <f>47875+9000</f>
        <v>56875</v>
      </c>
      <c r="L44" s="343">
        <f t="shared" si="1"/>
        <v>0</v>
      </c>
      <c r="M44" s="343">
        <f t="shared" si="2"/>
        <v>26.3215174129353</v>
      </c>
      <c r="N44" s="281" t="s">
        <v>80</v>
      </c>
    </row>
    <row r="45" customHeight="1" spans="1:14">
      <c r="A45" s="361" t="s">
        <v>81</v>
      </c>
      <c r="B45" s="228"/>
      <c r="C45" s="228">
        <v>46946</v>
      </c>
      <c r="D45" s="228"/>
      <c r="E45" s="228"/>
      <c r="F45" s="228"/>
      <c r="G45" s="228"/>
      <c r="H45" s="228">
        <f t="shared" ref="H45:H50" si="12">J45-B45</f>
        <v>0</v>
      </c>
      <c r="I45" s="228">
        <f t="shared" ref="I45:I50" si="13">K45-C45</f>
        <v>15635</v>
      </c>
      <c r="J45" s="228"/>
      <c r="K45" s="228">
        <v>62581</v>
      </c>
      <c r="L45" s="343">
        <f t="shared" si="1"/>
        <v>0</v>
      </c>
      <c r="M45" s="343">
        <f t="shared" si="2"/>
        <v>33.304221871938</v>
      </c>
      <c r="N45" s="281" t="s">
        <v>82</v>
      </c>
    </row>
    <row r="46" customHeight="1" spans="1:14">
      <c r="A46" s="361" t="s">
        <v>83</v>
      </c>
      <c r="B46" s="228"/>
      <c r="C46" s="228">
        <v>4200</v>
      </c>
      <c r="D46" s="228"/>
      <c r="E46" s="228"/>
      <c r="F46" s="228"/>
      <c r="G46" s="228"/>
      <c r="H46" s="228">
        <f t="shared" si="12"/>
        <v>0</v>
      </c>
      <c r="I46" s="228">
        <f t="shared" si="13"/>
        <v>3100</v>
      </c>
      <c r="J46" s="228"/>
      <c r="K46" s="228">
        <v>7300</v>
      </c>
      <c r="L46" s="343">
        <f t="shared" si="1"/>
        <v>0</v>
      </c>
      <c r="M46" s="343">
        <f t="shared" si="2"/>
        <v>73.8095238095238</v>
      </c>
      <c r="N46" s="281"/>
    </row>
    <row r="47" customHeight="1" spans="1:14">
      <c r="A47" s="361" t="s">
        <v>84</v>
      </c>
      <c r="B47" s="228"/>
      <c r="C47" s="228">
        <v>6000</v>
      </c>
      <c r="D47" s="228"/>
      <c r="E47" s="228"/>
      <c r="F47" s="228"/>
      <c r="G47" s="228"/>
      <c r="H47" s="228">
        <f t="shared" si="12"/>
        <v>0</v>
      </c>
      <c r="I47" s="228">
        <f t="shared" si="13"/>
        <v>3200</v>
      </c>
      <c r="J47" s="228"/>
      <c r="K47" s="228">
        <v>9200</v>
      </c>
      <c r="L47" s="343">
        <f t="shared" si="1"/>
        <v>0</v>
      </c>
      <c r="M47" s="343">
        <f t="shared" si="2"/>
        <v>53.3333333333333</v>
      </c>
      <c r="N47" s="281"/>
    </row>
    <row r="48" customHeight="1" spans="1:14">
      <c r="A48" s="361" t="s">
        <v>85</v>
      </c>
      <c r="B48" s="228"/>
      <c r="C48" s="228">
        <v>31076</v>
      </c>
      <c r="D48" s="228"/>
      <c r="E48" s="228"/>
      <c r="F48" s="228"/>
      <c r="G48" s="228"/>
      <c r="H48" s="228">
        <f t="shared" si="12"/>
        <v>0</v>
      </c>
      <c r="I48" s="228">
        <f t="shared" si="13"/>
        <v>-457</v>
      </c>
      <c r="J48" s="228"/>
      <c r="K48" s="228">
        <v>30619</v>
      </c>
      <c r="L48" s="343">
        <f t="shared" si="1"/>
        <v>0</v>
      </c>
      <c r="M48" s="343">
        <f t="shared" si="2"/>
        <v>-1.47058823529411</v>
      </c>
      <c r="N48" s="281"/>
    </row>
    <row r="49" customHeight="1" spans="1:14">
      <c r="A49" s="361" t="s">
        <v>86</v>
      </c>
      <c r="B49" s="228"/>
      <c r="C49" s="228">
        <v>695</v>
      </c>
      <c r="D49" s="228"/>
      <c r="E49" s="228"/>
      <c r="F49" s="228"/>
      <c r="G49" s="228"/>
      <c r="H49" s="228">
        <f t="shared" si="12"/>
        <v>0</v>
      </c>
      <c r="I49" s="228">
        <f t="shared" si="13"/>
        <v>-332</v>
      </c>
      <c r="J49" s="228"/>
      <c r="K49" s="228">
        <v>363</v>
      </c>
      <c r="L49" s="343">
        <f t="shared" si="1"/>
        <v>0</v>
      </c>
      <c r="M49" s="343">
        <f t="shared" si="2"/>
        <v>-47.7697841726619</v>
      </c>
      <c r="N49" s="281"/>
    </row>
    <row r="50" customHeight="1" spans="1:14">
      <c r="A50" s="361" t="s">
        <v>87</v>
      </c>
      <c r="B50" s="228"/>
      <c r="C50" s="228">
        <f>107923+100</f>
        <v>108023</v>
      </c>
      <c r="D50" s="228"/>
      <c r="E50" s="228"/>
      <c r="F50" s="228"/>
      <c r="G50" s="228"/>
      <c r="H50" s="228">
        <f t="shared" si="12"/>
        <v>0</v>
      </c>
      <c r="I50" s="228">
        <f t="shared" si="13"/>
        <v>-81554.41</v>
      </c>
      <c r="J50" s="228"/>
      <c r="K50" s="228">
        <f>744+5000+(4669.86+3026.67+319.09+4304.27+2752.34+2000+1199.87+952.49)+1500</f>
        <v>26468.59</v>
      </c>
      <c r="L50" s="343">
        <f t="shared" si="1"/>
        <v>0</v>
      </c>
      <c r="M50" s="343">
        <f t="shared" si="2"/>
        <v>-75.4972644714552</v>
      </c>
      <c r="N50" s="281" t="s">
        <v>88</v>
      </c>
    </row>
    <row r="51" s="337" customFormat="1" customHeight="1" spans="1:14">
      <c r="A51" s="167" t="s">
        <v>89</v>
      </c>
      <c r="B51" s="343">
        <f>B43+B40</f>
        <v>252781.398940823</v>
      </c>
      <c r="C51" s="343">
        <f t="shared" ref="C51:K51" si="14">C43+C40</f>
        <v>287488.54891326</v>
      </c>
      <c r="D51" s="343">
        <f t="shared" si="14"/>
        <v>214833</v>
      </c>
      <c r="E51" s="343">
        <f t="shared" si="14"/>
        <v>62518</v>
      </c>
      <c r="F51" s="343">
        <f t="shared" si="14"/>
        <v>20682.4482142857</v>
      </c>
      <c r="G51" s="343">
        <f t="shared" si="14"/>
        <v>4485.84375</v>
      </c>
      <c r="H51" s="343">
        <f t="shared" si="14"/>
        <v>-17265.9507265371</v>
      </c>
      <c r="I51" s="343">
        <f t="shared" si="14"/>
        <v>-27078.11516326</v>
      </c>
      <c r="J51" s="343">
        <f t="shared" si="14"/>
        <v>235515.448214286</v>
      </c>
      <c r="K51" s="343">
        <f t="shared" si="14"/>
        <v>260410.43375</v>
      </c>
      <c r="L51" s="343">
        <f t="shared" si="1"/>
        <v>-6.8303881531169</v>
      </c>
      <c r="M51" s="343">
        <f t="shared" si="2"/>
        <v>-9.41884999093647</v>
      </c>
      <c r="N51" s="281"/>
    </row>
  </sheetData>
  <mergeCells count="8">
    <mergeCell ref="A2:N2"/>
    <mergeCell ref="A4:A6"/>
    <mergeCell ref="N4:N6"/>
    <mergeCell ref="B4:C5"/>
    <mergeCell ref="H4:I5"/>
    <mergeCell ref="J4:K5"/>
    <mergeCell ref="L4:M5"/>
    <mergeCell ref="D4:G5"/>
  </mergeCells>
  <printOptions horizontalCentered="1"/>
  <pageMargins left="0.393055555555556" right="0.393055555555556" top="0.590277777777778" bottom="0.590277777777778" header="0.196527777777778" footer="0.196527777777778"/>
  <pageSetup paperSize="9" scale="81"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38"/>
  <sheetViews>
    <sheetView showGridLines="0" showZeros="0" view="pageBreakPreview" zoomScaleNormal="100" workbookViewId="0">
      <pane ySplit="5" topLeftCell="A427" activePane="bottomLeft" state="frozen"/>
      <selection/>
      <selection pane="bottomLeft" activeCell="H84" sqref="H84"/>
    </sheetView>
  </sheetViews>
  <sheetFormatPr defaultColWidth="9" defaultRowHeight="25" customHeight="1"/>
  <cols>
    <col min="1" max="1" width="12.625" style="316" customWidth="1"/>
    <col min="2" max="2" width="40.625" style="317" customWidth="1"/>
    <col min="3" max="3" width="12.625" style="318" customWidth="1"/>
    <col min="4" max="10" width="12.625" style="319" customWidth="1"/>
    <col min="11" max="12" width="12.625" style="318" customWidth="1"/>
    <col min="13" max="13" width="50.625" style="82" customWidth="1"/>
    <col min="14" max="14" width="13.75" style="81"/>
    <col min="15" max="16384" width="9" style="81"/>
  </cols>
  <sheetData>
    <row r="1" s="45" customFormat="1" ht="20" customHeight="1" spans="1:13">
      <c r="A1" s="316" t="s">
        <v>90</v>
      </c>
      <c r="B1" s="56"/>
      <c r="C1" s="320"/>
      <c r="D1" s="321"/>
      <c r="E1" s="321"/>
      <c r="F1" s="321"/>
      <c r="G1" s="321"/>
      <c r="H1" s="321"/>
      <c r="I1" s="321"/>
      <c r="J1" s="321"/>
      <c r="K1" s="320"/>
      <c r="L1" s="320"/>
      <c r="M1" s="22"/>
    </row>
    <row r="2" ht="30" customHeight="1" spans="1:13">
      <c r="A2" s="322" t="s">
        <v>91</v>
      </c>
      <c r="B2" s="322"/>
      <c r="C2" s="322"/>
      <c r="D2" s="322"/>
      <c r="E2" s="322"/>
      <c r="F2" s="322"/>
      <c r="G2" s="322"/>
      <c r="H2" s="322"/>
      <c r="I2" s="322"/>
      <c r="J2" s="322"/>
      <c r="K2" s="322"/>
      <c r="L2" s="322"/>
      <c r="M2" s="322"/>
    </row>
    <row r="3" s="45" customFormat="1" ht="20" customHeight="1" spans="1:13">
      <c r="A3" s="316"/>
      <c r="B3" s="56"/>
      <c r="C3" s="320"/>
      <c r="D3" s="321"/>
      <c r="E3" s="321"/>
      <c r="F3" s="321"/>
      <c r="G3" s="321"/>
      <c r="H3" s="321"/>
      <c r="I3" s="321"/>
      <c r="J3" s="321"/>
      <c r="K3" s="320"/>
      <c r="L3" s="320"/>
      <c r="M3" s="327" t="s">
        <v>27</v>
      </c>
    </row>
    <row r="4" s="81" customFormat="1" customHeight="1" spans="1:13">
      <c r="A4" s="167" t="s">
        <v>92</v>
      </c>
      <c r="B4" s="167" t="s">
        <v>93</v>
      </c>
      <c r="C4" s="323" t="s">
        <v>29</v>
      </c>
      <c r="D4" s="324"/>
      <c r="E4" s="325"/>
      <c r="F4" s="323" t="s">
        <v>31</v>
      </c>
      <c r="G4" s="324"/>
      <c r="H4" s="324"/>
      <c r="I4" s="325"/>
      <c r="J4" s="328" t="s">
        <v>32</v>
      </c>
      <c r="K4" s="328"/>
      <c r="L4" s="328"/>
      <c r="M4" s="167" t="s">
        <v>34</v>
      </c>
    </row>
    <row r="5" s="81" customFormat="1" ht="30" customHeight="1" spans="1:13">
      <c r="A5" s="167"/>
      <c r="B5" s="167"/>
      <c r="C5" s="167" t="s">
        <v>94</v>
      </c>
      <c r="D5" s="326" t="s">
        <v>95</v>
      </c>
      <c r="E5" s="326" t="s">
        <v>96</v>
      </c>
      <c r="F5" s="326" t="s">
        <v>97</v>
      </c>
      <c r="G5" s="326" t="s">
        <v>98</v>
      </c>
      <c r="H5" s="326" t="s">
        <v>99</v>
      </c>
      <c r="I5" s="326" t="s">
        <v>96</v>
      </c>
      <c r="J5" s="326" t="s">
        <v>94</v>
      </c>
      <c r="K5" s="328" t="s">
        <v>95</v>
      </c>
      <c r="L5" s="328" t="s">
        <v>96</v>
      </c>
      <c r="M5" s="167"/>
    </row>
    <row r="6" s="81" customFormat="1" customHeight="1" spans="1:14">
      <c r="A6" s="155">
        <v>201</v>
      </c>
      <c r="B6" s="141" t="s">
        <v>100</v>
      </c>
      <c r="C6" s="17">
        <f t="shared" ref="C6:C45" si="0">D6+E6</f>
        <v>23443.958789</v>
      </c>
      <c r="D6" s="17">
        <v>23286.788789</v>
      </c>
      <c r="E6" s="17">
        <v>157.17</v>
      </c>
      <c r="F6" s="17">
        <v>-1069.217727</v>
      </c>
      <c r="G6" s="17">
        <v>0</v>
      </c>
      <c r="H6" s="17">
        <v>479.89</v>
      </c>
      <c r="I6" s="17">
        <f t="shared" ref="I6:I45" si="1">L6-E6</f>
        <v>260.9827</v>
      </c>
      <c r="J6" s="17">
        <f t="shared" ref="J6:J45" si="2">K6+L6</f>
        <v>23115.613762</v>
      </c>
      <c r="K6" s="17">
        <v>22697.461062</v>
      </c>
      <c r="L6" s="17">
        <v>418.1527</v>
      </c>
      <c r="M6" s="329"/>
      <c r="N6" s="81">
        <f>E6+I6-L6</f>
        <v>0</v>
      </c>
    </row>
    <row r="7" s="81" customFormat="1" customHeight="1" spans="1:14">
      <c r="A7" s="155">
        <v>20101</v>
      </c>
      <c r="B7" s="141" t="s">
        <v>101</v>
      </c>
      <c r="C7" s="17">
        <f t="shared" si="0"/>
        <v>1081.41</v>
      </c>
      <c r="D7" s="17">
        <v>1081.41</v>
      </c>
      <c r="E7" s="17">
        <v>0</v>
      </c>
      <c r="F7" s="17">
        <v>-135.99</v>
      </c>
      <c r="G7" s="17">
        <v>0</v>
      </c>
      <c r="H7" s="17">
        <v>4.49</v>
      </c>
      <c r="I7" s="17">
        <f t="shared" si="1"/>
        <v>8.88</v>
      </c>
      <c r="J7" s="17">
        <f t="shared" si="2"/>
        <v>958.79</v>
      </c>
      <c r="K7" s="17">
        <v>949.91</v>
      </c>
      <c r="L7" s="17">
        <v>8.88</v>
      </c>
      <c r="M7" s="329"/>
      <c r="N7" s="81">
        <f t="shared" ref="N7:N70" si="3">E7+I7-L7</f>
        <v>0</v>
      </c>
    </row>
    <row r="8" s="81" customFormat="1" customHeight="1" spans="1:14">
      <c r="A8" s="155">
        <v>2010101</v>
      </c>
      <c r="B8" s="141" t="s">
        <v>102</v>
      </c>
      <c r="C8" s="17">
        <f t="shared" si="0"/>
        <v>674.73</v>
      </c>
      <c r="D8" s="17">
        <v>674.73</v>
      </c>
      <c r="E8" s="17">
        <v>0</v>
      </c>
      <c r="F8" s="17">
        <v>4.59000000000001</v>
      </c>
      <c r="G8" s="17">
        <v>0</v>
      </c>
      <c r="H8" s="17">
        <v>4.49</v>
      </c>
      <c r="I8" s="17">
        <f t="shared" si="1"/>
        <v>0</v>
      </c>
      <c r="J8" s="17">
        <f t="shared" si="2"/>
        <v>683.81</v>
      </c>
      <c r="K8" s="17">
        <v>683.81</v>
      </c>
      <c r="L8" s="17"/>
      <c r="M8" s="281" t="s">
        <v>103</v>
      </c>
      <c r="N8" s="81">
        <f t="shared" si="3"/>
        <v>0</v>
      </c>
    </row>
    <row r="9" s="81" customFormat="1" customHeight="1" spans="1:14">
      <c r="A9" s="155">
        <v>2010104</v>
      </c>
      <c r="B9" s="141" t="s">
        <v>104</v>
      </c>
      <c r="C9" s="17">
        <f t="shared" si="0"/>
        <v>16</v>
      </c>
      <c r="D9" s="17">
        <v>16</v>
      </c>
      <c r="E9" s="17">
        <v>0</v>
      </c>
      <c r="F9" s="17">
        <v>0</v>
      </c>
      <c r="G9" s="17">
        <v>0</v>
      </c>
      <c r="H9" s="17">
        <v>0</v>
      </c>
      <c r="I9" s="17">
        <f t="shared" si="1"/>
        <v>0</v>
      </c>
      <c r="J9" s="17">
        <f t="shared" si="2"/>
        <v>16</v>
      </c>
      <c r="K9" s="17">
        <v>16</v>
      </c>
      <c r="L9" s="17"/>
      <c r="M9" s="281"/>
      <c r="N9" s="81">
        <f t="shared" si="3"/>
        <v>0</v>
      </c>
    </row>
    <row r="10" s="81" customFormat="1" customHeight="1" spans="1:14">
      <c r="A10" s="155">
        <v>2010105</v>
      </c>
      <c r="B10" s="141" t="s">
        <v>105</v>
      </c>
      <c r="C10" s="17">
        <f t="shared" si="0"/>
        <v>24</v>
      </c>
      <c r="D10" s="17">
        <v>24</v>
      </c>
      <c r="E10" s="17">
        <v>0</v>
      </c>
      <c r="F10" s="17">
        <v>0</v>
      </c>
      <c r="G10" s="17">
        <v>0</v>
      </c>
      <c r="H10" s="17">
        <v>0</v>
      </c>
      <c r="I10" s="17">
        <f t="shared" si="1"/>
        <v>0</v>
      </c>
      <c r="J10" s="17">
        <f t="shared" si="2"/>
        <v>24</v>
      </c>
      <c r="K10" s="17">
        <v>24</v>
      </c>
      <c r="L10" s="17">
        <v>0</v>
      </c>
      <c r="M10" s="281">
        <v>0</v>
      </c>
      <c r="N10" s="81">
        <f t="shared" si="3"/>
        <v>0</v>
      </c>
    </row>
    <row r="11" s="81" customFormat="1" customHeight="1" spans="1:14">
      <c r="A11" s="155">
        <v>2010106</v>
      </c>
      <c r="B11" s="141" t="s">
        <v>106</v>
      </c>
      <c r="C11" s="17">
        <f t="shared" si="0"/>
        <v>2</v>
      </c>
      <c r="D11" s="17">
        <v>2</v>
      </c>
      <c r="E11" s="17">
        <v>0</v>
      </c>
      <c r="F11" s="17">
        <v>0</v>
      </c>
      <c r="G11" s="17">
        <v>0</v>
      </c>
      <c r="H11" s="17">
        <v>0</v>
      </c>
      <c r="I11" s="17">
        <f t="shared" si="1"/>
        <v>0</v>
      </c>
      <c r="J11" s="17">
        <f t="shared" si="2"/>
        <v>2</v>
      </c>
      <c r="K11" s="17">
        <v>2</v>
      </c>
      <c r="L11" s="17"/>
      <c r="M11" s="281"/>
      <c r="N11" s="81">
        <f t="shared" si="3"/>
        <v>0</v>
      </c>
    </row>
    <row r="12" s="81" customFormat="1" customHeight="1" spans="1:14">
      <c r="A12" s="155">
        <v>2010108</v>
      </c>
      <c r="B12" s="141" t="s">
        <v>107</v>
      </c>
      <c r="C12" s="17">
        <f t="shared" si="0"/>
        <v>104.04</v>
      </c>
      <c r="D12" s="17">
        <v>104.04</v>
      </c>
      <c r="E12" s="17">
        <v>0</v>
      </c>
      <c r="F12" s="17">
        <v>-6</v>
      </c>
      <c r="G12" s="17">
        <v>0</v>
      </c>
      <c r="H12" s="17">
        <v>0</v>
      </c>
      <c r="I12" s="17">
        <f t="shared" si="1"/>
        <v>8.88</v>
      </c>
      <c r="J12" s="17">
        <f t="shared" si="2"/>
        <v>106.92</v>
      </c>
      <c r="K12" s="17">
        <v>98.04</v>
      </c>
      <c r="L12" s="17">
        <v>8.88</v>
      </c>
      <c r="M12" s="329" t="s">
        <v>108</v>
      </c>
      <c r="N12" s="81">
        <f t="shared" si="3"/>
        <v>0</v>
      </c>
    </row>
    <row r="13" s="81" customFormat="1" customHeight="1" spans="1:14">
      <c r="A13" s="155">
        <v>2010199</v>
      </c>
      <c r="B13" s="141" t="s">
        <v>109</v>
      </c>
      <c r="C13" s="17">
        <f t="shared" si="0"/>
        <v>260.64</v>
      </c>
      <c r="D13" s="17">
        <v>260.64</v>
      </c>
      <c r="E13" s="17">
        <v>0</v>
      </c>
      <c r="F13" s="17">
        <v>-134.58</v>
      </c>
      <c r="G13" s="17">
        <v>0</v>
      </c>
      <c r="H13" s="17">
        <v>0</v>
      </c>
      <c r="I13" s="17">
        <f t="shared" si="1"/>
        <v>0</v>
      </c>
      <c r="J13" s="17">
        <f t="shared" si="2"/>
        <v>126.06</v>
      </c>
      <c r="K13" s="17">
        <v>126.06</v>
      </c>
      <c r="L13" s="17">
        <v>0</v>
      </c>
      <c r="M13" s="281" t="s">
        <v>110</v>
      </c>
      <c r="N13" s="81">
        <f t="shared" si="3"/>
        <v>0</v>
      </c>
    </row>
    <row r="14" s="81" customFormat="1" customHeight="1" spans="1:14">
      <c r="A14" s="155">
        <v>20102</v>
      </c>
      <c r="B14" s="141" t="s">
        <v>111</v>
      </c>
      <c r="C14" s="17">
        <f t="shared" si="0"/>
        <v>628.46</v>
      </c>
      <c r="D14" s="17">
        <v>628.46</v>
      </c>
      <c r="E14" s="17">
        <v>0</v>
      </c>
      <c r="F14" s="17">
        <v>-1.83999999999999</v>
      </c>
      <c r="G14" s="17">
        <v>0</v>
      </c>
      <c r="H14" s="17">
        <v>0.71</v>
      </c>
      <c r="I14" s="17">
        <f t="shared" si="1"/>
        <v>0</v>
      </c>
      <c r="J14" s="17">
        <f t="shared" si="2"/>
        <v>627.33</v>
      </c>
      <c r="K14" s="17">
        <v>627.33</v>
      </c>
      <c r="L14" s="17"/>
      <c r="M14" s="329"/>
      <c r="N14" s="81">
        <f t="shared" si="3"/>
        <v>0</v>
      </c>
    </row>
    <row r="15" s="81" customFormat="1" customHeight="1" spans="1:14">
      <c r="A15" s="155">
        <v>2010201</v>
      </c>
      <c r="B15" s="141" t="s">
        <v>102</v>
      </c>
      <c r="C15" s="17">
        <f t="shared" si="0"/>
        <v>477.96</v>
      </c>
      <c r="D15" s="17">
        <v>477.96</v>
      </c>
      <c r="E15" s="17">
        <v>0</v>
      </c>
      <c r="F15" s="17">
        <v>8.16000000000001</v>
      </c>
      <c r="G15" s="17">
        <v>0</v>
      </c>
      <c r="H15" s="17">
        <v>0.71</v>
      </c>
      <c r="I15" s="17">
        <f t="shared" si="1"/>
        <v>0</v>
      </c>
      <c r="J15" s="17">
        <f t="shared" si="2"/>
        <v>486.83</v>
      </c>
      <c r="K15" s="17">
        <v>486.83</v>
      </c>
      <c r="L15" s="17"/>
      <c r="M15" s="281" t="s">
        <v>103</v>
      </c>
      <c r="N15" s="81">
        <f t="shared" si="3"/>
        <v>0</v>
      </c>
    </row>
    <row r="16" s="81" customFormat="1" customHeight="1" spans="1:14">
      <c r="A16" s="155">
        <v>2010204</v>
      </c>
      <c r="B16" s="141" t="s">
        <v>112</v>
      </c>
      <c r="C16" s="17">
        <f t="shared" si="0"/>
        <v>22</v>
      </c>
      <c r="D16" s="17">
        <v>22</v>
      </c>
      <c r="E16" s="17">
        <v>0</v>
      </c>
      <c r="F16" s="17">
        <v>0</v>
      </c>
      <c r="G16" s="17">
        <v>0</v>
      </c>
      <c r="H16" s="17">
        <v>0</v>
      </c>
      <c r="I16" s="17">
        <f t="shared" si="1"/>
        <v>0</v>
      </c>
      <c r="J16" s="17">
        <f t="shared" si="2"/>
        <v>22</v>
      </c>
      <c r="K16" s="17">
        <v>22</v>
      </c>
      <c r="L16" s="17"/>
      <c r="M16" s="281"/>
      <c r="N16" s="81">
        <f t="shared" si="3"/>
        <v>0</v>
      </c>
    </row>
    <row r="17" s="81" customFormat="1" customHeight="1" spans="1:14">
      <c r="A17" s="155">
        <v>2010206</v>
      </c>
      <c r="B17" s="141" t="s">
        <v>113</v>
      </c>
      <c r="C17" s="17">
        <f t="shared" si="0"/>
        <v>6</v>
      </c>
      <c r="D17" s="17">
        <v>6</v>
      </c>
      <c r="E17" s="17">
        <v>0</v>
      </c>
      <c r="F17" s="17">
        <v>0</v>
      </c>
      <c r="G17" s="17">
        <v>0</v>
      </c>
      <c r="H17" s="17">
        <v>0</v>
      </c>
      <c r="I17" s="17">
        <f t="shared" si="1"/>
        <v>0</v>
      </c>
      <c r="J17" s="17">
        <f t="shared" si="2"/>
        <v>6</v>
      </c>
      <c r="K17" s="17">
        <v>6</v>
      </c>
      <c r="L17" s="17"/>
      <c r="M17" s="281"/>
      <c r="N17" s="81">
        <f t="shared" si="3"/>
        <v>0</v>
      </c>
    </row>
    <row r="18" s="81" customFormat="1" customHeight="1" spans="1:14">
      <c r="A18" s="155">
        <v>2010299</v>
      </c>
      <c r="B18" s="141" t="s">
        <v>114</v>
      </c>
      <c r="C18" s="17">
        <f t="shared" si="0"/>
        <v>122.5</v>
      </c>
      <c r="D18" s="17">
        <v>122.5</v>
      </c>
      <c r="E18" s="17">
        <v>0</v>
      </c>
      <c r="F18" s="17">
        <v>-10</v>
      </c>
      <c r="G18" s="17">
        <v>0</v>
      </c>
      <c r="H18" s="17">
        <v>0</v>
      </c>
      <c r="I18" s="17">
        <f t="shared" si="1"/>
        <v>0</v>
      </c>
      <c r="J18" s="17">
        <f t="shared" si="2"/>
        <v>112.5</v>
      </c>
      <c r="K18" s="17">
        <v>112.5</v>
      </c>
      <c r="L18" s="17"/>
      <c r="M18" s="281" t="s">
        <v>115</v>
      </c>
      <c r="N18" s="81">
        <f t="shared" si="3"/>
        <v>0</v>
      </c>
    </row>
    <row r="19" s="81" customFormat="1" customHeight="1" spans="1:14">
      <c r="A19" s="155">
        <v>20103</v>
      </c>
      <c r="B19" s="141" t="s">
        <v>116</v>
      </c>
      <c r="C19" s="17">
        <f t="shared" si="0"/>
        <v>3572.78</v>
      </c>
      <c r="D19" s="17">
        <v>3572.78</v>
      </c>
      <c r="E19" s="17">
        <v>0</v>
      </c>
      <c r="F19" s="17">
        <v>-82.99</v>
      </c>
      <c r="G19" s="17">
        <v>0</v>
      </c>
      <c r="H19" s="17">
        <v>10.84</v>
      </c>
      <c r="I19" s="17">
        <f t="shared" si="1"/>
        <v>0</v>
      </c>
      <c r="J19" s="17">
        <f t="shared" si="2"/>
        <v>3500.63</v>
      </c>
      <c r="K19" s="17">
        <v>3500.63</v>
      </c>
      <c r="L19" s="17"/>
      <c r="M19" s="329"/>
      <c r="N19" s="81">
        <f t="shared" si="3"/>
        <v>0</v>
      </c>
    </row>
    <row r="20" s="81" customFormat="1" customHeight="1" spans="1:14">
      <c r="A20" s="155">
        <v>2010301</v>
      </c>
      <c r="B20" s="141" t="s">
        <v>102</v>
      </c>
      <c r="C20" s="17">
        <f t="shared" si="0"/>
        <v>2090.37</v>
      </c>
      <c r="D20" s="17">
        <v>2090.37</v>
      </c>
      <c r="E20" s="17">
        <v>0</v>
      </c>
      <c r="F20" s="17">
        <v>49.9199999999999</v>
      </c>
      <c r="G20" s="17">
        <v>0</v>
      </c>
      <c r="H20" s="17">
        <v>10.84</v>
      </c>
      <c r="I20" s="17">
        <f t="shared" si="1"/>
        <v>0</v>
      </c>
      <c r="J20" s="17">
        <f t="shared" si="2"/>
        <v>2151.13</v>
      </c>
      <c r="K20" s="17">
        <v>2151.13</v>
      </c>
      <c r="L20" s="17"/>
      <c r="M20" s="281" t="s">
        <v>103</v>
      </c>
      <c r="N20" s="81">
        <f t="shared" si="3"/>
        <v>0</v>
      </c>
    </row>
    <row r="21" s="81" customFormat="1" customHeight="1" spans="1:14">
      <c r="A21" s="155">
        <v>2010399</v>
      </c>
      <c r="B21" s="141" t="s">
        <v>117</v>
      </c>
      <c r="C21" s="17">
        <f t="shared" si="0"/>
        <v>1482.41</v>
      </c>
      <c r="D21" s="17">
        <v>1482.41</v>
      </c>
      <c r="E21" s="17">
        <v>0</v>
      </c>
      <c r="F21" s="17">
        <v>-132.91</v>
      </c>
      <c r="G21" s="17">
        <v>0</v>
      </c>
      <c r="H21" s="17">
        <v>0</v>
      </c>
      <c r="I21" s="17">
        <f t="shared" si="1"/>
        <v>0</v>
      </c>
      <c r="J21" s="17">
        <f t="shared" si="2"/>
        <v>1349.5</v>
      </c>
      <c r="K21" s="17">
        <v>1349.5</v>
      </c>
      <c r="L21" s="17"/>
      <c r="M21" s="281" t="s">
        <v>118</v>
      </c>
      <c r="N21" s="81">
        <f t="shared" si="3"/>
        <v>0</v>
      </c>
    </row>
    <row r="22" s="81" customFormat="1" customHeight="1" spans="1:14">
      <c r="A22" s="155">
        <v>20104</v>
      </c>
      <c r="B22" s="141" t="s">
        <v>119</v>
      </c>
      <c r="C22" s="17">
        <f t="shared" si="0"/>
        <v>568.37</v>
      </c>
      <c r="D22" s="17">
        <v>566.43</v>
      </c>
      <c r="E22" s="17">
        <v>1.94</v>
      </c>
      <c r="F22" s="17">
        <v>-98.4</v>
      </c>
      <c r="G22" s="17">
        <v>0</v>
      </c>
      <c r="H22" s="17">
        <v>7.93</v>
      </c>
      <c r="I22" s="17">
        <f t="shared" si="1"/>
        <v>0</v>
      </c>
      <c r="J22" s="17">
        <f t="shared" si="2"/>
        <v>477.9</v>
      </c>
      <c r="K22" s="17">
        <v>475.96</v>
      </c>
      <c r="L22" s="17">
        <v>1.94</v>
      </c>
      <c r="M22" s="329"/>
      <c r="N22" s="81">
        <f t="shared" si="3"/>
        <v>0</v>
      </c>
    </row>
    <row r="23" s="81" customFormat="1" customHeight="1" spans="1:14">
      <c r="A23" s="155">
        <v>2010401</v>
      </c>
      <c r="B23" s="141" t="s">
        <v>102</v>
      </c>
      <c r="C23" s="17">
        <f t="shared" si="0"/>
        <v>298.9</v>
      </c>
      <c r="D23" s="17">
        <v>298.9</v>
      </c>
      <c r="E23" s="17">
        <v>0</v>
      </c>
      <c r="F23" s="17">
        <v>0</v>
      </c>
      <c r="G23" s="17">
        <v>0</v>
      </c>
      <c r="H23" s="17">
        <v>0.84</v>
      </c>
      <c r="I23" s="17">
        <f t="shared" si="1"/>
        <v>0</v>
      </c>
      <c r="J23" s="17">
        <f t="shared" si="2"/>
        <v>299.74</v>
      </c>
      <c r="K23" s="17">
        <v>299.74</v>
      </c>
      <c r="L23" s="17"/>
      <c r="M23" s="329"/>
      <c r="N23" s="81">
        <f t="shared" si="3"/>
        <v>0</v>
      </c>
    </row>
    <row r="24" s="81" customFormat="1" customHeight="1" spans="1:14">
      <c r="A24" s="155">
        <v>2010404</v>
      </c>
      <c r="B24" s="141" t="s">
        <v>120</v>
      </c>
      <c r="C24" s="17">
        <f t="shared" si="0"/>
        <v>3</v>
      </c>
      <c r="D24" s="17">
        <v>3</v>
      </c>
      <c r="E24" s="17">
        <v>0</v>
      </c>
      <c r="F24" s="17">
        <v>-2</v>
      </c>
      <c r="G24" s="17">
        <v>0</v>
      </c>
      <c r="H24" s="17">
        <v>0</v>
      </c>
      <c r="I24" s="17">
        <f t="shared" si="1"/>
        <v>0</v>
      </c>
      <c r="J24" s="17">
        <f t="shared" si="2"/>
        <v>1</v>
      </c>
      <c r="K24" s="17">
        <v>1</v>
      </c>
      <c r="L24" s="17"/>
      <c r="M24" s="281" t="s">
        <v>121</v>
      </c>
      <c r="N24" s="81">
        <f t="shared" si="3"/>
        <v>0</v>
      </c>
    </row>
    <row r="25" s="81" customFormat="1" customHeight="1" spans="1:14">
      <c r="A25" s="155">
        <v>2010408</v>
      </c>
      <c r="B25" s="141" t="s">
        <v>122</v>
      </c>
      <c r="C25" s="17">
        <f t="shared" si="0"/>
        <v>1.94</v>
      </c>
      <c r="D25" s="17">
        <v>0</v>
      </c>
      <c r="E25" s="17">
        <v>1.94</v>
      </c>
      <c r="F25" s="17"/>
      <c r="G25" s="17"/>
      <c r="H25" s="17"/>
      <c r="I25" s="17">
        <f t="shared" si="1"/>
        <v>0</v>
      </c>
      <c r="J25" s="17">
        <f t="shared" si="2"/>
        <v>1.94</v>
      </c>
      <c r="K25" s="17">
        <v>0</v>
      </c>
      <c r="L25" s="17">
        <v>1.94</v>
      </c>
      <c r="M25" s="281"/>
      <c r="N25" s="81">
        <f t="shared" si="3"/>
        <v>0</v>
      </c>
    </row>
    <row r="26" s="81" customFormat="1" customHeight="1" spans="1:14">
      <c r="A26" s="155">
        <v>2010499</v>
      </c>
      <c r="B26" s="141" t="s">
        <v>123</v>
      </c>
      <c r="C26" s="17">
        <f t="shared" si="0"/>
        <v>264.53</v>
      </c>
      <c r="D26" s="17">
        <v>264.53</v>
      </c>
      <c r="E26" s="17">
        <v>0</v>
      </c>
      <c r="F26" s="17">
        <v>-96.4</v>
      </c>
      <c r="G26" s="17">
        <v>0</v>
      </c>
      <c r="H26" s="17">
        <v>7.09</v>
      </c>
      <c r="I26" s="17">
        <f t="shared" si="1"/>
        <v>0</v>
      </c>
      <c r="J26" s="17">
        <f t="shared" si="2"/>
        <v>175.22</v>
      </c>
      <c r="K26" s="17">
        <v>175.22</v>
      </c>
      <c r="L26" s="17"/>
      <c r="M26" s="281" t="s">
        <v>124</v>
      </c>
      <c r="N26" s="81">
        <f t="shared" si="3"/>
        <v>0</v>
      </c>
    </row>
    <row r="27" s="81" customFormat="1" customHeight="1" spans="1:14">
      <c r="A27" s="155">
        <v>20105</v>
      </c>
      <c r="B27" s="141" t="s">
        <v>125</v>
      </c>
      <c r="C27" s="17">
        <f t="shared" si="0"/>
        <v>462.128789</v>
      </c>
      <c r="D27" s="17">
        <v>408.508789</v>
      </c>
      <c r="E27" s="17">
        <v>53.62</v>
      </c>
      <c r="F27" s="17">
        <v>-27.248789</v>
      </c>
      <c r="G27" s="17">
        <v>0</v>
      </c>
      <c r="H27" s="17">
        <v>0.33</v>
      </c>
      <c r="I27" s="17">
        <f t="shared" si="1"/>
        <v>-8</v>
      </c>
      <c r="J27" s="17">
        <f t="shared" si="2"/>
        <v>427.21</v>
      </c>
      <c r="K27" s="17">
        <v>381.59</v>
      </c>
      <c r="L27" s="17">
        <v>45.62</v>
      </c>
      <c r="M27" s="329"/>
      <c r="N27" s="81">
        <f t="shared" si="3"/>
        <v>0</v>
      </c>
    </row>
    <row r="28" s="81" customFormat="1" customHeight="1" spans="1:14">
      <c r="A28" s="155">
        <v>2010501</v>
      </c>
      <c r="B28" s="141" t="s">
        <v>102</v>
      </c>
      <c r="C28" s="17">
        <f t="shared" si="0"/>
        <v>260.84</v>
      </c>
      <c r="D28" s="17">
        <v>260.84</v>
      </c>
      <c r="E28" s="17">
        <v>0</v>
      </c>
      <c r="F28" s="17">
        <v>0</v>
      </c>
      <c r="G28" s="17">
        <v>0</v>
      </c>
      <c r="H28" s="17">
        <v>0</v>
      </c>
      <c r="I28" s="17">
        <f t="shared" si="1"/>
        <v>0</v>
      </c>
      <c r="J28" s="17">
        <f t="shared" si="2"/>
        <v>260.84</v>
      </c>
      <c r="K28" s="17">
        <v>260.84</v>
      </c>
      <c r="L28" s="17"/>
      <c r="M28" s="329"/>
      <c r="N28" s="81">
        <f t="shared" si="3"/>
        <v>0</v>
      </c>
    </row>
    <row r="29" s="81" customFormat="1" customHeight="1" spans="1:14">
      <c r="A29" s="155">
        <v>2010502</v>
      </c>
      <c r="B29" s="141" t="s">
        <v>126</v>
      </c>
      <c r="C29" s="17">
        <f t="shared" si="0"/>
        <v>10</v>
      </c>
      <c r="D29" s="17">
        <v>10</v>
      </c>
      <c r="E29" s="17">
        <v>0</v>
      </c>
      <c r="F29" s="17">
        <v>0</v>
      </c>
      <c r="G29" s="17">
        <v>0</v>
      </c>
      <c r="H29" s="17">
        <v>0</v>
      </c>
      <c r="I29" s="17">
        <f t="shared" si="1"/>
        <v>0</v>
      </c>
      <c r="J29" s="17">
        <f t="shared" si="2"/>
        <v>10</v>
      </c>
      <c r="K29" s="17">
        <v>10</v>
      </c>
      <c r="L29" s="17"/>
      <c r="M29" s="329"/>
      <c r="N29" s="81">
        <f t="shared" si="3"/>
        <v>0</v>
      </c>
    </row>
    <row r="30" s="81" customFormat="1" customHeight="1" spans="1:14">
      <c r="A30" s="155">
        <v>2010507</v>
      </c>
      <c r="B30" s="141" t="s">
        <v>127</v>
      </c>
      <c r="C30" s="17">
        <f t="shared" si="0"/>
        <v>48.62</v>
      </c>
      <c r="D30" s="17">
        <v>35</v>
      </c>
      <c r="E30" s="17">
        <v>13.62</v>
      </c>
      <c r="F30" s="17">
        <v>0</v>
      </c>
      <c r="G30" s="17">
        <v>0</v>
      </c>
      <c r="H30" s="17">
        <v>0</v>
      </c>
      <c r="I30" s="17">
        <f t="shared" si="1"/>
        <v>12</v>
      </c>
      <c r="J30" s="17">
        <f t="shared" si="2"/>
        <v>60.62</v>
      </c>
      <c r="K30" s="17">
        <v>35</v>
      </c>
      <c r="L30" s="17">
        <v>25.62</v>
      </c>
      <c r="M30" s="329"/>
      <c r="N30" s="81">
        <f t="shared" si="3"/>
        <v>0</v>
      </c>
    </row>
    <row r="31" s="81" customFormat="1" customHeight="1" spans="1:14">
      <c r="A31" s="155">
        <v>2010508</v>
      </c>
      <c r="B31" s="141" t="s">
        <v>128</v>
      </c>
      <c r="C31" s="17">
        <f t="shared" si="0"/>
        <v>17</v>
      </c>
      <c r="D31" s="17">
        <v>17</v>
      </c>
      <c r="E31" s="17">
        <v>0</v>
      </c>
      <c r="F31" s="17">
        <v>0</v>
      </c>
      <c r="G31" s="17">
        <v>0</v>
      </c>
      <c r="H31" s="17">
        <v>0</v>
      </c>
      <c r="I31" s="17">
        <f t="shared" si="1"/>
        <v>0</v>
      </c>
      <c r="J31" s="17">
        <f t="shared" si="2"/>
        <v>17</v>
      </c>
      <c r="K31" s="17">
        <v>17</v>
      </c>
      <c r="L31" s="17"/>
      <c r="M31" s="281"/>
      <c r="N31" s="81">
        <f t="shared" si="3"/>
        <v>0</v>
      </c>
    </row>
    <row r="32" s="81" customFormat="1" customHeight="1" spans="1:14">
      <c r="A32" s="155">
        <v>2010550</v>
      </c>
      <c r="B32" s="141" t="s">
        <v>129</v>
      </c>
      <c r="C32" s="17">
        <f t="shared" si="0"/>
        <v>56.5</v>
      </c>
      <c r="D32" s="17">
        <v>56.5</v>
      </c>
      <c r="E32" s="17">
        <v>0</v>
      </c>
      <c r="F32" s="17">
        <v>0</v>
      </c>
      <c r="G32" s="17">
        <v>0</v>
      </c>
      <c r="H32" s="17">
        <v>0.33</v>
      </c>
      <c r="I32" s="17">
        <f t="shared" si="1"/>
        <v>0</v>
      </c>
      <c r="J32" s="17">
        <f t="shared" si="2"/>
        <v>56.83</v>
      </c>
      <c r="K32" s="17">
        <v>56.83</v>
      </c>
      <c r="L32" s="17"/>
      <c r="M32" s="329"/>
      <c r="N32" s="81">
        <f t="shared" si="3"/>
        <v>0</v>
      </c>
    </row>
    <row r="33" s="81" customFormat="1" customHeight="1" spans="1:14">
      <c r="A33" s="155">
        <v>2010599</v>
      </c>
      <c r="B33" s="141" t="s">
        <v>130</v>
      </c>
      <c r="C33" s="17">
        <f t="shared" si="0"/>
        <v>69.168789</v>
      </c>
      <c r="D33" s="17">
        <v>29.168789</v>
      </c>
      <c r="E33" s="17">
        <v>40</v>
      </c>
      <c r="F33" s="17">
        <v>-27.248789</v>
      </c>
      <c r="G33" s="17">
        <v>0</v>
      </c>
      <c r="H33" s="17">
        <v>0</v>
      </c>
      <c r="I33" s="17">
        <f t="shared" si="1"/>
        <v>-20</v>
      </c>
      <c r="J33" s="17">
        <f t="shared" si="2"/>
        <v>21.92</v>
      </c>
      <c r="K33" s="17">
        <v>1.92</v>
      </c>
      <c r="L33" s="17">
        <v>20</v>
      </c>
      <c r="M33" s="329" t="s">
        <v>131</v>
      </c>
      <c r="N33" s="81">
        <f t="shared" si="3"/>
        <v>0</v>
      </c>
    </row>
    <row r="34" s="81" customFormat="1" customHeight="1" spans="1:14">
      <c r="A34" s="155">
        <v>20106</v>
      </c>
      <c r="B34" s="141" t="s">
        <v>132</v>
      </c>
      <c r="C34" s="17">
        <f t="shared" si="0"/>
        <v>1090.42</v>
      </c>
      <c r="D34" s="17">
        <v>1090.42</v>
      </c>
      <c r="E34" s="17">
        <v>0</v>
      </c>
      <c r="F34" s="17">
        <v>56.82</v>
      </c>
      <c r="G34" s="17">
        <v>0</v>
      </c>
      <c r="H34" s="17">
        <v>0.27</v>
      </c>
      <c r="I34" s="17">
        <f t="shared" si="1"/>
        <v>28</v>
      </c>
      <c r="J34" s="17">
        <f t="shared" si="2"/>
        <v>1175.51</v>
      </c>
      <c r="K34" s="17">
        <v>1147.51</v>
      </c>
      <c r="L34" s="17">
        <v>28</v>
      </c>
      <c r="M34" s="329"/>
      <c r="N34" s="81">
        <f t="shared" si="3"/>
        <v>0</v>
      </c>
    </row>
    <row r="35" s="81" customFormat="1" customHeight="1" spans="1:14">
      <c r="A35" s="155">
        <v>2010601</v>
      </c>
      <c r="B35" s="141" t="s">
        <v>102</v>
      </c>
      <c r="C35" s="17">
        <f t="shared" si="0"/>
        <v>709.12</v>
      </c>
      <c r="D35" s="17">
        <v>709.12</v>
      </c>
      <c r="E35" s="17">
        <v>0</v>
      </c>
      <c r="F35" s="17">
        <v>33.82</v>
      </c>
      <c r="G35" s="17">
        <v>0</v>
      </c>
      <c r="H35" s="17">
        <v>0.27</v>
      </c>
      <c r="I35" s="17">
        <f t="shared" si="1"/>
        <v>0</v>
      </c>
      <c r="J35" s="17">
        <f t="shared" si="2"/>
        <v>743.21</v>
      </c>
      <c r="K35" s="17">
        <v>743.21</v>
      </c>
      <c r="L35" s="17"/>
      <c r="M35" s="329" t="s">
        <v>103</v>
      </c>
      <c r="N35" s="81">
        <f t="shared" si="3"/>
        <v>0</v>
      </c>
    </row>
    <row r="36" s="81" customFormat="1" customHeight="1" spans="1:14">
      <c r="A36" s="155">
        <v>2010607</v>
      </c>
      <c r="B36" s="141" t="s">
        <v>133</v>
      </c>
      <c r="C36" s="17">
        <f t="shared" si="0"/>
        <v>129</v>
      </c>
      <c r="D36" s="17">
        <v>129</v>
      </c>
      <c r="E36" s="17">
        <v>0</v>
      </c>
      <c r="F36" s="17">
        <v>8</v>
      </c>
      <c r="G36" s="17">
        <v>0</v>
      </c>
      <c r="H36" s="17">
        <v>0</v>
      </c>
      <c r="I36" s="17">
        <f t="shared" si="1"/>
        <v>0</v>
      </c>
      <c r="J36" s="17">
        <f t="shared" si="2"/>
        <v>137</v>
      </c>
      <c r="K36" s="17">
        <v>137</v>
      </c>
      <c r="L36" s="17"/>
      <c r="M36" s="329" t="s">
        <v>134</v>
      </c>
      <c r="N36" s="81">
        <f t="shared" si="3"/>
        <v>0</v>
      </c>
    </row>
    <row r="37" s="81" customFormat="1" customHeight="1" spans="1:14">
      <c r="A37" s="155">
        <v>2010608</v>
      </c>
      <c r="B37" s="155" t="s">
        <v>135</v>
      </c>
      <c r="C37" s="17">
        <f t="shared" si="0"/>
        <v>2</v>
      </c>
      <c r="D37" s="17">
        <v>2</v>
      </c>
      <c r="E37" s="17">
        <v>0</v>
      </c>
      <c r="F37" s="17">
        <v>0</v>
      </c>
      <c r="G37" s="17">
        <v>0</v>
      </c>
      <c r="H37" s="17">
        <v>0</v>
      </c>
      <c r="I37" s="17">
        <f t="shared" si="1"/>
        <v>0</v>
      </c>
      <c r="J37" s="17">
        <f t="shared" si="2"/>
        <v>2</v>
      </c>
      <c r="K37" s="17">
        <v>2</v>
      </c>
      <c r="L37" s="17"/>
      <c r="M37" s="329"/>
      <c r="N37" s="81">
        <f t="shared" si="3"/>
        <v>0</v>
      </c>
    </row>
    <row r="38" s="81" customFormat="1" customHeight="1" spans="1:14">
      <c r="A38" s="155">
        <v>2010699</v>
      </c>
      <c r="B38" s="141" t="s">
        <v>136</v>
      </c>
      <c r="C38" s="17">
        <f t="shared" si="0"/>
        <v>250.3</v>
      </c>
      <c r="D38" s="17">
        <v>250.3</v>
      </c>
      <c r="E38" s="17">
        <v>0</v>
      </c>
      <c r="F38" s="17">
        <v>15</v>
      </c>
      <c r="G38" s="17">
        <v>0</v>
      </c>
      <c r="H38" s="17">
        <v>0</v>
      </c>
      <c r="I38" s="17">
        <f t="shared" si="1"/>
        <v>28</v>
      </c>
      <c r="J38" s="17">
        <f t="shared" si="2"/>
        <v>293.3</v>
      </c>
      <c r="K38" s="17">
        <v>265.3</v>
      </c>
      <c r="L38" s="17">
        <v>28</v>
      </c>
      <c r="M38" s="329" t="s">
        <v>137</v>
      </c>
      <c r="N38" s="81">
        <f t="shared" si="3"/>
        <v>0</v>
      </c>
    </row>
    <row r="39" s="81" customFormat="1" customHeight="1" spans="1:14">
      <c r="A39" s="155">
        <v>20107</v>
      </c>
      <c r="B39" s="141" t="s">
        <v>138</v>
      </c>
      <c r="C39" s="17">
        <f t="shared" si="0"/>
        <v>2820.7</v>
      </c>
      <c r="D39" s="17">
        <v>2800</v>
      </c>
      <c r="E39" s="17">
        <v>20.7</v>
      </c>
      <c r="F39" s="17">
        <v>900</v>
      </c>
      <c r="G39" s="17">
        <v>0</v>
      </c>
      <c r="H39" s="17">
        <v>0</v>
      </c>
      <c r="I39" s="17">
        <f t="shared" si="1"/>
        <v>0</v>
      </c>
      <c r="J39" s="17">
        <f t="shared" si="2"/>
        <v>3720.7</v>
      </c>
      <c r="K39" s="17">
        <v>3700</v>
      </c>
      <c r="L39" s="17">
        <v>20.7</v>
      </c>
      <c r="M39" s="281"/>
      <c r="N39" s="81">
        <f t="shared" si="3"/>
        <v>0</v>
      </c>
    </row>
    <row r="40" s="81" customFormat="1" customHeight="1" spans="1:14">
      <c r="A40" s="155">
        <v>2010799</v>
      </c>
      <c r="B40" s="141" t="s">
        <v>138</v>
      </c>
      <c r="C40" s="17">
        <f t="shared" si="0"/>
        <v>2820.7</v>
      </c>
      <c r="D40" s="17">
        <v>2800</v>
      </c>
      <c r="E40" s="17">
        <v>20.7</v>
      </c>
      <c r="F40" s="17">
        <v>900</v>
      </c>
      <c r="G40" s="17">
        <v>0</v>
      </c>
      <c r="H40" s="17">
        <v>0</v>
      </c>
      <c r="I40" s="17">
        <f t="shared" si="1"/>
        <v>0</v>
      </c>
      <c r="J40" s="17">
        <f t="shared" si="2"/>
        <v>3720.7</v>
      </c>
      <c r="K40" s="17">
        <v>3700</v>
      </c>
      <c r="L40" s="17">
        <v>20.7</v>
      </c>
      <c r="M40" s="281" t="s">
        <v>139</v>
      </c>
      <c r="N40" s="81">
        <f t="shared" si="3"/>
        <v>0</v>
      </c>
    </row>
    <row r="41" s="81" customFormat="1" customHeight="1" spans="1:14">
      <c r="A41" s="155">
        <v>20108</v>
      </c>
      <c r="B41" s="141" t="s">
        <v>140</v>
      </c>
      <c r="C41" s="17">
        <f t="shared" si="0"/>
        <v>374.97</v>
      </c>
      <c r="D41" s="17">
        <v>374.97</v>
      </c>
      <c r="E41" s="17">
        <v>0</v>
      </c>
      <c r="F41" s="17">
        <v>-5.91</v>
      </c>
      <c r="G41" s="17">
        <v>0</v>
      </c>
      <c r="H41" s="17">
        <v>0.39</v>
      </c>
      <c r="I41" s="17">
        <f t="shared" si="1"/>
        <v>0</v>
      </c>
      <c r="J41" s="17">
        <f t="shared" si="2"/>
        <v>369.45</v>
      </c>
      <c r="K41" s="17">
        <v>369.45</v>
      </c>
      <c r="L41" s="17"/>
      <c r="M41" s="329"/>
      <c r="N41" s="81">
        <f t="shared" si="3"/>
        <v>0</v>
      </c>
    </row>
    <row r="42" s="81" customFormat="1" customHeight="1" spans="1:14">
      <c r="A42" s="155">
        <v>2010801</v>
      </c>
      <c r="B42" s="141" t="s">
        <v>102</v>
      </c>
      <c r="C42" s="17">
        <f t="shared" si="0"/>
        <v>241.34</v>
      </c>
      <c r="D42" s="17">
        <v>241.34</v>
      </c>
      <c r="E42" s="17">
        <v>0</v>
      </c>
      <c r="F42" s="17">
        <v>8.14</v>
      </c>
      <c r="G42" s="17">
        <v>0</v>
      </c>
      <c r="H42" s="17">
        <v>0.39</v>
      </c>
      <c r="I42" s="17">
        <f t="shared" si="1"/>
        <v>0</v>
      </c>
      <c r="J42" s="17">
        <f t="shared" si="2"/>
        <v>249.87</v>
      </c>
      <c r="K42" s="17">
        <v>249.87</v>
      </c>
      <c r="L42" s="17"/>
      <c r="M42" s="281" t="s">
        <v>103</v>
      </c>
      <c r="N42" s="81">
        <f t="shared" si="3"/>
        <v>0</v>
      </c>
    </row>
    <row r="43" s="81" customFormat="1" customHeight="1" spans="1:14">
      <c r="A43" s="155">
        <v>2010804</v>
      </c>
      <c r="B43" s="141" t="s">
        <v>141</v>
      </c>
      <c r="C43" s="17">
        <f t="shared" si="0"/>
        <v>75.93</v>
      </c>
      <c r="D43" s="17">
        <v>75.93</v>
      </c>
      <c r="E43" s="17">
        <v>0</v>
      </c>
      <c r="F43" s="17">
        <v>-13.25</v>
      </c>
      <c r="G43" s="17">
        <v>0</v>
      </c>
      <c r="H43" s="17">
        <v>0</v>
      </c>
      <c r="I43" s="17">
        <f t="shared" si="1"/>
        <v>0</v>
      </c>
      <c r="J43" s="17">
        <f t="shared" si="2"/>
        <v>62.68</v>
      </c>
      <c r="K43" s="17">
        <v>62.68</v>
      </c>
      <c r="L43" s="17"/>
      <c r="M43" s="329" t="s">
        <v>142</v>
      </c>
      <c r="N43" s="81">
        <f t="shared" si="3"/>
        <v>0</v>
      </c>
    </row>
    <row r="44" s="81" customFormat="1" customHeight="1" spans="1:14">
      <c r="A44" s="155">
        <v>2010806</v>
      </c>
      <c r="B44" s="141" t="s">
        <v>133</v>
      </c>
      <c r="C44" s="17">
        <f t="shared" si="0"/>
        <v>2</v>
      </c>
      <c r="D44" s="17">
        <v>2</v>
      </c>
      <c r="E44" s="17">
        <v>0</v>
      </c>
      <c r="F44" s="17">
        <v>0</v>
      </c>
      <c r="G44" s="17">
        <v>0</v>
      </c>
      <c r="H44" s="17">
        <v>0</v>
      </c>
      <c r="I44" s="17">
        <f t="shared" si="1"/>
        <v>0</v>
      </c>
      <c r="J44" s="17">
        <f t="shared" si="2"/>
        <v>2</v>
      </c>
      <c r="K44" s="17">
        <v>2</v>
      </c>
      <c r="L44" s="17"/>
      <c r="M44" s="281"/>
      <c r="N44" s="81">
        <f t="shared" si="3"/>
        <v>0</v>
      </c>
    </row>
    <row r="45" s="81" customFormat="1" customHeight="1" spans="1:14">
      <c r="A45" s="155">
        <v>2010850</v>
      </c>
      <c r="B45" s="141" t="s">
        <v>129</v>
      </c>
      <c r="C45" s="17">
        <f t="shared" si="0"/>
        <v>55.7</v>
      </c>
      <c r="D45" s="17">
        <v>55.7</v>
      </c>
      <c r="E45" s="17">
        <v>0</v>
      </c>
      <c r="F45" s="17">
        <v>-0.8</v>
      </c>
      <c r="G45" s="17">
        <v>0</v>
      </c>
      <c r="H45" s="17">
        <v>0</v>
      </c>
      <c r="I45" s="17">
        <f t="shared" si="1"/>
        <v>0</v>
      </c>
      <c r="J45" s="17">
        <f t="shared" si="2"/>
        <v>54.9</v>
      </c>
      <c r="K45" s="17">
        <v>54.9</v>
      </c>
      <c r="L45" s="17"/>
      <c r="M45" s="329" t="s">
        <v>143</v>
      </c>
      <c r="N45" s="81">
        <f t="shared" si="3"/>
        <v>0</v>
      </c>
    </row>
    <row r="46" s="81" customFormat="1" customHeight="1" spans="1:14">
      <c r="A46" s="155">
        <v>20111</v>
      </c>
      <c r="B46" s="141" t="s">
        <v>144</v>
      </c>
      <c r="C46" s="17">
        <f t="shared" ref="C46:C105" si="4">D46+E46</f>
        <v>1333.19</v>
      </c>
      <c r="D46" s="17">
        <v>1333.19</v>
      </c>
      <c r="E46" s="17">
        <v>0</v>
      </c>
      <c r="F46" s="17">
        <v>34.62</v>
      </c>
      <c r="G46" s="17">
        <v>0</v>
      </c>
      <c r="H46" s="17">
        <v>7.02</v>
      </c>
      <c r="I46" s="17">
        <f t="shared" ref="I46:I105" si="5">L46-E46</f>
        <v>0</v>
      </c>
      <c r="J46" s="17">
        <f t="shared" ref="J46:J105" si="6">K46+L46</f>
        <v>1374.83</v>
      </c>
      <c r="K46" s="17">
        <v>1374.83</v>
      </c>
      <c r="L46" s="17"/>
      <c r="M46" s="329"/>
      <c r="N46" s="81">
        <f t="shared" si="3"/>
        <v>0</v>
      </c>
    </row>
    <row r="47" s="81" customFormat="1" customHeight="1" spans="1:14">
      <c r="A47" s="155">
        <v>2011001</v>
      </c>
      <c r="B47" s="141" t="s">
        <v>102</v>
      </c>
      <c r="C47" s="17">
        <f t="shared" si="4"/>
        <v>1098.59</v>
      </c>
      <c r="D47" s="17">
        <v>1098.59</v>
      </c>
      <c r="E47" s="17">
        <v>0</v>
      </c>
      <c r="F47" s="17">
        <v>34.62</v>
      </c>
      <c r="G47" s="17">
        <v>0</v>
      </c>
      <c r="H47" s="17">
        <v>7.02</v>
      </c>
      <c r="I47" s="17">
        <f t="shared" si="5"/>
        <v>0</v>
      </c>
      <c r="J47" s="17">
        <f t="shared" si="6"/>
        <v>1140.23</v>
      </c>
      <c r="K47" s="17">
        <v>1140.23</v>
      </c>
      <c r="L47" s="17"/>
      <c r="M47" s="281" t="s">
        <v>103</v>
      </c>
      <c r="N47" s="81">
        <f t="shared" si="3"/>
        <v>0</v>
      </c>
    </row>
    <row r="48" s="81" customFormat="1" customHeight="1" spans="1:14">
      <c r="A48" s="155" t="s">
        <v>145</v>
      </c>
      <c r="B48" s="141" t="s">
        <v>146</v>
      </c>
      <c r="C48" s="17">
        <f t="shared" si="4"/>
        <v>35</v>
      </c>
      <c r="D48" s="17">
        <v>35</v>
      </c>
      <c r="E48" s="17"/>
      <c r="F48" s="17">
        <v>0</v>
      </c>
      <c r="G48" s="17">
        <v>0</v>
      </c>
      <c r="H48" s="17">
        <v>0</v>
      </c>
      <c r="I48" s="17">
        <f t="shared" si="5"/>
        <v>0</v>
      </c>
      <c r="J48" s="17">
        <f t="shared" si="6"/>
        <v>35</v>
      </c>
      <c r="K48" s="17">
        <v>35</v>
      </c>
      <c r="L48" s="17"/>
      <c r="M48" s="281"/>
      <c r="N48" s="81">
        <f t="shared" si="3"/>
        <v>0</v>
      </c>
    </row>
    <row r="49" s="81" customFormat="1" customHeight="1" spans="1:14">
      <c r="A49" s="145">
        <v>2011105</v>
      </c>
      <c r="B49" s="141" t="s">
        <v>147</v>
      </c>
      <c r="C49" s="17">
        <f t="shared" si="4"/>
        <v>30</v>
      </c>
      <c r="D49" s="17">
        <v>30</v>
      </c>
      <c r="E49" s="17">
        <v>0</v>
      </c>
      <c r="F49" s="17"/>
      <c r="G49" s="17"/>
      <c r="H49" s="17"/>
      <c r="I49" s="17">
        <f t="shared" si="5"/>
        <v>0</v>
      </c>
      <c r="J49" s="17">
        <f t="shared" si="6"/>
        <v>30</v>
      </c>
      <c r="K49" s="17">
        <v>30</v>
      </c>
      <c r="L49" s="17"/>
      <c r="M49" s="281"/>
      <c r="N49" s="81">
        <f t="shared" si="3"/>
        <v>0</v>
      </c>
    </row>
    <row r="50" s="81" customFormat="1" customHeight="1" spans="1:14">
      <c r="A50" s="155">
        <v>2011199</v>
      </c>
      <c r="B50" s="141" t="s">
        <v>148</v>
      </c>
      <c r="C50" s="17">
        <f t="shared" si="4"/>
        <v>169.6</v>
      </c>
      <c r="D50" s="17">
        <v>169.6</v>
      </c>
      <c r="E50" s="17">
        <v>0</v>
      </c>
      <c r="F50" s="17">
        <v>0</v>
      </c>
      <c r="G50" s="17">
        <v>0</v>
      </c>
      <c r="H50" s="17">
        <v>0</v>
      </c>
      <c r="I50" s="17">
        <f t="shared" si="5"/>
        <v>0</v>
      </c>
      <c r="J50" s="17">
        <f t="shared" si="6"/>
        <v>169.6</v>
      </c>
      <c r="K50" s="17">
        <v>169.6</v>
      </c>
      <c r="L50" s="17"/>
      <c r="M50" s="329">
        <v>0</v>
      </c>
      <c r="N50" s="81">
        <f t="shared" si="3"/>
        <v>0</v>
      </c>
    </row>
    <row r="51" s="81" customFormat="1" customHeight="1" spans="1:14">
      <c r="A51" s="155">
        <v>20113</v>
      </c>
      <c r="B51" s="141" t="s">
        <v>149</v>
      </c>
      <c r="C51" s="17">
        <f t="shared" si="4"/>
        <v>1040.62</v>
      </c>
      <c r="D51" s="17">
        <v>1040.62</v>
      </c>
      <c r="E51" s="17">
        <v>0</v>
      </c>
      <c r="F51" s="17">
        <v>-19.54</v>
      </c>
      <c r="G51" s="17">
        <v>0</v>
      </c>
      <c r="H51" s="17">
        <v>21.36</v>
      </c>
      <c r="I51" s="17">
        <f t="shared" si="5"/>
        <v>0</v>
      </c>
      <c r="J51" s="17">
        <f t="shared" si="6"/>
        <v>1042.44</v>
      </c>
      <c r="K51" s="17">
        <v>1042.44</v>
      </c>
      <c r="L51" s="17"/>
      <c r="M51" s="329"/>
      <c r="N51" s="81">
        <f t="shared" si="3"/>
        <v>0</v>
      </c>
    </row>
    <row r="52" s="81" customFormat="1" customHeight="1" spans="1:14">
      <c r="A52" s="155">
        <v>2011301</v>
      </c>
      <c r="B52" s="141" t="s">
        <v>102</v>
      </c>
      <c r="C52" s="17">
        <f t="shared" si="4"/>
        <v>431.11</v>
      </c>
      <c r="D52" s="17">
        <v>431.11</v>
      </c>
      <c r="E52" s="17">
        <v>0</v>
      </c>
      <c r="F52" s="17">
        <v>-2.1</v>
      </c>
      <c r="G52" s="17">
        <v>0</v>
      </c>
      <c r="H52" s="17">
        <v>0</v>
      </c>
      <c r="I52" s="17">
        <f t="shared" si="5"/>
        <v>0</v>
      </c>
      <c r="J52" s="17">
        <f t="shared" si="6"/>
        <v>429.01</v>
      </c>
      <c r="K52" s="17">
        <v>429.01</v>
      </c>
      <c r="L52" s="17"/>
      <c r="M52" s="329" t="s">
        <v>143</v>
      </c>
      <c r="N52" s="81">
        <f t="shared" si="3"/>
        <v>0</v>
      </c>
    </row>
    <row r="53" s="81" customFormat="1" customHeight="1" spans="1:14">
      <c r="A53" s="155">
        <v>2011308</v>
      </c>
      <c r="B53" s="141" t="s">
        <v>150</v>
      </c>
      <c r="C53" s="17">
        <f t="shared" si="4"/>
        <v>44</v>
      </c>
      <c r="D53" s="17">
        <v>44</v>
      </c>
      <c r="E53" s="17">
        <v>0</v>
      </c>
      <c r="F53" s="17">
        <v>10</v>
      </c>
      <c r="G53" s="17">
        <v>0</v>
      </c>
      <c r="H53" s="17">
        <v>0</v>
      </c>
      <c r="I53" s="17">
        <f t="shared" si="5"/>
        <v>0</v>
      </c>
      <c r="J53" s="17">
        <f t="shared" si="6"/>
        <v>54</v>
      </c>
      <c r="K53" s="17">
        <v>54</v>
      </c>
      <c r="L53" s="17"/>
      <c r="M53" s="329" t="s">
        <v>151</v>
      </c>
      <c r="N53" s="81">
        <f t="shared" si="3"/>
        <v>0</v>
      </c>
    </row>
    <row r="54" s="81" customFormat="1" customHeight="1" spans="1:14">
      <c r="A54" s="155">
        <v>2011399</v>
      </c>
      <c r="B54" s="141" t="s">
        <v>152</v>
      </c>
      <c r="C54" s="17">
        <f t="shared" si="4"/>
        <v>565.51</v>
      </c>
      <c r="D54" s="17">
        <v>565.51</v>
      </c>
      <c r="E54" s="17">
        <v>0</v>
      </c>
      <c r="F54" s="17">
        <v>-27.44</v>
      </c>
      <c r="G54" s="17">
        <v>0</v>
      </c>
      <c r="H54" s="17">
        <v>21.36</v>
      </c>
      <c r="I54" s="17">
        <f t="shared" si="5"/>
        <v>0</v>
      </c>
      <c r="J54" s="17">
        <f t="shared" si="6"/>
        <v>559.43</v>
      </c>
      <c r="K54" s="17">
        <v>559.43</v>
      </c>
      <c r="L54" s="17"/>
      <c r="M54" s="329" t="s">
        <v>143</v>
      </c>
      <c r="N54" s="81">
        <f t="shared" si="3"/>
        <v>0</v>
      </c>
    </row>
    <row r="55" s="81" customFormat="1" customHeight="1" spans="1:14">
      <c r="A55" s="155">
        <v>20114</v>
      </c>
      <c r="B55" s="141" t="s">
        <v>153</v>
      </c>
      <c r="C55" s="17">
        <f t="shared" si="4"/>
        <v>66.47</v>
      </c>
      <c r="D55" s="17">
        <v>66.47</v>
      </c>
      <c r="E55" s="17">
        <v>0</v>
      </c>
      <c r="F55" s="17">
        <v>0</v>
      </c>
      <c r="G55" s="17">
        <v>0</v>
      </c>
      <c r="H55" s="17">
        <v>5</v>
      </c>
      <c r="I55" s="17">
        <f t="shared" si="5"/>
        <v>24.59</v>
      </c>
      <c r="J55" s="17">
        <f t="shared" si="6"/>
        <v>96.06</v>
      </c>
      <c r="K55" s="17">
        <v>71.47</v>
      </c>
      <c r="L55" s="17">
        <v>24.59</v>
      </c>
      <c r="M55" s="329"/>
      <c r="N55" s="81">
        <f t="shared" si="3"/>
        <v>0</v>
      </c>
    </row>
    <row r="56" s="81" customFormat="1" customHeight="1" spans="1:14">
      <c r="A56" s="145">
        <v>2011409</v>
      </c>
      <c r="B56" s="141" t="s">
        <v>154</v>
      </c>
      <c r="C56" s="17">
        <f t="shared" si="4"/>
        <v>35</v>
      </c>
      <c r="D56" s="17">
        <v>35</v>
      </c>
      <c r="E56" s="17">
        <v>0</v>
      </c>
      <c r="F56" s="17"/>
      <c r="G56" s="17"/>
      <c r="H56" s="17"/>
      <c r="I56" s="17">
        <f t="shared" si="5"/>
        <v>24.59</v>
      </c>
      <c r="J56" s="17">
        <f t="shared" si="6"/>
        <v>59.59</v>
      </c>
      <c r="K56" s="17">
        <v>35</v>
      </c>
      <c r="L56" s="17">
        <v>24.59</v>
      </c>
      <c r="M56" s="329"/>
      <c r="N56" s="81">
        <f t="shared" si="3"/>
        <v>0</v>
      </c>
    </row>
    <row r="57" s="81" customFormat="1" customHeight="1" spans="1:14">
      <c r="A57" s="155">
        <v>2011499</v>
      </c>
      <c r="B57" s="141" t="s">
        <v>155</v>
      </c>
      <c r="C57" s="17">
        <f t="shared" si="4"/>
        <v>31.47</v>
      </c>
      <c r="D57" s="17">
        <v>31.47</v>
      </c>
      <c r="E57" s="17">
        <v>0</v>
      </c>
      <c r="F57" s="17">
        <v>0</v>
      </c>
      <c r="G57" s="17">
        <v>0</v>
      </c>
      <c r="H57" s="17">
        <v>5</v>
      </c>
      <c r="I57" s="17">
        <f t="shared" si="5"/>
        <v>0</v>
      </c>
      <c r="J57" s="17">
        <f t="shared" si="6"/>
        <v>36.47</v>
      </c>
      <c r="K57" s="17">
        <v>36.47</v>
      </c>
      <c r="L57" s="17"/>
      <c r="M57" s="329"/>
      <c r="N57" s="81">
        <f t="shared" si="3"/>
        <v>0</v>
      </c>
    </row>
    <row r="58" s="81" customFormat="1" customHeight="1" spans="1:14">
      <c r="A58" s="155">
        <v>20125</v>
      </c>
      <c r="B58" s="141" t="s">
        <v>156</v>
      </c>
      <c r="C58" s="17">
        <f t="shared" si="4"/>
        <v>50</v>
      </c>
      <c r="D58" s="17">
        <v>50</v>
      </c>
      <c r="E58" s="17">
        <v>0</v>
      </c>
      <c r="F58" s="17">
        <v>0</v>
      </c>
      <c r="G58" s="17">
        <v>0</v>
      </c>
      <c r="H58" s="17">
        <v>0</v>
      </c>
      <c r="I58" s="17">
        <f t="shared" si="5"/>
        <v>0</v>
      </c>
      <c r="J58" s="17">
        <f t="shared" si="6"/>
        <v>50</v>
      </c>
      <c r="K58" s="17">
        <v>50</v>
      </c>
      <c r="L58" s="17"/>
      <c r="M58" s="329"/>
      <c r="N58" s="81">
        <f t="shared" si="3"/>
        <v>0</v>
      </c>
    </row>
    <row r="59" s="81" customFormat="1" customHeight="1" spans="1:14">
      <c r="A59" s="155">
        <v>2012504</v>
      </c>
      <c r="B59" s="141" t="s">
        <v>157</v>
      </c>
      <c r="C59" s="17">
        <f t="shared" si="4"/>
        <v>50</v>
      </c>
      <c r="D59" s="17">
        <v>50</v>
      </c>
      <c r="E59" s="17">
        <v>0</v>
      </c>
      <c r="F59" s="17">
        <v>0</v>
      </c>
      <c r="G59" s="17">
        <v>0</v>
      </c>
      <c r="H59" s="17">
        <v>0</v>
      </c>
      <c r="I59" s="17">
        <f t="shared" si="5"/>
        <v>0</v>
      </c>
      <c r="J59" s="17">
        <f t="shared" si="6"/>
        <v>50</v>
      </c>
      <c r="K59" s="17">
        <v>50</v>
      </c>
      <c r="L59" s="17"/>
      <c r="M59" s="329"/>
      <c r="N59" s="81">
        <f t="shared" si="3"/>
        <v>0</v>
      </c>
    </row>
    <row r="60" s="81" customFormat="1" customHeight="1" spans="1:14">
      <c r="A60" s="155">
        <v>20126</v>
      </c>
      <c r="B60" s="141" t="s">
        <v>158</v>
      </c>
      <c r="C60" s="17">
        <f t="shared" si="4"/>
        <v>202.75</v>
      </c>
      <c r="D60" s="17">
        <v>202.75</v>
      </c>
      <c r="E60" s="17">
        <v>0</v>
      </c>
      <c r="F60" s="17">
        <v>-30</v>
      </c>
      <c r="G60" s="17">
        <v>0</v>
      </c>
      <c r="H60" s="17">
        <v>0</v>
      </c>
      <c r="I60" s="17">
        <f t="shared" si="5"/>
        <v>0</v>
      </c>
      <c r="J60" s="17">
        <f t="shared" si="6"/>
        <v>172.75</v>
      </c>
      <c r="K60" s="17">
        <v>172.75</v>
      </c>
      <c r="L60" s="17"/>
      <c r="M60" s="281"/>
      <c r="N60" s="81">
        <f t="shared" si="3"/>
        <v>0</v>
      </c>
    </row>
    <row r="61" s="81" customFormat="1" customHeight="1" spans="1:14">
      <c r="A61" s="155">
        <v>2012604</v>
      </c>
      <c r="B61" s="141" t="s">
        <v>159</v>
      </c>
      <c r="C61" s="17">
        <f t="shared" si="4"/>
        <v>202.75</v>
      </c>
      <c r="D61" s="17">
        <v>202.75</v>
      </c>
      <c r="E61" s="17">
        <v>0</v>
      </c>
      <c r="F61" s="17">
        <v>-30</v>
      </c>
      <c r="G61" s="17">
        <v>0</v>
      </c>
      <c r="H61" s="17">
        <v>0</v>
      </c>
      <c r="I61" s="17">
        <f t="shared" si="5"/>
        <v>0</v>
      </c>
      <c r="J61" s="17">
        <f t="shared" si="6"/>
        <v>172.75</v>
      </c>
      <c r="K61" s="17">
        <v>172.75</v>
      </c>
      <c r="L61" s="17"/>
      <c r="M61" s="329" t="s">
        <v>160</v>
      </c>
      <c r="N61" s="81">
        <f t="shared" si="3"/>
        <v>0</v>
      </c>
    </row>
    <row r="62" s="81" customFormat="1" customHeight="1" spans="1:14">
      <c r="A62" s="155">
        <v>20128</v>
      </c>
      <c r="B62" s="141" t="s">
        <v>161</v>
      </c>
      <c r="C62" s="17">
        <f t="shared" si="4"/>
        <v>86.31</v>
      </c>
      <c r="D62" s="17">
        <v>86.31</v>
      </c>
      <c r="E62" s="17">
        <v>0</v>
      </c>
      <c r="F62" s="17">
        <v>7.32</v>
      </c>
      <c r="G62" s="17">
        <v>0</v>
      </c>
      <c r="H62" s="17">
        <v>2.85</v>
      </c>
      <c r="I62" s="17">
        <f t="shared" si="5"/>
        <v>0</v>
      </c>
      <c r="J62" s="17">
        <f t="shared" si="6"/>
        <v>96.48</v>
      </c>
      <c r="K62" s="17">
        <v>96.48</v>
      </c>
      <c r="L62" s="17"/>
      <c r="M62" s="281"/>
      <c r="N62" s="81">
        <f t="shared" si="3"/>
        <v>0</v>
      </c>
    </row>
    <row r="63" s="81" customFormat="1" customHeight="1" spans="1:14">
      <c r="A63" s="155">
        <v>2012801</v>
      </c>
      <c r="B63" s="141" t="s">
        <v>102</v>
      </c>
      <c r="C63" s="17">
        <f t="shared" si="4"/>
        <v>83.31</v>
      </c>
      <c r="D63" s="17">
        <v>83.31</v>
      </c>
      <c r="E63" s="17">
        <v>0</v>
      </c>
      <c r="F63" s="17">
        <v>7.32</v>
      </c>
      <c r="G63" s="17">
        <v>0</v>
      </c>
      <c r="H63" s="17">
        <v>2.85</v>
      </c>
      <c r="I63" s="17">
        <f t="shared" si="5"/>
        <v>0</v>
      </c>
      <c r="J63" s="17">
        <f t="shared" si="6"/>
        <v>93.48</v>
      </c>
      <c r="K63" s="17">
        <v>93.48</v>
      </c>
      <c r="L63" s="17"/>
      <c r="M63" s="329" t="s">
        <v>103</v>
      </c>
      <c r="N63" s="81">
        <f t="shared" si="3"/>
        <v>0</v>
      </c>
    </row>
    <row r="64" s="81" customFormat="1" customHeight="1" spans="1:14">
      <c r="A64" s="155">
        <v>2012802</v>
      </c>
      <c r="B64" s="141" t="s">
        <v>126</v>
      </c>
      <c r="C64" s="17">
        <f t="shared" si="4"/>
        <v>2</v>
      </c>
      <c r="D64" s="17">
        <v>2</v>
      </c>
      <c r="E64" s="17">
        <v>0</v>
      </c>
      <c r="F64" s="17">
        <v>0</v>
      </c>
      <c r="G64" s="17">
        <v>0</v>
      </c>
      <c r="H64" s="17">
        <v>0</v>
      </c>
      <c r="I64" s="17">
        <f t="shared" si="5"/>
        <v>0</v>
      </c>
      <c r="J64" s="17">
        <f t="shared" si="6"/>
        <v>2</v>
      </c>
      <c r="K64" s="17">
        <v>2</v>
      </c>
      <c r="L64" s="17"/>
      <c r="M64" s="329">
        <v>0</v>
      </c>
      <c r="N64" s="81">
        <f t="shared" si="3"/>
        <v>0</v>
      </c>
    </row>
    <row r="65" s="81" customFormat="1" customHeight="1" spans="1:14">
      <c r="A65" s="155">
        <v>2012899</v>
      </c>
      <c r="B65" s="141" t="s">
        <v>162</v>
      </c>
      <c r="C65" s="17">
        <f t="shared" si="4"/>
        <v>1</v>
      </c>
      <c r="D65" s="17">
        <v>1</v>
      </c>
      <c r="E65" s="17">
        <v>0</v>
      </c>
      <c r="F65" s="17">
        <v>0</v>
      </c>
      <c r="G65" s="17">
        <v>0</v>
      </c>
      <c r="H65" s="17">
        <v>0</v>
      </c>
      <c r="I65" s="17">
        <f t="shared" si="5"/>
        <v>0</v>
      </c>
      <c r="J65" s="17">
        <f t="shared" si="6"/>
        <v>1</v>
      </c>
      <c r="K65" s="17">
        <v>1</v>
      </c>
      <c r="L65" s="17"/>
      <c r="M65" s="329">
        <v>0</v>
      </c>
      <c r="N65" s="81">
        <f t="shared" si="3"/>
        <v>0</v>
      </c>
    </row>
    <row r="66" s="81" customFormat="1" customHeight="1" spans="1:14">
      <c r="A66" s="155">
        <v>20129</v>
      </c>
      <c r="B66" s="141" t="s">
        <v>163</v>
      </c>
      <c r="C66" s="17">
        <f t="shared" si="4"/>
        <v>977.62</v>
      </c>
      <c r="D66" s="17">
        <v>977.62</v>
      </c>
      <c r="E66" s="17">
        <v>0</v>
      </c>
      <c r="F66" s="17">
        <v>8.93</v>
      </c>
      <c r="G66" s="17">
        <v>0</v>
      </c>
      <c r="H66" s="17">
        <v>7.18</v>
      </c>
      <c r="I66" s="17">
        <f t="shared" si="5"/>
        <v>8.9</v>
      </c>
      <c r="J66" s="17">
        <f t="shared" si="6"/>
        <v>1002.63</v>
      </c>
      <c r="K66" s="17">
        <v>993.73</v>
      </c>
      <c r="L66" s="17">
        <v>8.9</v>
      </c>
      <c r="M66" s="329"/>
      <c r="N66" s="81">
        <f t="shared" si="3"/>
        <v>0</v>
      </c>
    </row>
    <row r="67" s="81" customFormat="1" customHeight="1" spans="1:14">
      <c r="A67" s="155">
        <v>2012901</v>
      </c>
      <c r="B67" s="141" t="s">
        <v>102</v>
      </c>
      <c r="C67" s="17">
        <f t="shared" si="4"/>
        <v>350.94</v>
      </c>
      <c r="D67" s="17">
        <v>350.94</v>
      </c>
      <c r="E67" s="17">
        <v>0</v>
      </c>
      <c r="F67" s="17">
        <v>13.65</v>
      </c>
      <c r="G67" s="17">
        <v>0</v>
      </c>
      <c r="H67" s="17">
        <v>2.06</v>
      </c>
      <c r="I67" s="17">
        <f t="shared" si="5"/>
        <v>0</v>
      </c>
      <c r="J67" s="17">
        <f t="shared" si="6"/>
        <v>366.65</v>
      </c>
      <c r="K67" s="17">
        <v>366.65</v>
      </c>
      <c r="L67" s="17"/>
      <c r="M67" s="329" t="s">
        <v>103</v>
      </c>
      <c r="N67" s="81">
        <f t="shared" si="3"/>
        <v>0</v>
      </c>
    </row>
    <row r="68" s="81" customFormat="1" customHeight="1" spans="1:14">
      <c r="A68" s="155">
        <v>2012902</v>
      </c>
      <c r="B68" s="141" t="s">
        <v>126</v>
      </c>
      <c r="C68" s="17">
        <f t="shared" si="4"/>
        <v>54.26</v>
      </c>
      <c r="D68" s="17">
        <v>54.26</v>
      </c>
      <c r="E68" s="17">
        <v>0</v>
      </c>
      <c r="F68" s="17">
        <v>-3.8</v>
      </c>
      <c r="G68" s="17">
        <v>0</v>
      </c>
      <c r="H68" s="17">
        <v>5.12</v>
      </c>
      <c r="I68" s="17">
        <f t="shared" si="5"/>
        <v>0</v>
      </c>
      <c r="J68" s="17">
        <f t="shared" si="6"/>
        <v>55.58</v>
      </c>
      <c r="K68" s="17">
        <v>55.58</v>
      </c>
      <c r="L68" s="17"/>
      <c r="M68" s="329" t="s">
        <v>164</v>
      </c>
      <c r="N68" s="81">
        <f t="shared" si="3"/>
        <v>0</v>
      </c>
    </row>
    <row r="69" s="81" customFormat="1" customHeight="1" spans="1:14">
      <c r="A69" s="155">
        <v>2012906</v>
      </c>
      <c r="B69" s="141" t="s">
        <v>165</v>
      </c>
      <c r="C69" s="17">
        <f t="shared" si="4"/>
        <v>570</v>
      </c>
      <c r="D69" s="17">
        <v>570</v>
      </c>
      <c r="E69" s="17">
        <v>0</v>
      </c>
      <c r="F69" s="17">
        <v>0</v>
      </c>
      <c r="G69" s="17">
        <v>0</v>
      </c>
      <c r="H69" s="17">
        <v>0</v>
      </c>
      <c r="I69" s="17">
        <f t="shared" si="5"/>
        <v>0</v>
      </c>
      <c r="J69" s="17">
        <f t="shared" si="6"/>
        <v>570</v>
      </c>
      <c r="K69" s="17">
        <v>570</v>
      </c>
      <c r="L69" s="17"/>
      <c r="M69" s="329">
        <v>0</v>
      </c>
      <c r="N69" s="81">
        <f t="shared" si="3"/>
        <v>0</v>
      </c>
    </row>
    <row r="70" s="81" customFormat="1" customHeight="1" spans="1:14">
      <c r="A70" s="145">
        <v>2012999</v>
      </c>
      <c r="B70" s="141" t="s">
        <v>166</v>
      </c>
      <c r="C70" s="17">
        <f t="shared" si="4"/>
        <v>2.42</v>
      </c>
      <c r="D70" s="17">
        <v>2.42</v>
      </c>
      <c r="E70" s="17">
        <v>0</v>
      </c>
      <c r="F70" s="17">
        <v>-0.92</v>
      </c>
      <c r="G70" s="17"/>
      <c r="H70" s="17"/>
      <c r="I70" s="17">
        <f t="shared" si="5"/>
        <v>8.9</v>
      </c>
      <c r="J70" s="17">
        <f t="shared" si="6"/>
        <v>10.4</v>
      </c>
      <c r="K70" s="17">
        <v>1.5</v>
      </c>
      <c r="L70" s="17">
        <v>8.9</v>
      </c>
      <c r="M70" s="329" t="s">
        <v>167</v>
      </c>
      <c r="N70" s="81">
        <f t="shared" si="3"/>
        <v>0</v>
      </c>
    </row>
    <row r="71" s="81" customFormat="1" customHeight="1" spans="1:14">
      <c r="A71" s="155">
        <v>20131</v>
      </c>
      <c r="B71" s="141" t="s">
        <v>168</v>
      </c>
      <c r="C71" s="17">
        <f t="shared" si="4"/>
        <v>8.1</v>
      </c>
      <c r="D71" s="17">
        <v>8.1</v>
      </c>
      <c r="E71" s="17">
        <v>0</v>
      </c>
      <c r="F71" s="17">
        <v>-0.2</v>
      </c>
      <c r="G71" s="17">
        <v>0</v>
      </c>
      <c r="H71" s="17">
        <v>0</v>
      </c>
      <c r="I71" s="17">
        <f t="shared" si="5"/>
        <v>0</v>
      </c>
      <c r="J71" s="17">
        <f t="shared" si="6"/>
        <v>7.9</v>
      </c>
      <c r="K71" s="17">
        <v>7.9</v>
      </c>
      <c r="L71" s="17"/>
      <c r="M71" s="281"/>
      <c r="N71" s="81">
        <f t="shared" ref="N71:N134" si="7">E71+I71-L71</f>
        <v>0</v>
      </c>
    </row>
    <row r="72" s="81" customFormat="1" customHeight="1" spans="1:14">
      <c r="A72" s="145">
        <v>2013199</v>
      </c>
      <c r="B72" s="141" t="s">
        <v>169</v>
      </c>
      <c r="C72" s="17">
        <f t="shared" si="4"/>
        <v>8.1</v>
      </c>
      <c r="D72" s="17">
        <v>8.1</v>
      </c>
      <c r="E72" s="17">
        <v>0</v>
      </c>
      <c r="F72" s="17">
        <v>-0.2</v>
      </c>
      <c r="G72" s="17"/>
      <c r="H72" s="17"/>
      <c r="I72" s="17">
        <f t="shared" si="5"/>
        <v>0</v>
      </c>
      <c r="J72" s="17">
        <f t="shared" si="6"/>
        <v>7.9</v>
      </c>
      <c r="K72" s="17">
        <v>7.9</v>
      </c>
      <c r="L72" s="17"/>
      <c r="M72" s="329"/>
      <c r="N72" s="81">
        <f t="shared" si="7"/>
        <v>0</v>
      </c>
    </row>
    <row r="73" s="81" customFormat="1" customHeight="1" spans="1:14">
      <c r="A73" s="155">
        <v>20132</v>
      </c>
      <c r="B73" s="141" t="s">
        <v>170</v>
      </c>
      <c r="C73" s="17">
        <f t="shared" si="4"/>
        <v>4978.47</v>
      </c>
      <c r="D73" s="17">
        <v>4897.56</v>
      </c>
      <c r="E73" s="17">
        <v>80.91</v>
      </c>
      <c r="F73" s="17">
        <v>-1456.360138</v>
      </c>
      <c r="G73" s="17">
        <v>0</v>
      </c>
      <c r="H73" s="17">
        <v>113.44</v>
      </c>
      <c r="I73" s="17">
        <f t="shared" si="5"/>
        <v>112.0127</v>
      </c>
      <c r="J73" s="17">
        <f t="shared" si="6"/>
        <v>3747.562562</v>
      </c>
      <c r="K73" s="17">
        <v>3554.639862</v>
      </c>
      <c r="L73" s="17">
        <v>192.9227</v>
      </c>
      <c r="M73" s="281"/>
      <c r="N73" s="81">
        <f t="shared" si="7"/>
        <v>0</v>
      </c>
    </row>
    <row r="74" s="81" customFormat="1" customHeight="1" spans="1:14">
      <c r="A74" s="155">
        <v>2013201</v>
      </c>
      <c r="B74" s="141" t="s">
        <v>102</v>
      </c>
      <c r="C74" s="17">
        <f t="shared" si="4"/>
        <v>409.48</v>
      </c>
      <c r="D74" s="17">
        <v>409.48</v>
      </c>
      <c r="E74" s="17">
        <v>0</v>
      </c>
      <c r="F74" s="17">
        <v>25.79</v>
      </c>
      <c r="G74" s="17">
        <v>0</v>
      </c>
      <c r="H74" s="17">
        <v>7.03</v>
      </c>
      <c r="I74" s="17">
        <f t="shared" si="5"/>
        <v>0</v>
      </c>
      <c r="J74" s="17">
        <f t="shared" si="6"/>
        <v>442.3</v>
      </c>
      <c r="K74" s="17">
        <v>442.3</v>
      </c>
      <c r="L74" s="17"/>
      <c r="M74" s="329" t="s">
        <v>103</v>
      </c>
      <c r="N74" s="81">
        <f t="shared" si="7"/>
        <v>0</v>
      </c>
    </row>
    <row r="75" s="81" customFormat="1" customHeight="1" spans="1:14">
      <c r="A75" s="155">
        <v>2013250</v>
      </c>
      <c r="B75" s="141" t="s">
        <v>129</v>
      </c>
      <c r="C75" s="17">
        <f t="shared" si="4"/>
        <v>9.21</v>
      </c>
      <c r="D75" s="17">
        <v>9.21</v>
      </c>
      <c r="E75" s="17">
        <v>0</v>
      </c>
      <c r="F75" s="17">
        <v>-0.12</v>
      </c>
      <c r="G75" s="17">
        <v>0</v>
      </c>
      <c r="H75" s="17">
        <v>84.26</v>
      </c>
      <c r="I75" s="17">
        <f t="shared" si="5"/>
        <v>0</v>
      </c>
      <c r="J75" s="17">
        <f t="shared" si="6"/>
        <v>93.35</v>
      </c>
      <c r="K75" s="17">
        <v>93.35</v>
      </c>
      <c r="L75" s="17"/>
      <c r="M75" s="329" t="s">
        <v>171</v>
      </c>
      <c r="N75" s="81">
        <f t="shared" si="7"/>
        <v>0</v>
      </c>
    </row>
    <row r="76" s="81" customFormat="1" customHeight="1" spans="1:14">
      <c r="A76" s="155">
        <v>2013299</v>
      </c>
      <c r="B76" s="141" t="s">
        <v>172</v>
      </c>
      <c r="C76" s="17">
        <f t="shared" si="4"/>
        <v>4559.78</v>
      </c>
      <c r="D76" s="17">
        <v>4478.87</v>
      </c>
      <c r="E76" s="17">
        <v>80.91</v>
      </c>
      <c r="F76" s="17">
        <v>-1482.030138</v>
      </c>
      <c r="G76" s="17">
        <v>0</v>
      </c>
      <c r="H76" s="17">
        <v>22.15</v>
      </c>
      <c r="I76" s="17">
        <f t="shared" si="5"/>
        <v>112.0127</v>
      </c>
      <c r="J76" s="17">
        <f t="shared" si="6"/>
        <v>3211.912562</v>
      </c>
      <c r="K76" s="17">
        <v>3018.989862</v>
      </c>
      <c r="L76" s="17">
        <v>192.9227</v>
      </c>
      <c r="M76" s="329" t="s">
        <v>173</v>
      </c>
      <c r="N76" s="81">
        <f t="shared" si="7"/>
        <v>0</v>
      </c>
    </row>
    <row r="77" s="81" customFormat="1" customHeight="1" spans="1:14">
      <c r="A77" s="155">
        <v>20133</v>
      </c>
      <c r="B77" s="141" t="s">
        <v>174</v>
      </c>
      <c r="C77" s="17">
        <f t="shared" si="4"/>
        <v>287.97</v>
      </c>
      <c r="D77" s="17">
        <v>287.97</v>
      </c>
      <c r="E77" s="17">
        <v>0</v>
      </c>
      <c r="F77" s="17">
        <v>11.62</v>
      </c>
      <c r="G77" s="17">
        <v>0</v>
      </c>
      <c r="H77" s="17">
        <v>21.45</v>
      </c>
      <c r="I77" s="17">
        <f t="shared" si="5"/>
        <v>0</v>
      </c>
      <c r="J77" s="17">
        <f t="shared" si="6"/>
        <v>321.04</v>
      </c>
      <c r="K77" s="17">
        <v>321.04</v>
      </c>
      <c r="L77" s="17"/>
      <c r="M77" s="329"/>
      <c r="N77" s="81">
        <f t="shared" si="7"/>
        <v>0</v>
      </c>
    </row>
    <row r="78" s="81" customFormat="1" customHeight="1" spans="1:14">
      <c r="A78" s="155">
        <v>2013301</v>
      </c>
      <c r="B78" s="141" t="s">
        <v>102</v>
      </c>
      <c r="C78" s="17">
        <f t="shared" si="4"/>
        <v>240.5</v>
      </c>
      <c r="D78" s="17">
        <v>240.5</v>
      </c>
      <c r="E78" s="17">
        <v>0</v>
      </c>
      <c r="F78" s="17">
        <v>15.98</v>
      </c>
      <c r="G78" s="17">
        <v>0</v>
      </c>
      <c r="H78" s="17">
        <v>0.7</v>
      </c>
      <c r="I78" s="17">
        <f t="shared" si="5"/>
        <v>0</v>
      </c>
      <c r="J78" s="17">
        <f t="shared" si="6"/>
        <v>257.18</v>
      </c>
      <c r="K78" s="17">
        <v>257.18</v>
      </c>
      <c r="L78" s="17"/>
      <c r="M78" s="329" t="s">
        <v>103</v>
      </c>
      <c r="N78" s="81">
        <f t="shared" si="7"/>
        <v>0</v>
      </c>
    </row>
    <row r="79" s="81" customFormat="1" customHeight="1" spans="1:14">
      <c r="A79" s="155">
        <v>2013350</v>
      </c>
      <c r="B79" s="141" t="s">
        <v>129</v>
      </c>
      <c r="C79" s="17">
        <f t="shared" si="4"/>
        <v>38.47</v>
      </c>
      <c r="D79" s="17">
        <v>38.47</v>
      </c>
      <c r="E79" s="17">
        <v>0</v>
      </c>
      <c r="F79" s="17">
        <v>-0.36</v>
      </c>
      <c r="G79" s="17">
        <v>0</v>
      </c>
      <c r="H79" s="17">
        <v>20.75</v>
      </c>
      <c r="I79" s="17">
        <f t="shared" si="5"/>
        <v>0</v>
      </c>
      <c r="J79" s="17">
        <f t="shared" si="6"/>
        <v>58.86</v>
      </c>
      <c r="K79" s="17">
        <v>58.86</v>
      </c>
      <c r="L79" s="17"/>
      <c r="M79" s="329" t="s">
        <v>171</v>
      </c>
      <c r="N79" s="81">
        <f t="shared" si="7"/>
        <v>0</v>
      </c>
    </row>
    <row r="80" s="81" customFormat="1" customHeight="1" spans="1:14">
      <c r="A80" s="155">
        <v>2013399</v>
      </c>
      <c r="B80" s="141" t="s">
        <v>175</v>
      </c>
      <c r="C80" s="17">
        <f t="shared" si="4"/>
        <v>9</v>
      </c>
      <c r="D80" s="17">
        <v>9</v>
      </c>
      <c r="E80" s="17">
        <v>0</v>
      </c>
      <c r="F80" s="17">
        <v>-4</v>
      </c>
      <c r="G80" s="17">
        <v>0</v>
      </c>
      <c r="H80" s="17">
        <v>0</v>
      </c>
      <c r="I80" s="17">
        <f t="shared" si="5"/>
        <v>0</v>
      </c>
      <c r="J80" s="17">
        <f t="shared" si="6"/>
        <v>5</v>
      </c>
      <c r="K80" s="17">
        <v>5</v>
      </c>
      <c r="L80" s="17"/>
      <c r="M80" s="329" t="s">
        <v>176</v>
      </c>
      <c r="N80" s="81">
        <f t="shared" si="7"/>
        <v>0</v>
      </c>
    </row>
    <row r="81" s="81" customFormat="1" customHeight="1" spans="1:14">
      <c r="A81" s="155">
        <v>20134</v>
      </c>
      <c r="B81" s="141" t="s">
        <v>177</v>
      </c>
      <c r="C81" s="17">
        <f t="shared" si="4"/>
        <v>277.17</v>
      </c>
      <c r="D81" s="17">
        <v>277.17</v>
      </c>
      <c r="E81" s="17">
        <v>0</v>
      </c>
      <c r="F81" s="17">
        <v>4.01000000000001</v>
      </c>
      <c r="G81" s="17">
        <v>0</v>
      </c>
      <c r="H81" s="17">
        <v>8.15</v>
      </c>
      <c r="I81" s="17">
        <f t="shared" si="5"/>
        <v>5</v>
      </c>
      <c r="J81" s="17">
        <f t="shared" si="6"/>
        <v>294.33</v>
      </c>
      <c r="K81" s="17">
        <v>289.33</v>
      </c>
      <c r="L81" s="17">
        <v>5</v>
      </c>
      <c r="M81" s="281"/>
      <c r="N81" s="81">
        <f t="shared" si="7"/>
        <v>0</v>
      </c>
    </row>
    <row r="82" s="81" customFormat="1" customHeight="1" spans="1:14">
      <c r="A82" s="155">
        <v>2013401</v>
      </c>
      <c r="B82" s="141" t="s">
        <v>102</v>
      </c>
      <c r="C82" s="17">
        <f t="shared" si="4"/>
        <v>255.17</v>
      </c>
      <c r="D82" s="17">
        <v>255.17</v>
      </c>
      <c r="E82" s="17">
        <v>0</v>
      </c>
      <c r="F82" s="17">
        <v>4.01000000000001</v>
      </c>
      <c r="G82" s="17">
        <v>0</v>
      </c>
      <c r="H82" s="17">
        <v>0.65</v>
      </c>
      <c r="I82" s="17">
        <f t="shared" si="5"/>
        <v>0</v>
      </c>
      <c r="J82" s="17">
        <f t="shared" si="6"/>
        <v>259.83</v>
      </c>
      <c r="K82" s="17">
        <v>259.83</v>
      </c>
      <c r="L82" s="17"/>
      <c r="M82" s="281" t="s">
        <v>103</v>
      </c>
      <c r="N82" s="81">
        <f t="shared" si="7"/>
        <v>0</v>
      </c>
    </row>
    <row r="83" s="81" customFormat="1" customHeight="1" spans="1:14">
      <c r="A83" s="155">
        <v>2013405</v>
      </c>
      <c r="B83" s="141" t="s">
        <v>178</v>
      </c>
      <c r="C83" s="17">
        <f t="shared" si="4"/>
        <v>10</v>
      </c>
      <c r="D83" s="17">
        <v>10</v>
      </c>
      <c r="E83" s="17">
        <v>0</v>
      </c>
      <c r="F83" s="17">
        <v>0</v>
      </c>
      <c r="G83" s="17">
        <v>0</v>
      </c>
      <c r="H83" s="17">
        <v>0</v>
      </c>
      <c r="I83" s="17">
        <f t="shared" si="5"/>
        <v>0</v>
      </c>
      <c r="J83" s="17">
        <f t="shared" si="6"/>
        <v>10</v>
      </c>
      <c r="K83" s="17">
        <v>10</v>
      </c>
      <c r="L83" s="17"/>
      <c r="M83" s="281"/>
      <c r="N83" s="81">
        <f t="shared" si="7"/>
        <v>0</v>
      </c>
    </row>
    <row r="84" s="81" customFormat="1" customHeight="1" spans="1:14">
      <c r="A84" s="155">
        <v>2013499</v>
      </c>
      <c r="B84" s="141" t="s">
        <v>179</v>
      </c>
      <c r="C84" s="17">
        <f t="shared" si="4"/>
        <v>12</v>
      </c>
      <c r="D84" s="17">
        <v>12</v>
      </c>
      <c r="E84" s="17">
        <v>0</v>
      </c>
      <c r="F84" s="17">
        <v>0</v>
      </c>
      <c r="G84" s="17">
        <v>0</v>
      </c>
      <c r="H84" s="17">
        <v>7.5</v>
      </c>
      <c r="I84" s="17">
        <f t="shared" si="5"/>
        <v>5</v>
      </c>
      <c r="J84" s="17">
        <f t="shared" si="6"/>
        <v>24.5</v>
      </c>
      <c r="K84" s="17">
        <v>19.5</v>
      </c>
      <c r="L84" s="17">
        <v>5</v>
      </c>
      <c r="M84" s="329"/>
      <c r="N84" s="81">
        <f t="shared" si="7"/>
        <v>0</v>
      </c>
    </row>
    <row r="85" s="81" customFormat="1" customHeight="1" spans="1:14">
      <c r="A85" s="155">
        <v>20136</v>
      </c>
      <c r="B85" s="141" t="s">
        <v>180</v>
      </c>
      <c r="C85" s="17">
        <f t="shared" si="4"/>
        <v>1112.5</v>
      </c>
      <c r="D85" s="17">
        <v>1112.5</v>
      </c>
      <c r="E85" s="17">
        <v>0</v>
      </c>
      <c r="F85" s="17">
        <v>-134.96</v>
      </c>
      <c r="G85" s="17">
        <v>0</v>
      </c>
      <c r="H85" s="17">
        <v>31.73</v>
      </c>
      <c r="I85" s="17">
        <f t="shared" si="5"/>
        <v>0</v>
      </c>
      <c r="J85" s="17">
        <f t="shared" si="6"/>
        <v>1009.27</v>
      </c>
      <c r="K85" s="17">
        <v>1009.27</v>
      </c>
      <c r="L85" s="17"/>
      <c r="M85" s="329"/>
      <c r="N85" s="81">
        <f t="shared" si="7"/>
        <v>0</v>
      </c>
    </row>
    <row r="86" s="81" customFormat="1" customHeight="1" spans="1:14">
      <c r="A86" s="155">
        <v>2013601</v>
      </c>
      <c r="B86" s="141" t="s">
        <v>102</v>
      </c>
      <c r="C86" s="17">
        <f t="shared" si="4"/>
        <v>246.93</v>
      </c>
      <c r="D86" s="17">
        <v>246.93</v>
      </c>
      <c r="E86" s="17">
        <v>0</v>
      </c>
      <c r="F86" s="17">
        <v>20.83</v>
      </c>
      <c r="G86" s="17">
        <v>0</v>
      </c>
      <c r="H86" s="17">
        <v>1.7</v>
      </c>
      <c r="I86" s="17">
        <f t="shared" si="5"/>
        <v>0</v>
      </c>
      <c r="J86" s="17">
        <f t="shared" si="6"/>
        <v>269.46</v>
      </c>
      <c r="K86" s="17">
        <v>269.46</v>
      </c>
      <c r="L86" s="17"/>
      <c r="M86" s="281" t="s">
        <v>103</v>
      </c>
      <c r="N86" s="81">
        <f t="shared" si="7"/>
        <v>0</v>
      </c>
    </row>
    <row r="87" s="81" customFormat="1" customHeight="1" spans="1:14">
      <c r="A87" s="145">
        <v>2013650</v>
      </c>
      <c r="B87" s="141" t="s">
        <v>129</v>
      </c>
      <c r="C87" s="17">
        <f t="shared" si="4"/>
        <v>1.11</v>
      </c>
      <c r="D87" s="17">
        <v>1.11</v>
      </c>
      <c r="E87" s="17">
        <v>0</v>
      </c>
      <c r="F87" s="17"/>
      <c r="G87" s="17"/>
      <c r="H87" s="17">
        <v>0.01</v>
      </c>
      <c r="I87" s="17">
        <f t="shared" si="5"/>
        <v>0</v>
      </c>
      <c r="J87" s="17">
        <f t="shared" si="6"/>
        <v>1.12</v>
      </c>
      <c r="K87" s="17">
        <v>1.12</v>
      </c>
      <c r="L87" s="17"/>
      <c r="M87" s="329"/>
      <c r="N87" s="81">
        <f t="shared" si="7"/>
        <v>0</v>
      </c>
    </row>
    <row r="88" s="81" customFormat="1" customHeight="1" spans="1:14">
      <c r="A88" s="155">
        <v>2013699</v>
      </c>
      <c r="B88" s="141" t="s">
        <v>180</v>
      </c>
      <c r="C88" s="17">
        <f t="shared" si="4"/>
        <v>864.46</v>
      </c>
      <c r="D88" s="17">
        <v>864.46</v>
      </c>
      <c r="E88" s="17">
        <v>0</v>
      </c>
      <c r="F88" s="17">
        <v>-155.79</v>
      </c>
      <c r="G88" s="17">
        <v>0</v>
      </c>
      <c r="H88" s="17">
        <v>30.02</v>
      </c>
      <c r="I88" s="17">
        <f t="shared" si="5"/>
        <v>0</v>
      </c>
      <c r="J88" s="17">
        <f t="shared" si="6"/>
        <v>738.69</v>
      </c>
      <c r="K88" s="17">
        <v>738.69</v>
      </c>
      <c r="L88" s="17"/>
      <c r="M88" s="281" t="s">
        <v>181</v>
      </c>
      <c r="N88" s="81">
        <f t="shared" si="7"/>
        <v>0</v>
      </c>
    </row>
    <row r="89" s="81" customFormat="1" customHeight="1" spans="1:14">
      <c r="A89" s="155">
        <v>20138</v>
      </c>
      <c r="B89" s="141" t="s">
        <v>182</v>
      </c>
      <c r="C89" s="17">
        <f t="shared" si="4"/>
        <v>1450.67</v>
      </c>
      <c r="D89" s="17">
        <v>1450.67</v>
      </c>
      <c r="E89" s="17">
        <v>0</v>
      </c>
      <c r="F89" s="17">
        <v>-19.6988</v>
      </c>
      <c r="G89" s="17">
        <v>0</v>
      </c>
      <c r="H89" s="17">
        <v>15.87</v>
      </c>
      <c r="I89" s="17">
        <f t="shared" si="5"/>
        <v>81.6</v>
      </c>
      <c r="J89" s="17">
        <f t="shared" si="6"/>
        <v>1528.4412</v>
      </c>
      <c r="K89" s="17">
        <v>1446.8412</v>
      </c>
      <c r="L89" s="17">
        <v>81.6</v>
      </c>
      <c r="M89" s="329"/>
      <c r="N89" s="81">
        <f t="shared" si="7"/>
        <v>0</v>
      </c>
    </row>
    <row r="90" s="81" customFormat="1" customHeight="1" spans="1:14">
      <c r="A90" s="155">
        <v>2013801</v>
      </c>
      <c r="B90" s="141" t="s">
        <v>102</v>
      </c>
      <c r="C90" s="17">
        <f t="shared" si="4"/>
        <v>1174.54</v>
      </c>
      <c r="D90" s="17">
        <v>1174.54</v>
      </c>
      <c r="E90" s="17">
        <v>0</v>
      </c>
      <c r="F90" s="17">
        <v>-1.69</v>
      </c>
      <c r="G90" s="17">
        <v>0</v>
      </c>
      <c r="H90" s="17">
        <v>5</v>
      </c>
      <c r="I90" s="17">
        <f t="shared" si="5"/>
        <v>0</v>
      </c>
      <c r="J90" s="17">
        <f t="shared" si="6"/>
        <v>1177.85</v>
      </c>
      <c r="K90" s="17">
        <v>1177.85</v>
      </c>
      <c r="L90" s="17"/>
      <c r="M90" s="281" t="s">
        <v>171</v>
      </c>
      <c r="N90" s="81">
        <f t="shared" si="7"/>
        <v>0</v>
      </c>
    </row>
    <row r="91" s="81" customFormat="1" customHeight="1" spans="1:14">
      <c r="A91" s="155">
        <v>2013815</v>
      </c>
      <c r="B91" s="141" t="s">
        <v>183</v>
      </c>
      <c r="C91" s="17">
        <f t="shared" si="4"/>
        <v>0</v>
      </c>
      <c r="D91" s="17"/>
      <c r="E91" s="17">
        <v>0</v>
      </c>
      <c r="F91" s="17"/>
      <c r="G91" s="17"/>
      <c r="H91" s="17"/>
      <c r="I91" s="17">
        <f t="shared" si="5"/>
        <v>50</v>
      </c>
      <c r="J91" s="17">
        <f t="shared" si="6"/>
        <v>50</v>
      </c>
      <c r="K91" s="17">
        <v>0</v>
      </c>
      <c r="L91" s="17">
        <v>50</v>
      </c>
      <c r="M91" s="329"/>
      <c r="N91" s="81">
        <f t="shared" si="7"/>
        <v>0</v>
      </c>
    </row>
    <row r="92" s="81" customFormat="1" customHeight="1" spans="1:14">
      <c r="A92" s="155">
        <v>2013816</v>
      </c>
      <c r="B92" s="141" t="s">
        <v>184</v>
      </c>
      <c r="C92" s="17">
        <f t="shared" si="4"/>
        <v>126.68</v>
      </c>
      <c r="D92" s="17">
        <v>126.68</v>
      </c>
      <c r="E92" s="17">
        <v>0</v>
      </c>
      <c r="F92" s="17">
        <v>-6.68</v>
      </c>
      <c r="G92" s="17">
        <v>0</v>
      </c>
      <c r="H92" s="17">
        <v>0</v>
      </c>
      <c r="I92" s="17">
        <f t="shared" si="5"/>
        <v>25</v>
      </c>
      <c r="J92" s="17">
        <f t="shared" si="6"/>
        <v>145</v>
      </c>
      <c r="K92" s="17">
        <v>120</v>
      </c>
      <c r="L92" s="17">
        <v>25</v>
      </c>
      <c r="M92" s="329" t="s">
        <v>185</v>
      </c>
      <c r="N92" s="81">
        <f t="shared" si="7"/>
        <v>0</v>
      </c>
    </row>
    <row r="93" s="81" customFormat="1" customHeight="1" spans="1:14">
      <c r="A93" s="145">
        <v>2013850</v>
      </c>
      <c r="B93" s="141" t="s">
        <v>129</v>
      </c>
      <c r="C93" s="17">
        <f t="shared" si="4"/>
        <v>21.38</v>
      </c>
      <c r="D93" s="17">
        <v>21.38</v>
      </c>
      <c r="E93" s="17">
        <v>0</v>
      </c>
      <c r="F93" s="17">
        <v>-0.25</v>
      </c>
      <c r="G93" s="17"/>
      <c r="H93" s="17">
        <v>10.87</v>
      </c>
      <c r="I93" s="17">
        <f t="shared" si="5"/>
        <v>0</v>
      </c>
      <c r="J93" s="17">
        <f t="shared" si="6"/>
        <v>32</v>
      </c>
      <c r="K93" s="17">
        <v>32</v>
      </c>
      <c r="L93" s="17"/>
      <c r="M93" s="329" t="s">
        <v>171</v>
      </c>
      <c r="N93" s="81">
        <f t="shared" si="7"/>
        <v>0</v>
      </c>
    </row>
    <row r="94" s="81" customFormat="1" customHeight="1" spans="1:14">
      <c r="A94" s="155">
        <v>2013899</v>
      </c>
      <c r="B94" s="141" t="s">
        <v>186</v>
      </c>
      <c r="C94" s="17">
        <f t="shared" si="4"/>
        <v>128.07</v>
      </c>
      <c r="D94" s="17">
        <v>128.07</v>
      </c>
      <c r="E94" s="17">
        <v>0</v>
      </c>
      <c r="F94" s="17">
        <v>-11.08</v>
      </c>
      <c r="G94" s="17">
        <v>0</v>
      </c>
      <c r="H94" s="17">
        <v>0</v>
      </c>
      <c r="I94" s="17">
        <f t="shared" si="5"/>
        <v>6.6</v>
      </c>
      <c r="J94" s="17">
        <f t="shared" si="6"/>
        <v>123.59</v>
      </c>
      <c r="K94" s="17">
        <v>116.99</v>
      </c>
      <c r="L94" s="17">
        <v>6.6</v>
      </c>
      <c r="M94" s="330" t="s">
        <v>187</v>
      </c>
      <c r="N94" s="81">
        <f t="shared" si="7"/>
        <v>0</v>
      </c>
    </row>
    <row r="95" s="81" customFormat="1" customHeight="1" spans="1:14">
      <c r="A95" s="155">
        <v>20199</v>
      </c>
      <c r="B95" s="141" t="s">
        <v>188</v>
      </c>
      <c r="C95" s="17">
        <f t="shared" si="4"/>
        <v>972.88</v>
      </c>
      <c r="D95" s="17">
        <v>972.88</v>
      </c>
      <c r="E95" s="17">
        <v>0</v>
      </c>
      <c r="F95" s="17">
        <v>-79.4</v>
      </c>
      <c r="G95" s="17">
        <v>0</v>
      </c>
      <c r="H95" s="17">
        <v>220.88</v>
      </c>
      <c r="I95" s="17">
        <f t="shared" si="5"/>
        <v>0</v>
      </c>
      <c r="J95" s="17">
        <f t="shared" si="6"/>
        <v>1114.36</v>
      </c>
      <c r="K95" s="17">
        <v>1114.36</v>
      </c>
      <c r="L95" s="17"/>
      <c r="M95" s="281"/>
      <c r="N95" s="81">
        <f t="shared" si="7"/>
        <v>0</v>
      </c>
    </row>
    <row r="96" s="81" customFormat="1" customHeight="1" spans="1:14">
      <c r="A96" s="155">
        <v>2019999</v>
      </c>
      <c r="B96" s="141" t="s">
        <v>188</v>
      </c>
      <c r="C96" s="17">
        <f t="shared" si="4"/>
        <v>972.88</v>
      </c>
      <c r="D96" s="17">
        <v>972.88</v>
      </c>
      <c r="E96" s="17">
        <v>0</v>
      </c>
      <c r="F96" s="17">
        <v>-79.4</v>
      </c>
      <c r="G96" s="17">
        <v>0</v>
      </c>
      <c r="H96" s="17">
        <v>220.88</v>
      </c>
      <c r="I96" s="17">
        <f t="shared" si="5"/>
        <v>0</v>
      </c>
      <c r="J96" s="17">
        <f t="shared" si="6"/>
        <v>1114.36</v>
      </c>
      <c r="K96" s="17">
        <v>1114.36</v>
      </c>
      <c r="L96" s="17"/>
      <c r="M96" s="281" t="s">
        <v>189</v>
      </c>
      <c r="N96" s="81">
        <f t="shared" si="7"/>
        <v>0</v>
      </c>
    </row>
    <row r="97" s="81" customFormat="1" customHeight="1" spans="1:14">
      <c r="A97" s="155">
        <v>203</v>
      </c>
      <c r="B97" s="141" t="s">
        <v>190</v>
      </c>
      <c r="C97" s="17">
        <f t="shared" si="4"/>
        <v>341.86</v>
      </c>
      <c r="D97" s="17">
        <v>341.86</v>
      </c>
      <c r="E97" s="17">
        <v>0</v>
      </c>
      <c r="F97" s="17">
        <v>-83.75</v>
      </c>
      <c r="G97" s="17">
        <v>0</v>
      </c>
      <c r="H97" s="17">
        <v>2.65</v>
      </c>
      <c r="I97" s="17">
        <f t="shared" si="5"/>
        <v>5</v>
      </c>
      <c r="J97" s="17">
        <f t="shared" si="6"/>
        <v>265.76</v>
      </c>
      <c r="K97" s="17">
        <v>260.76</v>
      </c>
      <c r="L97" s="17">
        <v>5</v>
      </c>
      <c r="M97" s="329">
        <f>M98+M102</f>
        <v>0</v>
      </c>
      <c r="N97" s="81">
        <f t="shared" si="7"/>
        <v>0</v>
      </c>
    </row>
    <row r="98" s="81" customFormat="1" customHeight="1" spans="1:14">
      <c r="A98" s="155">
        <v>20306</v>
      </c>
      <c r="B98" s="141" t="s">
        <v>191</v>
      </c>
      <c r="C98" s="17">
        <f t="shared" si="4"/>
        <v>146.8</v>
      </c>
      <c r="D98" s="17">
        <v>146.8</v>
      </c>
      <c r="E98" s="17">
        <v>0</v>
      </c>
      <c r="F98" s="17">
        <v>-61.8</v>
      </c>
      <c r="G98" s="17">
        <v>0</v>
      </c>
      <c r="H98" s="17">
        <v>0</v>
      </c>
      <c r="I98" s="17">
        <f t="shared" si="5"/>
        <v>5</v>
      </c>
      <c r="J98" s="17">
        <f t="shared" si="6"/>
        <v>90</v>
      </c>
      <c r="K98" s="17">
        <v>85</v>
      </c>
      <c r="L98" s="17">
        <v>5</v>
      </c>
      <c r="M98" s="329"/>
      <c r="N98" s="81">
        <f t="shared" si="7"/>
        <v>0</v>
      </c>
    </row>
    <row r="99" s="81" customFormat="1" customHeight="1" spans="1:14">
      <c r="A99" s="155">
        <v>2030601</v>
      </c>
      <c r="B99" s="141" t="s">
        <v>192</v>
      </c>
      <c r="C99" s="17">
        <f t="shared" si="4"/>
        <v>71.8</v>
      </c>
      <c r="D99" s="17">
        <v>71.8</v>
      </c>
      <c r="E99" s="17">
        <v>0</v>
      </c>
      <c r="F99" s="17">
        <v>-37.8</v>
      </c>
      <c r="G99" s="17">
        <v>0</v>
      </c>
      <c r="H99" s="17">
        <v>0</v>
      </c>
      <c r="I99" s="17">
        <f t="shared" si="5"/>
        <v>5</v>
      </c>
      <c r="J99" s="17">
        <f t="shared" si="6"/>
        <v>39</v>
      </c>
      <c r="K99" s="17">
        <v>34</v>
      </c>
      <c r="L99" s="17">
        <v>5</v>
      </c>
      <c r="M99" s="329" t="s">
        <v>193</v>
      </c>
      <c r="N99" s="81">
        <f t="shared" si="7"/>
        <v>0</v>
      </c>
    </row>
    <row r="100" s="81" customFormat="1" customHeight="1" spans="1:14">
      <c r="A100" s="155">
        <v>2030603</v>
      </c>
      <c r="B100" s="141" t="s">
        <v>194</v>
      </c>
      <c r="C100" s="17">
        <f t="shared" si="4"/>
        <v>13</v>
      </c>
      <c r="D100" s="17">
        <v>13</v>
      </c>
      <c r="E100" s="17">
        <v>0</v>
      </c>
      <c r="F100" s="17">
        <v>-2</v>
      </c>
      <c r="G100" s="17">
        <v>0</v>
      </c>
      <c r="H100" s="17">
        <v>0</v>
      </c>
      <c r="I100" s="17">
        <f t="shared" si="5"/>
        <v>0</v>
      </c>
      <c r="J100" s="17">
        <f t="shared" si="6"/>
        <v>11</v>
      </c>
      <c r="K100" s="17">
        <v>11</v>
      </c>
      <c r="L100" s="17"/>
      <c r="M100" s="281" t="s">
        <v>195</v>
      </c>
      <c r="N100" s="81">
        <f t="shared" si="7"/>
        <v>0</v>
      </c>
    </row>
    <row r="101" s="81" customFormat="1" customHeight="1" spans="1:14">
      <c r="A101" s="155">
        <v>2030607</v>
      </c>
      <c r="B101" s="141" t="s">
        <v>196</v>
      </c>
      <c r="C101" s="17">
        <f t="shared" si="4"/>
        <v>62</v>
      </c>
      <c r="D101" s="17">
        <v>62</v>
      </c>
      <c r="E101" s="17">
        <v>0</v>
      </c>
      <c r="F101" s="17">
        <v>-22</v>
      </c>
      <c r="G101" s="17">
        <v>0</v>
      </c>
      <c r="H101" s="17">
        <v>0</v>
      </c>
      <c r="I101" s="17">
        <f t="shared" si="5"/>
        <v>0</v>
      </c>
      <c r="J101" s="17">
        <f t="shared" si="6"/>
        <v>40</v>
      </c>
      <c r="K101" s="17">
        <v>40</v>
      </c>
      <c r="L101" s="17"/>
      <c r="M101" s="329" t="s">
        <v>197</v>
      </c>
      <c r="N101" s="81">
        <f t="shared" si="7"/>
        <v>0</v>
      </c>
    </row>
    <row r="102" s="81" customFormat="1" customHeight="1" spans="1:14">
      <c r="A102" s="155">
        <v>20399</v>
      </c>
      <c r="B102" s="141" t="s">
        <v>198</v>
      </c>
      <c r="C102" s="17">
        <f t="shared" si="4"/>
        <v>195.06</v>
      </c>
      <c r="D102" s="17">
        <v>195.06</v>
      </c>
      <c r="E102" s="17">
        <v>0</v>
      </c>
      <c r="F102" s="17">
        <v>-21.95</v>
      </c>
      <c r="G102" s="17">
        <v>0</v>
      </c>
      <c r="H102" s="17">
        <v>2.65</v>
      </c>
      <c r="I102" s="17">
        <f t="shared" si="5"/>
        <v>0</v>
      </c>
      <c r="J102" s="17">
        <f t="shared" si="6"/>
        <v>175.76</v>
      </c>
      <c r="K102" s="17">
        <v>175.76</v>
      </c>
      <c r="L102" s="17"/>
      <c r="M102" s="281"/>
      <c r="N102" s="81">
        <f t="shared" si="7"/>
        <v>0</v>
      </c>
    </row>
    <row r="103" s="81" customFormat="1" customHeight="1" spans="1:14">
      <c r="A103" s="145">
        <v>2039999</v>
      </c>
      <c r="B103" s="141" t="s">
        <v>198</v>
      </c>
      <c r="C103" s="17">
        <f t="shared" si="4"/>
        <v>195.06</v>
      </c>
      <c r="D103" s="17">
        <v>195.06</v>
      </c>
      <c r="E103" s="17">
        <v>0</v>
      </c>
      <c r="F103" s="17">
        <v>-21.95</v>
      </c>
      <c r="G103" s="17"/>
      <c r="H103" s="17">
        <v>2.65</v>
      </c>
      <c r="I103" s="17">
        <f t="shared" si="5"/>
        <v>0</v>
      </c>
      <c r="J103" s="17">
        <f t="shared" si="6"/>
        <v>175.76</v>
      </c>
      <c r="K103" s="17">
        <v>175.76</v>
      </c>
      <c r="L103" s="17"/>
      <c r="M103" s="329" t="s">
        <v>199</v>
      </c>
      <c r="N103" s="81">
        <f t="shared" si="7"/>
        <v>0</v>
      </c>
    </row>
    <row r="104" s="81" customFormat="1" customHeight="1" spans="1:14">
      <c r="A104" s="155">
        <v>204</v>
      </c>
      <c r="B104" s="141" t="s">
        <v>200</v>
      </c>
      <c r="C104" s="17">
        <f t="shared" si="4"/>
        <v>3622.68</v>
      </c>
      <c r="D104" s="17">
        <v>3584.68</v>
      </c>
      <c r="E104" s="17">
        <v>38</v>
      </c>
      <c r="F104" s="17">
        <v>-459.9</v>
      </c>
      <c r="G104" s="17">
        <v>0</v>
      </c>
      <c r="H104" s="17">
        <v>-20.25</v>
      </c>
      <c r="I104" s="17">
        <f t="shared" si="5"/>
        <v>90.573761</v>
      </c>
      <c r="J104" s="17">
        <f t="shared" si="6"/>
        <v>3233.103761</v>
      </c>
      <c r="K104" s="17">
        <v>3104.53</v>
      </c>
      <c r="L104" s="17">
        <v>128.573761</v>
      </c>
      <c r="M104" s="329">
        <f>M105+M107+M110+M113+M123</f>
        <v>0</v>
      </c>
      <c r="N104" s="81">
        <f t="shared" si="7"/>
        <v>0</v>
      </c>
    </row>
    <row r="105" s="81" customFormat="1" customHeight="1" spans="1:14">
      <c r="A105" s="155">
        <v>20402</v>
      </c>
      <c r="B105" s="141" t="s">
        <v>201</v>
      </c>
      <c r="C105" s="17">
        <f t="shared" si="4"/>
        <v>1958.35</v>
      </c>
      <c r="D105" s="17">
        <v>1958.35</v>
      </c>
      <c r="E105" s="17">
        <v>0</v>
      </c>
      <c r="F105" s="17">
        <v>-445.61</v>
      </c>
      <c r="G105" s="17">
        <v>0</v>
      </c>
      <c r="H105" s="17">
        <v>-25</v>
      </c>
      <c r="I105" s="17">
        <f t="shared" si="5"/>
        <v>0</v>
      </c>
      <c r="J105" s="17">
        <f t="shared" si="6"/>
        <v>1487.74</v>
      </c>
      <c r="K105" s="17">
        <v>1487.74</v>
      </c>
      <c r="L105" s="17"/>
      <c r="M105" s="329"/>
      <c r="N105" s="81">
        <f t="shared" si="7"/>
        <v>0</v>
      </c>
    </row>
    <row r="106" s="81" customFormat="1" customHeight="1" spans="1:14">
      <c r="A106" s="155">
        <v>2040299</v>
      </c>
      <c r="B106" s="141" t="s">
        <v>202</v>
      </c>
      <c r="C106" s="17">
        <f t="shared" ref="C106:C147" si="8">D106+E106</f>
        <v>1958.35</v>
      </c>
      <c r="D106" s="17">
        <v>1958.35</v>
      </c>
      <c r="E106" s="17">
        <v>0</v>
      </c>
      <c r="F106" s="17">
        <v>-445.61</v>
      </c>
      <c r="G106" s="17">
        <v>0</v>
      </c>
      <c r="H106" s="17">
        <v>-25</v>
      </c>
      <c r="I106" s="17">
        <f t="shared" ref="I106:I147" si="9">L106-E106</f>
        <v>0</v>
      </c>
      <c r="J106" s="17">
        <f t="shared" ref="J106:J147" si="10">K106+L106</f>
        <v>1487.74</v>
      </c>
      <c r="K106" s="17">
        <v>1487.74</v>
      </c>
      <c r="L106" s="17"/>
      <c r="M106" s="329" t="s">
        <v>203</v>
      </c>
      <c r="N106" s="81">
        <f t="shared" si="7"/>
        <v>0</v>
      </c>
    </row>
    <row r="107" s="81" customFormat="1" customHeight="1" spans="1:14">
      <c r="A107" s="155">
        <v>20404</v>
      </c>
      <c r="B107" s="141" t="s">
        <v>204</v>
      </c>
      <c r="C107" s="17">
        <f t="shared" si="8"/>
        <v>162.59</v>
      </c>
      <c r="D107" s="17">
        <v>162.59</v>
      </c>
      <c r="E107" s="17">
        <v>0</v>
      </c>
      <c r="F107" s="17">
        <v>26.83</v>
      </c>
      <c r="G107" s="17">
        <v>0</v>
      </c>
      <c r="H107" s="17">
        <v>0</v>
      </c>
      <c r="I107" s="17">
        <f t="shared" si="9"/>
        <v>0</v>
      </c>
      <c r="J107" s="17">
        <f t="shared" si="10"/>
        <v>189.42</v>
      </c>
      <c r="K107" s="17">
        <v>189.42</v>
      </c>
      <c r="L107" s="17"/>
      <c r="M107" s="281"/>
      <c r="N107" s="81">
        <f t="shared" si="7"/>
        <v>0</v>
      </c>
    </row>
    <row r="108" s="81" customFormat="1" customHeight="1" spans="1:14">
      <c r="A108" s="155">
        <v>2040401</v>
      </c>
      <c r="B108" s="141" t="s">
        <v>102</v>
      </c>
      <c r="C108" s="17">
        <f t="shared" si="8"/>
        <v>114.77</v>
      </c>
      <c r="D108" s="17">
        <v>114.77</v>
      </c>
      <c r="E108" s="17">
        <v>0</v>
      </c>
      <c r="F108" s="17">
        <v>26.83</v>
      </c>
      <c r="G108" s="17">
        <v>0</v>
      </c>
      <c r="H108" s="17">
        <v>0</v>
      </c>
      <c r="I108" s="17">
        <f t="shared" si="9"/>
        <v>0</v>
      </c>
      <c r="J108" s="17">
        <f t="shared" si="10"/>
        <v>141.6</v>
      </c>
      <c r="K108" s="17">
        <v>141.6</v>
      </c>
      <c r="L108" s="17"/>
      <c r="M108" s="329" t="s">
        <v>103</v>
      </c>
      <c r="N108" s="81">
        <f t="shared" si="7"/>
        <v>0</v>
      </c>
    </row>
    <row r="109" s="81" customFormat="1" customHeight="1" spans="1:14">
      <c r="A109" s="155">
        <v>2040499</v>
      </c>
      <c r="B109" s="141" t="s">
        <v>205</v>
      </c>
      <c r="C109" s="17">
        <f t="shared" si="8"/>
        <v>47.82</v>
      </c>
      <c r="D109" s="17">
        <v>47.82</v>
      </c>
      <c r="E109" s="17">
        <v>0</v>
      </c>
      <c r="F109" s="17">
        <v>0</v>
      </c>
      <c r="G109" s="17">
        <v>0</v>
      </c>
      <c r="H109" s="17">
        <v>0</v>
      </c>
      <c r="I109" s="17">
        <f t="shared" si="9"/>
        <v>0</v>
      </c>
      <c r="J109" s="17">
        <f t="shared" si="10"/>
        <v>47.82</v>
      </c>
      <c r="K109" s="17">
        <v>47.82</v>
      </c>
      <c r="L109" s="17"/>
      <c r="M109" s="329"/>
      <c r="N109" s="81">
        <f t="shared" si="7"/>
        <v>0</v>
      </c>
    </row>
    <row r="110" s="81" customFormat="1" customHeight="1" spans="1:14">
      <c r="A110" s="155">
        <v>20405</v>
      </c>
      <c r="B110" s="141" t="s">
        <v>206</v>
      </c>
      <c r="C110" s="17">
        <f t="shared" si="8"/>
        <v>331.54</v>
      </c>
      <c r="D110" s="17">
        <v>331.54</v>
      </c>
      <c r="E110" s="17">
        <v>0</v>
      </c>
      <c r="F110" s="17">
        <v>-17.16</v>
      </c>
      <c r="G110" s="17">
        <v>0</v>
      </c>
      <c r="H110" s="17">
        <v>0</v>
      </c>
      <c r="I110" s="17">
        <f t="shared" si="9"/>
        <v>0</v>
      </c>
      <c r="J110" s="17">
        <f t="shared" si="10"/>
        <v>314.38</v>
      </c>
      <c r="K110" s="17">
        <v>314.38</v>
      </c>
      <c r="L110" s="17"/>
      <c r="M110" s="281"/>
      <c r="N110" s="81">
        <f t="shared" si="7"/>
        <v>0</v>
      </c>
    </row>
    <row r="111" s="81" customFormat="1" customHeight="1" spans="1:14">
      <c r="A111" s="155">
        <v>2040501</v>
      </c>
      <c r="B111" s="141" t="s">
        <v>102</v>
      </c>
      <c r="C111" s="17">
        <f t="shared" si="8"/>
        <v>158.96</v>
      </c>
      <c r="D111" s="17">
        <v>158.96</v>
      </c>
      <c r="E111" s="17">
        <v>0</v>
      </c>
      <c r="F111" s="17">
        <v>42.84</v>
      </c>
      <c r="G111" s="17">
        <v>0</v>
      </c>
      <c r="H111" s="17">
        <v>0</v>
      </c>
      <c r="I111" s="17">
        <f t="shared" si="9"/>
        <v>0</v>
      </c>
      <c r="J111" s="17">
        <f t="shared" si="10"/>
        <v>201.8</v>
      </c>
      <c r="K111" s="17">
        <v>201.8</v>
      </c>
      <c r="L111" s="17"/>
      <c r="M111" s="329" t="s">
        <v>103</v>
      </c>
      <c r="N111" s="81">
        <f t="shared" si="7"/>
        <v>0</v>
      </c>
    </row>
    <row r="112" s="81" customFormat="1" customHeight="1" spans="1:14">
      <c r="A112" s="155">
        <v>2040599</v>
      </c>
      <c r="B112" s="141" t="s">
        <v>207</v>
      </c>
      <c r="C112" s="17">
        <f t="shared" si="8"/>
        <v>172.58</v>
      </c>
      <c r="D112" s="17">
        <v>172.58</v>
      </c>
      <c r="E112" s="17">
        <v>0</v>
      </c>
      <c r="F112" s="17">
        <v>-60</v>
      </c>
      <c r="G112" s="17">
        <v>0</v>
      </c>
      <c r="H112" s="17">
        <v>0</v>
      </c>
      <c r="I112" s="17">
        <f t="shared" si="9"/>
        <v>0</v>
      </c>
      <c r="J112" s="17">
        <f t="shared" si="10"/>
        <v>112.58</v>
      </c>
      <c r="K112" s="17">
        <v>112.58</v>
      </c>
      <c r="L112" s="17"/>
      <c r="M112" s="329" t="s">
        <v>208</v>
      </c>
      <c r="N112" s="81">
        <f t="shared" si="7"/>
        <v>0</v>
      </c>
    </row>
    <row r="113" s="81" customFormat="1" customHeight="1" spans="1:14">
      <c r="A113" s="155">
        <v>20406</v>
      </c>
      <c r="B113" s="141" t="s">
        <v>209</v>
      </c>
      <c r="C113" s="17">
        <f t="shared" si="8"/>
        <v>1143.94</v>
      </c>
      <c r="D113" s="17">
        <v>1105.94</v>
      </c>
      <c r="E113" s="17">
        <v>38</v>
      </c>
      <c r="F113" s="17">
        <v>-13.96</v>
      </c>
      <c r="G113" s="17">
        <v>0</v>
      </c>
      <c r="H113" s="17">
        <v>4.75</v>
      </c>
      <c r="I113" s="17">
        <f t="shared" si="9"/>
        <v>34.573761</v>
      </c>
      <c r="J113" s="17">
        <f t="shared" si="10"/>
        <v>1169.303761</v>
      </c>
      <c r="K113" s="17">
        <v>1096.73</v>
      </c>
      <c r="L113" s="17">
        <v>72.573761</v>
      </c>
      <c r="M113" s="281"/>
      <c r="N113" s="81">
        <f t="shared" si="7"/>
        <v>0</v>
      </c>
    </row>
    <row r="114" s="81" customFormat="1" customHeight="1" spans="1:14">
      <c r="A114" s="155">
        <v>2040601</v>
      </c>
      <c r="B114" s="141" t="s">
        <v>102</v>
      </c>
      <c r="C114" s="17">
        <f t="shared" si="8"/>
        <v>772.83</v>
      </c>
      <c r="D114" s="17">
        <v>772.83</v>
      </c>
      <c r="E114" s="17">
        <v>0</v>
      </c>
      <c r="F114" s="17">
        <v>23</v>
      </c>
      <c r="G114" s="17">
        <v>0</v>
      </c>
      <c r="H114" s="17">
        <v>4.75</v>
      </c>
      <c r="I114" s="17">
        <f t="shared" si="9"/>
        <v>0</v>
      </c>
      <c r="J114" s="17">
        <f t="shared" si="10"/>
        <v>800.58</v>
      </c>
      <c r="K114" s="17">
        <v>800.58</v>
      </c>
      <c r="L114" s="17"/>
      <c r="M114" s="329" t="s">
        <v>103</v>
      </c>
      <c r="N114" s="81">
        <f t="shared" si="7"/>
        <v>0</v>
      </c>
    </row>
    <row r="115" s="81" customFormat="1" customHeight="1" spans="1:14">
      <c r="A115" s="155">
        <v>2040602</v>
      </c>
      <c r="B115" s="141" t="s">
        <v>126</v>
      </c>
      <c r="C115" s="17">
        <f t="shared" si="8"/>
        <v>95.24</v>
      </c>
      <c r="D115" s="17">
        <v>95.24</v>
      </c>
      <c r="E115" s="17">
        <v>0</v>
      </c>
      <c r="F115" s="17">
        <v>-22.29</v>
      </c>
      <c r="G115" s="17">
        <v>0</v>
      </c>
      <c r="H115" s="17">
        <v>0</v>
      </c>
      <c r="I115" s="17">
        <f t="shared" si="9"/>
        <v>0</v>
      </c>
      <c r="J115" s="17">
        <f t="shared" si="10"/>
        <v>72.95</v>
      </c>
      <c r="K115" s="17">
        <v>72.95</v>
      </c>
      <c r="L115" s="17"/>
      <c r="M115" s="281" t="s">
        <v>210</v>
      </c>
      <c r="N115" s="81">
        <f t="shared" si="7"/>
        <v>0</v>
      </c>
    </row>
    <row r="116" s="81" customFormat="1" customHeight="1" spans="1:14">
      <c r="A116" s="155">
        <v>2040604</v>
      </c>
      <c r="B116" s="141" t="s">
        <v>211</v>
      </c>
      <c r="C116" s="17">
        <f t="shared" si="8"/>
        <v>53.73</v>
      </c>
      <c r="D116" s="17">
        <v>53.73</v>
      </c>
      <c r="E116" s="17">
        <v>0</v>
      </c>
      <c r="F116" s="17">
        <v>-7.67</v>
      </c>
      <c r="G116" s="17">
        <v>0</v>
      </c>
      <c r="H116" s="17">
        <v>0</v>
      </c>
      <c r="I116" s="17">
        <f t="shared" si="9"/>
        <v>12.28608</v>
      </c>
      <c r="J116" s="17">
        <f t="shared" si="10"/>
        <v>58.34608</v>
      </c>
      <c r="K116" s="17">
        <v>46.06</v>
      </c>
      <c r="L116" s="17">
        <v>12.28608</v>
      </c>
      <c r="M116" s="281" t="s">
        <v>212</v>
      </c>
      <c r="N116" s="81">
        <f t="shared" si="7"/>
        <v>0</v>
      </c>
    </row>
    <row r="117" s="81" customFormat="1" customHeight="1" spans="1:14">
      <c r="A117" s="155">
        <v>2040605</v>
      </c>
      <c r="B117" s="141" t="s">
        <v>213</v>
      </c>
      <c r="C117" s="17">
        <f t="shared" si="8"/>
        <v>12</v>
      </c>
      <c r="D117" s="17">
        <v>12</v>
      </c>
      <c r="E117" s="17">
        <v>0</v>
      </c>
      <c r="F117" s="17">
        <v>0</v>
      </c>
      <c r="G117" s="17">
        <v>0</v>
      </c>
      <c r="H117" s="17">
        <v>0</v>
      </c>
      <c r="I117" s="17">
        <f t="shared" si="9"/>
        <v>1.5</v>
      </c>
      <c r="J117" s="17">
        <f t="shared" si="10"/>
        <v>13.5</v>
      </c>
      <c r="K117" s="17">
        <v>12</v>
      </c>
      <c r="L117" s="17">
        <v>1.5</v>
      </c>
      <c r="M117" s="281"/>
      <c r="N117" s="81">
        <f t="shared" si="7"/>
        <v>0</v>
      </c>
    </row>
    <row r="118" s="81" customFormat="1" customHeight="1" spans="1:14">
      <c r="A118" s="155">
        <v>2040606</v>
      </c>
      <c r="B118" s="141" t="s">
        <v>214</v>
      </c>
      <c r="C118" s="17">
        <f t="shared" si="8"/>
        <v>3</v>
      </c>
      <c r="D118" s="17">
        <v>3</v>
      </c>
      <c r="E118" s="17">
        <v>0</v>
      </c>
      <c r="F118" s="17">
        <v>-2</v>
      </c>
      <c r="G118" s="17">
        <v>0</v>
      </c>
      <c r="H118" s="17">
        <v>0</v>
      </c>
      <c r="I118" s="17">
        <f t="shared" si="9"/>
        <v>0</v>
      </c>
      <c r="J118" s="17">
        <f t="shared" si="10"/>
        <v>1</v>
      </c>
      <c r="K118" s="17">
        <v>1</v>
      </c>
      <c r="L118" s="17"/>
      <c r="M118" s="281" t="s">
        <v>215</v>
      </c>
      <c r="N118" s="81">
        <f t="shared" si="7"/>
        <v>0</v>
      </c>
    </row>
    <row r="119" s="81" customFormat="1" customHeight="1" spans="1:14">
      <c r="A119" s="155">
        <v>2040607</v>
      </c>
      <c r="B119" s="141" t="s">
        <v>216</v>
      </c>
      <c r="C119" s="17">
        <f t="shared" si="8"/>
        <v>79.66</v>
      </c>
      <c r="D119" s="17">
        <v>41.66</v>
      </c>
      <c r="E119" s="17">
        <v>38</v>
      </c>
      <c r="F119" s="17">
        <v>-2</v>
      </c>
      <c r="G119" s="17">
        <v>0</v>
      </c>
      <c r="H119" s="17">
        <v>0</v>
      </c>
      <c r="I119" s="17">
        <f t="shared" si="9"/>
        <v>7.5</v>
      </c>
      <c r="J119" s="17">
        <f t="shared" si="10"/>
        <v>85.16</v>
      </c>
      <c r="K119" s="17">
        <v>39.66</v>
      </c>
      <c r="L119" s="17">
        <v>45.5</v>
      </c>
      <c r="M119" s="281" t="s">
        <v>217</v>
      </c>
      <c r="N119" s="81">
        <f t="shared" si="7"/>
        <v>0</v>
      </c>
    </row>
    <row r="120" s="81" customFormat="1" customHeight="1" spans="1:14">
      <c r="A120" s="155">
        <v>2040610</v>
      </c>
      <c r="B120" s="141" t="s">
        <v>218</v>
      </c>
      <c r="C120" s="17">
        <f t="shared" si="8"/>
        <v>86.37</v>
      </c>
      <c r="D120" s="17">
        <v>86.37</v>
      </c>
      <c r="E120" s="17">
        <v>0</v>
      </c>
      <c r="F120" s="17">
        <v>-3</v>
      </c>
      <c r="G120" s="17">
        <v>0</v>
      </c>
      <c r="H120" s="17">
        <v>0</v>
      </c>
      <c r="I120" s="17">
        <f t="shared" si="9"/>
        <v>4</v>
      </c>
      <c r="J120" s="17">
        <f t="shared" si="10"/>
        <v>87.37</v>
      </c>
      <c r="K120" s="17">
        <v>83.37</v>
      </c>
      <c r="L120" s="17">
        <v>4</v>
      </c>
      <c r="M120" s="281" t="s">
        <v>219</v>
      </c>
      <c r="N120" s="81">
        <f t="shared" si="7"/>
        <v>0</v>
      </c>
    </row>
    <row r="121" s="81" customFormat="1" customHeight="1" spans="1:14">
      <c r="A121" s="145">
        <v>2040613</v>
      </c>
      <c r="B121" s="141" t="s">
        <v>133</v>
      </c>
      <c r="C121" s="17">
        <f t="shared" si="8"/>
        <v>1.75</v>
      </c>
      <c r="D121" s="17">
        <v>1.75</v>
      </c>
      <c r="E121" s="17">
        <v>0</v>
      </c>
      <c r="F121" s="17"/>
      <c r="G121" s="17"/>
      <c r="H121" s="17"/>
      <c r="I121" s="17">
        <f t="shared" si="9"/>
        <v>0</v>
      </c>
      <c r="J121" s="17">
        <f t="shared" si="10"/>
        <v>1.75</v>
      </c>
      <c r="K121" s="17">
        <v>1.75</v>
      </c>
      <c r="L121" s="17"/>
      <c r="M121" s="329">
        <v>0</v>
      </c>
      <c r="N121" s="81">
        <f t="shared" si="7"/>
        <v>0</v>
      </c>
    </row>
    <row r="122" s="81" customFormat="1" customHeight="1" spans="1:14">
      <c r="A122" s="155">
        <v>2040699</v>
      </c>
      <c r="B122" s="141" t="s">
        <v>220</v>
      </c>
      <c r="C122" s="17">
        <f t="shared" si="8"/>
        <v>39.36</v>
      </c>
      <c r="D122" s="17">
        <v>39.36</v>
      </c>
      <c r="E122" s="17">
        <v>0</v>
      </c>
      <c r="F122" s="17">
        <v>0</v>
      </c>
      <c r="G122" s="17">
        <v>0</v>
      </c>
      <c r="H122" s="17">
        <v>0</v>
      </c>
      <c r="I122" s="17">
        <f t="shared" si="9"/>
        <v>9.287681</v>
      </c>
      <c r="J122" s="17">
        <f t="shared" si="10"/>
        <v>48.647681</v>
      </c>
      <c r="K122" s="17">
        <v>39.36</v>
      </c>
      <c r="L122" s="17">
        <v>9.287681</v>
      </c>
      <c r="M122" s="329">
        <v>0</v>
      </c>
      <c r="N122" s="81">
        <f t="shared" si="7"/>
        <v>0</v>
      </c>
    </row>
    <row r="123" s="81" customFormat="1" customHeight="1" spans="1:14">
      <c r="A123" s="155">
        <v>20499</v>
      </c>
      <c r="B123" s="141" t="s">
        <v>221</v>
      </c>
      <c r="C123" s="17">
        <f t="shared" si="8"/>
        <v>26.26</v>
      </c>
      <c r="D123" s="17">
        <v>26.26</v>
      </c>
      <c r="E123" s="17">
        <v>0</v>
      </c>
      <c r="F123" s="17">
        <v>-10</v>
      </c>
      <c r="G123" s="17">
        <v>0</v>
      </c>
      <c r="H123" s="17">
        <v>0</v>
      </c>
      <c r="I123" s="17">
        <f t="shared" si="9"/>
        <v>56</v>
      </c>
      <c r="J123" s="17">
        <f t="shared" si="10"/>
        <v>72.26</v>
      </c>
      <c r="K123" s="17">
        <v>16.26</v>
      </c>
      <c r="L123" s="17">
        <v>56</v>
      </c>
      <c r="M123" s="281"/>
      <c r="N123" s="81">
        <f t="shared" si="7"/>
        <v>0</v>
      </c>
    </row>
    <row r="124" s="81" customFormat="1" customHeight="1" spans="1:14">
      <c r="A124" s="155">
        <v>2049999</v>
      </c>
      <c r="B124" s="141" t="s">
        <v>221</v>
      </c>
      <c r="C124" s="17">
        <f t="shared" si="8"/>
        <v>26.26</v>
      </c>
      <c r="D124" s="17">
        <v>26.26</v>
      </c>
      <c r="E124" s="17">
        <v>0</v>
      </c>
      <c r="F124" s="17">
        <v>-10</v>
      </c>
      <c r="G124" s="17">
        <v>0</v>
      </c>
      <c r="H124" s="17">
        <v>0</v>
      </c>
      <c r="I124" s="17">
        <f t="shared" si="9"/>
        <v>56</v>
      </c>
      <c r="J124" s="17">
        <f t="shared" si="10"/>
        <v>72.26</v>
      </c>
      <c r="K124" s="17">
        <v>16.26</v>
      </c>
      <c r="L124" s="17">
        <v>56</v>
      </c>
      <c r="M124" s="330" t="s">
        <v>222</v>
      </c>
      <c r="N124" s="81">
        <f t="shared" si="7"/>
        <v>0</v>
      </c>
    </row>
    <row r="125" s="81" customFormat="1" customHeight="1" spans="1:14">
      <c r="A125" s="155">
        <v>205</v>
      </c>
      <c r="B125" s="141" t="s">
        <v>223</v>
      </c>
      <c r="C125" s="17">
        <f t="shared" si="8"/>
        <v>83789.2915</v>
      </c>
      <c r="D125" s="17">
        <v>78325.66</v>
      </c>
      <c r="E125" s="17">
        <v>5463.6315</v>
      </c>
      <c r="F125" s="17">
        <v>-10867.81</v>
      </c>
      <c r="G125" s="17">
        <v>0</v>
      </c>
      <c r="H125" s="17">
        <v>888.48</v>
      </c>
      <c r="I125" s="17">
        <f t="shared" si="9"/>
        <v>821.8384</v>
      </c>
      <c r="J125" s="17">
        <f t="shared" si="10"/>
        <v>74631.7999</v>
      </c>
      <c r="K125" s="17">
        <v>68346.33</v>
      </c>
      <c r="L125" s="17">
        <v>6285.4699</v>
      </c>
      <c r="M125" s="329">
        <f>M126+M128+M134+M137+M140+M143+M145</f>
        <v>0</v>
      </c>
      <c r="N125" s="81">
        <f t="shared" si="7"/>
        <v>0</v>
      </c>
    </row>
    <row r="126" s="81" customFormat="1" customHeight="1" spans="1:14">
      <c r="A126" s="155">
        <v>20501</v>
      </c>
      <c r="B126" s="141" t="s">
        <v>224</v>
      </c>
      <c r="C126" s="17">
        <f t="shared" si="8"/>
        <v>499.75</v>
      </c>
      <c r="D126" s="17">
        <v>499.75</v>
      </c>
      <c r="E126" s="17">
        <v>0</v>
      </c>
      <c r="F126" s="17">
        <v>-4.31999999999999</v>
      </c>
      <c r="G126" s="17">
        <v>0</v>
      </c>
      <c r="H126" s="17">
        <v>1.05</v>
      </c>
      <c r="I126" s="17">
        <f t="shared" si="9"/>
        <v>0</v>
      </c>
      <c r="J126" s="17">
        <f t="shared" si="10"/>
        <v>496.48</v>
      </c>
      <c r="K126" s="17">
        <v>496.48</v>
      </c>
      <c r="L126" s="17"/>
      <c r="M126" s="281"/>
      <c r="N126" s="81">
        <f t="shared" si="7"/>
        <v>0</v>
      </c>
    </row>
    <row r="127" s="81" customFormat="1" customHeight="1" spans="1:14">
      <c r="A127" s="155">
        <v>2050101</v>
      </c>
      <c r="B127" s="141" t="s">
        <v>102</v>
      </c>
      <c r="C127" s="17">
        <f t="shared" si="8"/>
        <v>499.75</v>
      </c>
      <c r="D127" s="17">
        <v>499.75</v>
      </c>
      <c r="E127" s="17">
        <v>0</v>
      </c>
      <c r="F127" s="17">
        <v>-4.31999999999999</v>
      </c>
      <c r="G127" s="17">
        <v>0</v>
      </c>
      <c r="H127" s="17">
        <v>1.05</v>
      </c>
      <c r="I127" s="17">
        <f t="shared" si="9"/>
        <v>0</v>
      </c>
      <c r="J127" s="17">
        <f t="shared" si="10"/>
        <v>496.48</v>
      </c>
      <c r="K127" s="17">
        <v>496.48</v>
      </c>
      <c r="L127" s="17"/>
      <c r="M127" s="329" t="s">
        <v>143</v>
      </c>
      <c r="N127" s="81">
        <f t="shared" si="7"/>
        <v>0</v>
      </c>
    </row>
    <row r="128" s="81" customFormat="1" customHeight="1" spans="1:14">
      <c r="A128" s="155">
        <v>20502</v>
      </c>
      <c r="B128" s="141" t="s">
        <v>225</v>
      </c>
      <c r="C128" s="17">
        <f t="shared" si="8"/>
        <v>69491.8395</v>
      </c>
      <c r="D128" s="17">
        <v>64441.08</v>
      </c>
      <c r="E128" s="17">
        <v>5050.7595</v>
      </c>
      <c r="F128" s="17">
        <v>-637.379999999998</v>
      </c>
      <c r="G128" s="17">
        <v>0</v>
      </c>
      <c r="H128" s="17">
        <v>874.28</v>
      </c>
      <c r="I128" s="17">
        <f t="shared" si="9"/>
        <v>452.9173</v>
      </c>
      <c r="J128" s="17">
        <f t="shared" si="10"/>
        <v>70181.6568</v>
      </c>
      <c r="K128" s="17">
        <v>64677.98</v>
      </c>
      <c r="L128" s="17">
        <v>5503.6768</v>
      </c>
      <c r="M128" s="281"/>
      <c r="N128" s="81">
        <f t="shared" si="7"/>
        <v>0</v>
      </c>
    </row>
    <row r="129" s="81" customFormat="1" customHeight="1" spans="1:14">
      <c r="A129" s="155">
        <v>2050201</v>
      </c>
      <c r="B129" s="141" t="s">
        <v>226</v>
      </c>
      <c r="C129" s="17">
        <f t="shared" si="8"/>
        <v>1867.615</v>
      </c>
      <c r="D129" s="17">
        <v>1560.13</v>
      </c>
      <c r="E129" s="17">
        <v>307.485</v>
      </c>
      <c r="F129" s="17">
        <v>-257.36</v>
      </c>
      <c r="G129" s="17">
        <v>0</v>
      </c>
      <c r="H129" s="17">
        <v>0.739999999999998</v>
      </c>
      <c r="I129" s="17">
        <f t="shared" si="9"/>
        <v>3.9425</v>
      </c>
      <c r="J129" s="17">
        <f t="shared" si="10"/>
        <v>1614.9375</v>
      </c>
      <c r="K129" s="17">
        <v>1303.51</v>
      </c>
      <c r="L129" s="17">
        <v>311.4275</v>
      </c>
      <c r="M129" s="329" t="s">
        <v>227</v>
      </c>
      <c r="N129" s="81">
        <f t="shared" si="7"/>
        <v>0</v>
      </c>
    </row>
    <row r="130" s="81" customFormat="1" customHeight="1" spans="1:14">
      <c r="A130" s="155">
        <v>2050202</v>
      </c>
      <c r="B130" s="141" t="s">
        <v>228</v>
      </c>
      <c r="C130" s="17">
        <f t="shared" si="8"/>
        <v>31363.1724</v>
      </c>
      <c r="D130" s="17">
        <v>29374</v>
      </c>
      <c r="E130" s="17">
        <v>1989.1724</v>
      </c>
      <c r="F130" s="17">
        <v>-877.16</v>
      </c>
      <c r="G130" s="17">
        <v>0</v>
      </c>
      <c r="H130" s="17">
        <v>229.04</v>
      </c>
      <c r="I130" s="17">
        <f t="shared" si="9"/>
        <v>266.1059</v>
      </c>
      <c r="J130" s="17">
        <f t="shared" si="10"/>
        <v>30981.1583</v>
      </c>
      <c r="K130" s="17">
        <v>28725.88</v>
      </c>
      <c r="L130" s="17">
        <v>2255.2783</v>
      </c>
      <c r="M130" s="329" t="s">
        <v>229</v>
      </c>
      <c r="N130" s="81">
        <f t="shared" si="7"/>
        <v>0</v>
      </c>
    </row>
    <row r="131" s="81" customFormat="1" customHeight="1" spans="1:14">
      <c r="A131" s="155">
        <v>2050203</v>
      </c>
      <c r="B131" s="141" t="s">
        <v>230</v>
      </c>
      <c r="C131" s="17">
        <f t="shared" si="8"/>
        <v>16918.8936</v>
      </c>
      <c r="D131" s="17">
        <v>15065.41</v>
      </c>
      <c r="E131" s="17">
        <v>1853.4836</v>
      </c>
      <c r="F131" s="17">
        <v>-615.12</v>
      </c>
      <c r="G131" s="17">
        <v>0</v>
      </c>
      <c r="H131" s="17">
        <v>50.43</v>
      </c>
      <c r="I131" s="17">
        <f t="shared" si="9"/>
        <v>281.3661</v>
      </c>
      <c r="J131" s="17">
        <f t="shared" si="10"/>
        <v>16635.5697</v>
      </c>
      <c r="K131" s="17">
        <v>14500.72</v>
      </c>
      <c r="L131" s="17">
        <v>2134.8497</v>
      </c>
      <c r="M131" s="329" t="s">
        <v>231</v>
      </c>
      <c r="N131" s="81">
        <f t="shared" si="7"/>
        <v>0</v>
      </c>
    </row>
    <row r="132" s="81" customFormat="1" customHeight="1" spans="1:14">
      <c r="A132" s="155">
        <v>2050204</v>
      </c>
      <c r="B132" s="141" t="s">
        <v>232</v>
      </c>
      <c r="C132" s="17">
        <f t="shared" si="8"/>
        <v>9751.7685</v>
      </c>
      <c r="D132" s="17">
        <v>9338.19</v>
      </c>
      <c r="E132" s="17">
        <v>413.5785</v>
      </c>
      <c r="F132" s="17">
        <v>-215.3</v>
      </c>
      <c r="G132" s="17">
        <v>0</v>
      </c>
      <c r="H132" s="17">
        <v>28.65</v>
      </c>
      <c r="I132" s="17">
        <f t="shared" si="9"/>
        <v>118.4783</v>
      </c>
      <c r="J132" s="17">
        <f t="shared" si="10"/>
        <v>9683.5968</v>
      </c>
      <c r="K132" s="17">
        <v>9151.54</v>
      </c>
      <c r="L132" s="17">
        <v>532.0568</v>
      </c>
      <c r="M132" s="329" t="s">
        <v>143</v>
      </c>
      <c r="N132" s="81">
        <f t="shared" si="7"/>
        <v>0</v>
      </c>
    </row>
    <row r="133" s="81" customFormat="1" ht="50" customHeight="1" spans="1:14">
      <c r="A133" s="155">
        <v>2050299</v>
      </c>
      <c r="B133" s="141" t="s">
        <v>233</v>
      </c>
      <c r="C133" s="17">
        <f t="shared" si="8"/>
        <v>9590.38999999999</v>
      </c>
      <c r="D133" s="17">
        <v>9103.34999999999</v>
      </c>
      <c r="E133" s="17">
        <v>487.04</v>
      </c>
      <c r="F133" s="17">
        <v>1327.56</v>
      </c>
      <c r="G133" s="17">
        <v>0</v>
      </c>
      <c r="H133" s="17">
        <v>565.42</v>
      </c>
      <c r="I133" s="17">
        <f t="shared" si="9"/>
        <v>-216.9755</v>
      </c>
      <c r="J133" s="17">
        <f t="shared" si="10"/>
        <v>11266.3945</v>
      </c>
      <c r="K133" s="17">
        <v>10996.33</v>
      </c>
      <c r="L133" s="17">
        <v>270.0645</v>
      </c>
      <c r="M133" s="329" t="s">
        <v>234</v>
      </c>
      <c r="N133" s="81">
        <f t="shared" si="7"/>
        <v>0</v>
      </c>
    </row>
    <row r="134" s="81" customFormat="1" customHeight="1" spans="1:14">
      <c r="A134" s="155">
        <v>20503</v>
      </c>
      <c r="B134" s="141" t="s">
        <v>235</v>
      </c>
      <c r="C134" s="17">
        <f t="shared" si="8"/>
        <v>6318.872</v>
      </c>
      <c r="D134" s="17">
        <v>6001.04</v>
      </c>
      <c r="E134" s="17">
        <v>317.832</v>
      </c>
      <c r="F134" s="17">
        <v>-3157.59</v>
      </c>
      <c r="G134" s="17">
        <v>0</v>
      </c>
      <c r="H134" s="17">
        <v>4.33</v>
      </c>
      <c r="I134" s="17">
        <f t="shared" si="9"/>
        <v>86.732</v>
      </c>
      <c r="J134" s="17">
        <f t="shared" si="10"/>
        <v>3252.344</v>
      </c>
      <c r="K134" s="17">
        <v>2847.78</v>
      </c>
      <c r="L134" s="17">
        <v>404.564</v>
      </c>
      <c r="M134" s="329"/>
      <c r="N134" s="81">
        <f t="shared" si="7"/>
        <v>0</v>
      </c>
    </row>
    <row r="135" s="81" customFormat="1" customHeight="1" spans="1:14">
      <c r="A135" s="155">
        <v>2050302</v>
      </c>
      <c r="B135" s="141" t="s">
        <v>236</v>
      </c>
      <c r="C135" s="17">
        <f t="shared" si="8"/>
        <v>1318.872</v>
      </c>
      <c r="D135" s="17">
        <v>1001.04</v>
      </c>
      <c r="E135" s="17">
        <v>317.832</v>
      </c>
      <c r="F135" s="17">
        <v>-157.59</v>
      </c>
      <c r="G135" s="17">
        <v>0</v>
      </c>
      <c r="H135" s="17">
        <v>4.33</v>
      </c>
      <c r="I135" s="17">
        <f t="shared" si="9"/>
        <v>86.732</v>
      </c>
      <c r="J135" s="17">
        <f t="shared" si="10"/>
        <v>1252.344</v>
      </c>
      <c r="K135" s="17">
        <v>847.78</v>
      </c>
      <c r="L135" s="17">
        <v>404.564</v>
      </c>
      <c r="M135" s="281" t="s">
        <v>237</v>
      </c>
      <c r="N135" s="81">
        <f t="shared" ref="N135:N198" si="11">E135+I135-L135</f>
        <v>0</v>
      </c>
    </row>
    <row r="136" s="81" customFormat="1" customHeight="1" spans="1:14">
      <c r="A136" s="155">
        <v>2050305</v>
      </c>
      <c r="B136" s="141" t="s">
        <v>238</v>
      </c>
      <c r="C136" s="17">
        <f t="shared" si="8"/>
        <v>5000</v>
      </c>
      <c r="D136" s="17">
        <v>5000</v>
      </c>
      <c r="E136" s="17">
        <v>0</v>
      </c>
      <c r="F136" s="17">
        <v>-3000</v>
      </c>
      <c r="G136" s="17">
        <v>0</v>
      </c>
      <c r="H136" s="17">
        <v>0</v>
      </c>
      <c r="I136" s="17">
        <f t="shared" si="9"/>
        <v>0</v>
      </c>
      <c r="J136" s="17">
        <f t="shared" si="10"/>
        <v>2000</v>
      </c>
      <c r="K136" s="17">
        <v>2000</v>
      </c>
      <c r="L136" s="17"/>
      <c r="M136" s="329" t="s">
        <v>239</v>
      </c>
      <c r="N136" s="81">
        <f t="shared" si="11"/>
        <v>0</v>
      </c>
    </row>
    <row r="137" s="81" customFormat="1" customHeight="1" spans="1:14">
      <c r="A137" s="155">
        <v>20507</v>
      </c>
      <c r="B137" s="141" t="s">
        <v>240</v>
      </c>
      <c r="C137" s="17">
        <f t="shared" si="8"/>
        <v>212.33</v>
      </c>
      <c r="D137" s="17">
        <v>117.29</v>
      </c>
      <c r="E137" s="17">
        <v>95.04</v>
      </c>
      <c r="F137" s="17">
        <v>-7.46</v>
      </c>
      <c r="G137" s="17">
        <v>0</v>
      </c>
      <c r="H137" s="17">
        <v>8.82</v>
      </c>
      <c r="I137" s="17">
        <f t="shared" si="9"/>
        <v>30.5677</v>
      </c>
      <c r="J137" s="17">
        <f t="shared" si="10"/>
        <v>244.2577</v>
      </c>
      <c r="K137" s="17">
        <v>118.65</v>
      </c>
      <c r="L137" s="17">
        <v>125.6077</v>
      </c>
      <c r="M137" s="281"/>
      <c r="N137" s="81">
        <f t="shared" si="11"/>
        <v>0</v>
      </c>
    </row>
    <row r="138" s="81" customFormat="1" customHeight="1" spans="1:14">
      <c r="A138" s="155">
        <v>2050701</v>
      </c>
      <c r="B138" s="141" t="s">
        <v>241</v>
      </c>
      <c r="C138" s="17">
        <f t="shared" si="8"/>
        <v>201.33</v>
      </c>
      <c r="D138" s="17">
        <v>106.29</v>
      </c>
      <c r="E138" s="17">
        <v>95.04</v>
      </c>
      <c r="F138" s="17">
        <v>-7.46</v>
      </c>
      <c r="G138" s="17">
        <v>0</v>
      </c>
      <c r="H138" s="17">
        <v>8.82</v>
      </c>
      <c r="I138" s="17">
        <f t="shared" si="9"/>
        <v>30.5677</v>
      </c>
      <c r="J138" s="17">
        <f t="shared" si="10"/>
        <v>233.2577</v>
      </c>
      <c r="K138" s="17">
        <v>107.65</v>
      </c>
      <c r="L138" s="17">
        <v>125.6077</v>
      </c>
      <c r="M138" s="329" t="s">
        <v>171</v>
      </c>
      <c r="N138" s="81">
        <f t="shared" si="11"/>
        <v>0</v>
      </c>
    </row>
    <row r="139" s="81" customFormat="1" customHeight="1" spans="1:14">
      <c r="A139" s="155">
        <v>2050799</v>
      </c>
      <c r="B139" s="141" t="s">
        <v>242</v>
      </c>
      <c r="C139" s="17">
        <f t="shared" si="8"/>
        <v>11</v>
      </c>
      <c r="D139" s="17">
        <v>11</v>
      </c>
      <c r="E139" s="17">
        <v>0</v>
      </c>
      <c r="F139" s="17">
        <v>0</v>
      </c>
      <c r="G139" s="17">
        <v>0</v>
      </c>
      <c r="H139" s="17">
        <v>0</v>
      </c>
      <c r="I139" s="17">
        <f t="shared" si="9"/>
        <v>0</v>
      </c>
      <c r="J139" s="17">
        <f t="shared" si="10"/>
        <v>11</v>
      </c>
      <c r="K139" s="17">
        <v>11</v>
      </c>
      <c r="L139" s="17"/>
      <c r="M139" s="329">
        <v>0</v>
      </c>
      <c r="N139" s="81">
        <f t="shared" si="11"/>
        <v>0</v>
      </c>
    </row>
    <row r="140" s="81" customFormat="1" customHeight="1" spans="1:14">
      <c r="A140" s="155">
        <v>20508</v>
      </c>
      <c r="B140" s="141" t="s">
        <v>243</v>
      </c>
      <c r="C140" s="17">
        <f t="shared" si="8"/>
        <v>40.42</v>
      </c>
      <c r="D140" s="17">
        <v>40.42</v>
      </c>
      <c r="E140" s="17">
        <v>0</v>
      </c>
      <c r="F140" s="17">
        <v>-2.64</v>
      </c>
      <c r="G140" s="17">
        <v>0</v>
      </c>
      <c r="H140" s="17">
        <v>0</v>
      </c>
      <c r="I140" s="17">
        <f t="shared" si="9"/>
        <v>21.88</v>
      </c>
      <c r="J140" s="17">
        <f t="shared" si="10"/>
        <v>59.66</v>
      </c>
      <c r="K140" s="17">
        <v>37.78</v>
      </c>
      <c r="L140" s="17">
        <v>21.88</v>
      </c>
      <c r="M140" s="329"/>
      <c r="N140" s="81">
        <f t="shared" si="11"/>
        <v>0</v>
      </c>
    </row>
    <row r="141" s="81" customFormat="1" customHeight="1" spans="1:14">
      <c r="A141" s="155">
        <v>2050801</v>
      </c>
      <c r="B141" s="141" t="s">
        <v>244</v>
      </c>
      <c r="C141" s="17">
        <f t="shared" si="8"/>
        <v>30.42</v>
      </c>
      <c r="D141" s="17">
        <v>30.42</v>
      </c>
      <c r="E141" s="17">
        <v>0</v>
      </c>
      <c r="F141" s="17">
        <v>-2.64</v>
      </c>
      <c r="G141" s="17">
        <v>0</v>
      </c>
      <c r="H141" s="17">
        <v>0</v>
      </c>
      <c r="I141" s="17">
        <f t="shared" si="9"/>
        <v>21.88</v>
      </c>
      <c r="J141" s="17">
        <f t="shared" si="10"/>
        <v>49.66</v>
      </c>
      <c r="K141" s="17">
        <v>27.78</v>
      </c>
      <c r="L141" s="17">
        <v>21.88</v>
      </c>
      <c r="M141" s="329" t="s">
        <v>245</v>
      </c>
      <c r="N141" s="81">
        <f t="shared" si="11"/>
        <v>0</v>
      </c>
    </row>
    <row r="142" s="81" customFormat="1" customHeight="1" spans="1:14">
      <c r="A142" s="155">
        <v>2050802</v>
      </c>
      <c r="B142" s="141" t="s">
        <v>246</v>
      </c>
      <c r="C142" s="17">
        <f t="shared" si="8"/>
        <v>10</v>
      </c>
      <c r="D142" s="17">
        <v>10</v>
      </c>
      <c r="E142" s="17">
        <v>0</v>
      </c>
      <c r="F142" s="17">
        <v>0</v>
      </c>
      <c r="G142" s="17">
        <v>0</v>
      </c>
      <c r="H142" s="17">
        <v>0</v>
      </c>
      <c r="I142" s="17">
        <f t="shared" si="9"/>
        <v>0</v>
      </c>
      <c r="J142" s="17">
        <f t="shared" si="10"/>
        <v>10</v>
      </c>
      <c r="K142" s="17">
        <v>10</v>
      </c>
      <c r="L142" s="17"/>
      <c r="M142" s="329">
        <v>0</v>
      </c>
      <c r="N142" s="81">
        <f t="shared" si="11"/>
        <v>0</v>
      </c>
    </row>
    <row r="143" s="81" customFormat="1" customHeight="1" spans="1:14">
      <c r="A143" s="155">
        <v>20509</v>
      </c>
      <c r="B143" s="141" t="s">
        <v>247</v>
      </c>
      <c r="C143" s="17">
        <f t="shared" si="8"/>
        <v>205.22</v>
      </c>
      <c r="D143" s="17">
        <v>205.22</v>
      </c>
      <c r="E143" s="17">
        <v>0</v>
      </c>
      <c r="F143" s="17">
        <v>-52.32</v>
      </c>
      <c r="G143" s="17">
        <v>0</v>
      </c>
      <c r="H143" s="17">
        <v>0</v>
      </c>
      <c r="I143" s="17">
        <f t="shared" si="9"/>
        <v>146.1264</v>
      </c>
      <c r="J143" s="17">
        <f t="shared" si="10"/>
        <v>299.0264</v>
      </c>
      <c r="K143" s="17">
        <v>152.9</v>
      </c>
      <c r="L143" s="17">
        <v>146.1264</v>
      </c>
      <c r="M143" s="281"/>
      <c r="N143" s="81">
        <f t="shared" si="11"/>
        <v>0</v>
      </c>
    </row>
    <row r="144" s="81" customFormat="1" customHeight="1" spans="1:14">
      <c r="A144" s="155">
        <v>2050999</v>
      </c>
      <c r="B144" s="141" t="s">
        <v>248</v>
      </c>
      <c r="C144" s="17">
        <f t="shared" si="8"/>
        <v>205.22</v>
      </c>
      <c r="D144" s="17">
        <v>205.22</v>
      </c>
      <c r="E144" s="17">
        <v>0</v>
      </c>
      <c r="F144" s="17">
        <v>-52.32</v>
      </c>
      <c r="G144" s="17">
        <v>0</v>
      </c>
      <c r="H144" s="17">
        <v>0</v>
      </c>
      <c r="I144" s="17">
        <f t="shared" si="9"/>
        <v>146.1264</v>
      </c>
      <c r="J144" s="17">
        <f t="shared" si="10"/>
        <v>299.0264</v>
      </c>
      <c r="K144" s="17">
        <v>152.9</v>
      </c>
      <c r="L144" s="17">
        <v>146.1264</v>
      </c>
      <c r="M144" s="329" t="s">
        <v>249</v>
      </c>
      <c r="N144" s="81">
        <f t="shared" si="11"/>
        <v>0</v>
      </c>
    </row>
    <row r="145" s="81" customFormat="1" customHeight="1" spans="1:14">
      <c r="A145" s="155">
        <v>20599</v>
      </c>
      <c r="B145" s="141" t="s">
        <v>250</v>
      </c>
      <c r="C145" s="17">
        <f t="shared" si="8"/>
        <v>7020.86</v>
      </c>
      <c r="D145" s="17">
        <v>7020.86</v>
      </c>
      <c r="E145" s="17">
        <v>0</v>
      </c>
      <c r="F145" s="17">
        <v>-7006.1</v>
      </c>
      <c r="G145" s="17">
        <v>0</v>
      </c>
      <c r="H145" s="17">
        <v>0</v>
      </c>
      <c r="I145" s="17">
        <f t="shared" si="9"/>
        <v>83.615</v>
      </c>
      <c r="J145" s="17">
        <f t="shared" si="10"/>
        <v>98.3749999999993</v>
      </c>
      <c r="K145" s="17">
        <v>14.7599999999993</v>
      </c>
      <c r="L145" s="17">
        <v>83.615</v>
      </c>
      <c r="M145" s="281"/>
      <c r="N145" s="81">
        <f t="shared" si="11"/>
        <v>0</v>
      </c>
    </row>
    <row r="146" s="81" customFormat="1" customHeight="1" spans="1:14">
      <c r="A146" s="155">
        <v>2059999</v>
      </c>
      <c r="B146" s="141" t="s">
        <v>250</v>
      </c>
      <c r="C146" s="17">
        <f t="shared" si="8"/>
        <v>7020.86</v>
      </c>
      <c r="D146" s="17">
        <v>7020.86</v>
      </c>
      <c r="E146" s="17">
        <v>0</v>
      </c>
      <c r="F146" s="17">
        <v>-7006.1</v>
      </c>
      <c r="G146" s="17">
        <v>0</v>
      </c>
      <c r="H146" s="17">
        <v>0</v>
      </c>
      <c r="I146" s="17">
        <f t="shared" si="9"/>
        <v>83.615</v>
      </c>
      <c r="J146" s="17">
        <f t="shared" si="10"/>
        <v>98.3749999999993</v>
      </c>
      <c r="K146" s="17">
        <v>14.7599999999993</v>
      </c>
      <c r="L146" s="17">
        <v>83.615</v>
      </c>
      <c r="M146" s="329" t="s">
        <v>251</v>
      </c>
      <c r="N146" s="81">
        <f t="shared" si="11"/>
        <v>0</v>
      </c>
    </row>
    <row r="147" s="81" customFormat="1" customHeight="1" spans="1:14">
      <c r="A147" s="155">
        <v>206</v>
      </c>
      <c r="B147" s="141" t="s">
        <v>252</v>
      </c>
      <c r="C147" s="17">
        <f t="shared" si="8"/>
        <v>2518.45</v>
      </c>
      <c r="D147" s="17">
        <v>2498.45</v>
      </c>
      <c r="E147" s="17">
        <v>20</v>
      </c>
      <c r="F147" s="17">
        <v>-1266</v>
      </c>
      <c r="G147" s="17">
        <v>0</v>
      </c>
      <c r="H147" s="17">
        <v>-374</v>
      </c>
      <c r="I147" s="17">
        <f t="shared" si="9"/>
        <v>1085.03425</v>
      </c>
      <c r="J147" s="17">
        <f t="shared" si="10"/>
        <v>1963.48425</v>
      </c>
      <c r="K147" s="17">
        <v>858.45</v>
      </c>
      <c r="L147" s="17">
        <v>1105.03425</v>
      </c>
      <c r="M147" s="329"/>
      <c r="N147" s="81">
        <f t="shared" si="11"/>
        <v>0</v>
      </c>
    </row>
    <row r="148" s="81" customFormat="1" customHeight="1" spans="1:14">
      <c r="A148" s="155">
        <v>20604</v>
      </c>
      <c r="B148" s="141" t="s">
        <v>253</v>
      </c>
      <c r="C148" s="17">
        <f t="shared" ref="C148:C179" si="12">D148+E148</f>
        <v>795.45</v>
      </c>
      <c r="D148" s="17">
        <v>795.45</v>
      </c>
      <c r="E148" s="17">
        <v>0</v>
      </c>
      <c r="F148" s="17">
        <v>0</v>
      </c>
      <c r="G148" s="17">
        <v>0</v>
      </c>
      <c r="H148" s="17">
        <v>0</v>
      </c>
      <c r="I148" s="17">
        <f t="shared" ref="I148:I179" si="13">L148-E148</f>
        <v>1090</v>
      </c>
      <c r="J148" s="17">
        <f t="shared" ref="J148:J179" si="14">K148+L148</f>
        <v>1885.45</v>
      </c>
      <c r="K148" s="17">
        <v>795.45</v>
      </c>
      <c r="L148" s="17">
        <v>1090</v>
      </c>
      <c r="M148" s="281"/>
      <c r="N148" s="81">
        <f t="shared" si="11"/>
        <v>0</v>
      </c>
    </row>
    <row r="149" s="81" customFormat="1" customHeight="1" spans="1:14">
      <c r="A149" s="145">
        <v>2060499</v>
      </c>
      <c r="B149" s="141" t="s">
        <v>254</v>
      </c>
      <c r="C149" s="17">
        <f t="shared" si="12"/>
        <v>795.45</v>
      </c>
      <c r="D149" s="17">
        <v>795.45</v>
      </c>
      <c r="E149" s="17">
        <v>0</v>
      </c>
      <c r="F149" s="17"/>
      <c r="G149" s="17"/>
      <c r="H149" s="17"/>
      <c r="I149" s="17">
        <f t="shared" si="13"/>
        <v>1090</v>
      </c>
      <c r="J149" s="17">
        <f t="shared" si="14"/>
        <v>1885.45</v>
      </c>
      <c r="K149" s="17">
        <v>795.45</v>
      </c>
      <c r="L149" s="17">
        <v>1090</v>
      </c>
      <c r="M149" s="281"/>
      <c r="N149" s="81">
        <f t="shared" si="11"/>
        <v>0</v>
      </c>
    </row>
    <row r="150" s="81" customFormat="1" customHeight="1" spans="1:14">
      <c r="A150" s="155">
        <v>20607</v>
      </c>
      <c r="B150" s="141" t="s">
        <v>255</v>
      </c>
      <c r="C150" s="17">
        <f t="shared" si="12"/>
        <v>3</v>
      </c>
      <c r="D150" s="17">
        <v>3</v>
      </c>
      <c r="E150" s="17">
        <v>0</v>
      </c>
      <c r="F150" s="17">
        <v>0</v>
      </c>
      <c r="G150" s="17">
        <v>0</v>
      </c>
      <c r="H150" s="17">
        <v>0</v>
      </c>
      <c r="I150" s="17">
        <f t="shared" si="13"/>
        <v>0</v>
      </c>
      <c r="J150" s="17">
        <f t="shared" si="14"/>
        <v>3</v>
      </c>
      <c r="K150" s="17">
        <v>3</v>
      </c>
      <c r="L150" s="17"/>
      <c r="M150" s="281"/>
      <c r="N150" s="81">
        <f t="shared" si="11"/>
        <v>0</v>
      </c>
    </row>
    <row r="151" s="81" customFormat="1" customHeight="1" spans="1:14">
      <c r="A151" s="155">
        <v>2060799</v>
      </c>
      <c r="B151" s="141" t="s">
        <v>256</v>
      </c>
      <c r="C151" s="17">
        <f t="shared" si="12"/>
        <v>3</v>
      </c>
      <c r="D151" s="17">
        <v>3</v>
      </c>
      <c r="E151" s="17">
        <v>0</v>
      </c>
      <c r="F151" s="17">
        <v>0</v>
      </c>
      <c r="G151" s="17">
        <v>0</v>
      </c>
      <c r="H151" s="17">
        <v>0</v>
      </c>
      <c r="I151" s="17">
        <f t="shared" si="13"/>
        <v>0</v>
      </c>
      <c r="J151" s="17">
        <f t="shared" si="14"/>
        <v>3</v>
      </c>
      <c r="K151" s="17">
        <v>3</v>
      </c>
      <c r="L151" s="17"/>
      <c r="M151" s="281"/>
      <c r="N151" s="81">
        <f t="shared" si="11"/>
        <v>0</v>
      </c>
    </row>
    <row r="152" s="81" customFormat="1" customHeight="1" spans="1:14">
      <c r="A152" s="155">
        <v>20699</v>
      </c>
      <c r="B152" s="141" t="s">
        <v>257</v>
      </c>
      <c r="C152" s="17">
        <f t="shared" si="12"/>
        <v>1720</v>
      </c>
      <c r="D152" s="17">
        <v>1700</v>
      </c>
      <c r="E152" s="17">
        <v>20</v>
      </c>
      <c r="F152" s="17">
        <v>-1266</v>
      </c>
      <c r="G152" s="17">
        <v>0</v>
      </c>
      <c r="H152" s="17">
        <v>-374</v>
      </c>
      <c r="I152" s="17">
        <f t="shared" si="13"/>
        <v>-4.96575</v>
      </c>
      <c r="J152" s="17">
        <f t="shared" si="14"/>
        <v>75.03425</v>
      </c>
      <c r="K152" s="17">
        <v>60</v>
      </c>
      <c r="L152" s="17">
        <v>15.03425</v>
      </c>
      <c r="M152" s="281"/>
      <c r="N152" s="81">
        <f t="shared" si="11"/>
        <v>0</v>
      </c>
    </row>
    <row r="153" s="81" customFormat="1" customHeight="1" spans="1:14">
      <c r="A153" s="155">
        <v>2069999</v>
      </c>
      <c r="B153" s="141" t="s">
        <v>257</v>
      </c>
      <c r="C153" s="17">
        <f t="shared" si="12"/>
        <v>1720</v>
      </c>
      <c r="D153" s="17">
        <v>1700</v>
      </c>
      <c r="E153" s="17">
        <v>20</v>
      </c>
      <c r="F153" s="17">
        <v>-1266</v>
      </c>
      <c r="G153" s="17">
        <v>0</v>
      </c>
      <c r="H153" s="17">
        <v>-374</v>
      </c>
      <c r="I153" s="17">
        <f t="shared" si="13"/>
        <v>-4.96575</v>
      </c>
      <c r="J153" s="17">
        <f t="shared" si="14"/>
        <v>75.03425</v>
      </c>
      <c r="K153" s="17">
        <v>60</v>
      </c>
      <c r="L153" s="17">
        <v>15.03425</v>
      </c>
      <c r="M153" s="329" t="s">
        <v>249</v>
      </c>
      <c r="N153" s="81">
        <f t="shared" si="11"/>
        <v>0</v>
      </c>
    </row>
    <row r="154" s="81" customFormat="1" customHeight="1" spans="1:14">
      <c r="A154" s="155">
        <v>207</v>
      </c>
      <c r="B154" s="141" t="s">
        <v>258</v>
      </c>
      <c r="C154" s="17">
        <f t="shared" si="12"/>
        <v>3424.54</v>
      </c>
      <c r="D154" s="17">
        <v>3371.04</v>
      </c>
      <c r="E154" s="17">
        <v>53.5</v>
      </c>
      <c r="F154" s="17">
        <v>-1515.5</v>
      </c>
      <c r="G154" s="17">
        <v>0</v>
      </c>
      <c r="H154" s="17">
        <v>81.57</v>
      </c>
      <c r="I154" s="17">
        <f t="shared" si="13"/>
        <v>255.175</v>
      </c>
      <c r="J154" s="17">
        <f t="shared" si="14"/>
        <v>2245.785</v>
      </c>
      <c r="K154" s="17">
        <v>1937.11</v>
      </c>
      <c r="L154" s="17">
        <v>308.675</v>
      </c>
      <c r="M154" s="329"/>
      <c r="N154" s="81">
        <f t="shared" si="11"/>
        <v>0</v>
      </c>
    </row>
    <row r="155" s="81" customFormat="1" customHeight="1" spans="1:14">
      <c r="A155" s="155">
        <v>20701</v>
      </c>
      <c r="B155" s="141" t="s">
        <v>259</v>
      </c>
      <c r="C155" s="17">
        <f t="shared" si="12"/>
        <v>1340.16</v>
      </c>
      <c r="D155" s="17">
        <v>1286.66</v>
      </c>
      <c r="E155" s="17">
        <v>53.5</v>
      </c>
      <c r="F155" s="17">
        <v>-343.55</v>
      </c>
      <c r="G155" s="17">
        <v>0</v>
      </c>
      <c r="H155" s="17">
        <v>1.36</v>
      </c>
      <c r="I155" s="17">
        <f t="shared" si="13"/>
        <v>29.175</v>
      </c>
      <c r="J155" s="17">
        <f t="shared" si="14"/>
        <v>1027.145</v>
      </c>
      <c r="K155" s="17">
        <v>944.47</v>
      </c>
      <c r="L155" s="17">
        <v>82.675</v>
      </c>
      <c r="M155" s="281"/>
      <c r="N155" s="81">
        <f t="shared" si="11"/>
        <v>0</v>
      </c>
    </row>
    <row r="156" s="81" customFormat="1" customHeight="1" spans="1:14">
      <c r="A156" s="155">
        <v>2070101</v>
      </c>
      <c r="B156" s="141" t="s">
        <v>102</v>
      </c>
      <c r="C156" s="17">
        <f t="shared" si="12"/>
        <v>170.24</v>
      </c>
      <c r="D156" s="17">
        <v>170.24</v>
      </c>
      <c r="E156" s="17">
        <v>0</v>
      </c>
      <c r="F156" s="17">
        <v>10.66</v>
      </c>
      <c r="G156" s="17">
        <v>0</v>
      </c>
      <c r="H156" s="17">
        <v>0.34</v>
      </c>
      <c r="I156" s="17">
        <f t="shared" si="13"/>
        <v>0</v>
      </c>
      <c r="J156" s="17">
        <f t="shared" si="14"/>
        <v>181.24</v>
      </c>
      <c r="K156" s="17">
        <v>181.24</v>
      </c>
      <c r="L156" s="17"/>
      <c r="M156" s="281" t="s">
        <v>103</v>
      </c>
      <c r="N156" s="81">
        <f t="shared" si="11"/>
        <v>0</v>
      </c>
    </row>
    <row r="157" s="81" customFormat="1" customHeight="1" spans="1:14">
      <c r="A157" s="155">
        <v>2070104</v>
      </c>
      <c r="B157" s="141" t="s">
        <v>260</v>
      </c>
      <c r="C157" s="17">
        <f t="shared" si="12"/>
        <v>63.29</v>
      </c>
      <c r="D157" s="17">
        <v>63.29</v>
      </c>
      <c r="E157" s="17">
        <v>0</v>
      </c>
      <c r="F157" s="17">
        <v>-0.48</v>
      </c>
      <c r="G157" s="17">
        <v>0</v>
      </c>
      <c r="H157" s="17">
        <v>0.93</v>
      </c>
      <c r="I157" s="17">
        <f t="shared" si="13"/>
        <v>0</v>
      </c>
      <c r="J157" s="17">
        <f t="shared" si="14"/>
        <v>63.74</v>
      </c>
      <c r="K157" s="17">
        <v>63.74</v>
      </c>
      <c r="L157" s="17"/>
      <c r="M157" s="329" t="s">
        <v>171</v>
      </c>
      <c r="N157" s="81">
        <f t="shared" si="11"/>
        <v>0</v>
      </c>
    </row>
    <row r="158" s="81" customFormat="1" customHeight="1" spans="1:14">
      <c r="A158" s="155">
        <v>2070109</v>
      </c>
      <c r="B158" s="141" t="s">
        <v>261</v>
      </c>
      <c r="C158" s="17">
        <f t="shared" si="12"/>
        <v>193</v>
      </c>
      <c r="D158" s="17">
        <v>193</v>
      </c>
      <c r="E158" s="17">
        <v>0</v>
      </c>
      <c r="F158" s="17">
        <v>-2.02</v>
      </c>
      <c r="G158" s="17">
        <v>0</v>
      </c>
      <c r="H158" s="17">
        <v>0.09</v>
      </c>
      <c r="I158" s="17">
        <f t="shared" si="13"/>
        <v>0</v>
      </c>
      <c r="J158" s="17">
        <f t="shared" si="14"/>
        <v>191.07</v>
      </c>
      <c r="K158" s="17">
        <v>191.07</v>
      </c>
      <c r="L158" s="17"/>
      <c r="M158" s="329" t="s">
        <v>143</v>
      </c>
      <c r="N158" s="81">
        <f t="shared" si="11"/>
        <v>0</v>
      </c>
    </row>
    <row r="159" s="81" customFormat="1" customHeight="1" spans="1:14">
      <c r="A159" s="155">
        <v>2070110</v>
      </c>
      <c r="B159" s="141" t="s">
        <v>262</v>
      </c>
      <c r="C159" s="17">
        <f t="shared" si="12"/>
        <v>0</v>
      </c>
      <c r="D159" s="17"/>
      <c r="E159" s="17"/>
      <c r="F159" s="17"/>
      <c r="G159" s="17"/>
      <c r="H159" s="17"/>
      <c r="I159" s="17">
        <f t="shared" si="13"/>
        <v>10</v>
      </c>
      <c r="J159" s="17">
        <f t="shared" si="14"/>
        <v>10</v>
      </c>
      <c r="K159" s="17">
        <v>0</v>
      </c>
      <c r="L159" s="17">
        <v>10</v>
      </c>
      <c r="M159" s="329"/>
      <c r="N159" s="81">
        <f t="shared" si="11"/>
        <v>0</v>
      </c>
    </row>
    <row r="160" s="81" customFormat="1" customHeight="1" spans="1:14">
      <c r="A160" s="155">
        <v>2070112</v>
      </c>
      <c r="B160" s="141" t="s">
        <v>263</v>
      </c>
      <c r="C160" s="17">
        <f t="shared" si="12"/>
        <v>2</v>
      </c>
      <c r="D160" s="17">
        <v>2</v>
      </c>
      <c r="E160" s="17">
        <v>0</v>
      </c>
      <c r="F160" s="17">
        <v>0</v>
      </c>
      <c r="G160" s="17">
        <v>0</v>
      </c>
      <c r="H160" s="17">
        <v>0</v>
      </c>
      <c r="I160" s="17">
        <f t="shared" si="13"/>
        <v>0</v>
      </c>
      <c r="J160" s="17">
        <f t="shared" si="14"/>
        <v>2</v>
      </c>
      <c r="K160" s="17">
        <v>2</v>
      </c>
      <c r="L160" s="17"/>
      <c r="M160" s="281"/>
      <c r="N160" s="81">
        <f t="shared" si="11"/>
        <v>0</v>
      </c>
    </row>
    <row r="161" s="81" customFormat="1" customHeight="1" spans="1:14">
      <c r="A161" s="155">
        <v>2070113</v>
      </c>
      <c r="B161" s="141" t="s">
        <v>264</v>
      </c>
      <c r="C161" s="17">
        <f t="shared" si="12"/>
        <v>4</v>
      </c>
      <c r="D161" s="17">
        <v>4</v>
      </c>
      <c r="E161" s="17">
        <v>0</v>
      </c>
      <c r="F161" s="17">
        <v>0</v>
      </c>
      <c r="G161" s="17">
        <v>0</v>
      </c>
      <c r="H161" s="17">
        <v>0</v>
      </c>
      <c r="I161" s="17">
        <f t="shared" si="13"/>
        <v>0</v>
      </c>
      <c r="J161" s="17">
        <f t="shared" si="14"/>
        <v>4</v>
      </c>
      <c r="K161" s="17">
        <v>4</v>
      </c>
      <c r="L161" s="17"/>
      <c r="M161" s="329"/>
      <c r="N161" s="81">
        <f t="shared" si="11"/>
        <v>0</v>
      </c>
    </row>
    <row r="162" s="81" customFormat="1" customHeight="1" spans="1:14">
      <c r="A162" s="155">
        <v>2070199</v>
      </c>
      <c r="B162" s="141" t="s">
        <v>265</v>
      </c>
      <c r="C162" s="17">
        <f t="shared" si="12"/>
        <v>907.63</v>
      </c>
      <c r="D162" s="17">
        <v>854.13</v>
      </c>
      <c r="E162" s="17">
        <v>53.5</v>
      </c>
      <c r="F162" s="17">
        <v>-351.71</v>
      </c>
      <c r="G162" s="17">
        <v>0</v>
      </c>
      <c r="H162" s="17">
        <v>0</v>
      </c>
      <c r="I162" s="17">
        <f t="shared" si="13"/>
        <v>19.175</v>
      </c>
      <c r="J162" s="17">
        <f t="shared" si="14"/>
        <v>575.095</v>
      </c>
      <c r="K162" s="17">
        <v>502.42</v>
      </c>
      <c r="L162" s="17">
        <v>72.675</v>
      </c>
      <c r="M162" s="329" t="s">
        <v>266</v>
      </c>
      <c r="N162" s="81">
        <f t="shared" si="11"/>
        <v>0</v>
      </c>
    </row>
    <row r="163" s="81" customFormat="1" customHeight="1" spans="1:14">
      <c r="A163" s="155">
        <v>20702</v>
      </c>
      <c r="B163" s="141" t="s">
        <v>267</v>
      </c>
      <c r="C163" s="17">
        <f t="shared" si="12"/>
        <v>114.58</v>
      </c>
      <c r="D163" s="17">
        <v>114.58</v>
      </c>
      <c r="E163" s="17">
        <v>0</v>
      </c>
      <c r="F163" s="17">
        <v>-9.01</v>
      </c>
      <c r="G163" s="17">
        <v>0</v>
      </c>
      <c r="H163" s="17">
        <v>0.66</v>
      </c>
      <c r="I163" s="17">
        <f t="shared" si="13"/>
        <v>13</v>
      </c>
      <c r="J163" s="17">
        <f t="shared" si="14"/>
        <v>119.23</v>
      </c>
      <c r="K163" s="17">
        <v>106.23</v>
      </c>
      <c r="L163" s="17">
        <v>13</v>
      </c>
      <c r="M163" s="329"/>
      <c r="N163" s="81">
        <f t="shared" si="11"/>
        <v>0</v>
      </c>
    </row>
    <row r="164" s="81" customFormat="1" customHeight="1" spans="1:14">
      <c r="A164" s="155">
        <v>2070204</v>
      </c>
      <c r="B164" s="141" t="s">
        <v>268</v>
      </c>
      <c r="C164" s="17">
        <f t="shared" si="12"/>
        <v>19</v>
      </c>
      <c r="D164" s="17">
        <v>19</v>
      </c>
      <c r="E164" s="17">
        <v>0</v>
      </c>
      <c r="F164" s="17">
        <v>-2</v>
      </c>
      <c r="G164" s="17">
        <v>0</v>
      </c>
      <c r="H164" s="17">
        <v>0</v>
      </c>
      <c r="I164" s="17">
        <f t="shared" si="13"/>
        <v>0</v>
      </c>
      <c r="J164" s="17">
        <f t="shared" si="14"/>
        <v>17</v>
      </c>
      <c r="K164" s="17">
        <v>17</v>
      </c>
      <c r="L164" s="17"/>
      <c r="M164" s="329" t="s">
        <v>269</v>
      </c>
      <c r="N164" s="81">
        <f t="shared" si="11"/>
        <v>0</v>
      </c>
    </row>
    <row r="165" s="81" customFormat="1" customHeight="1" spans="1:14">
      <c r="A165" s="155">
        <v>2070205</v>
      </c>
      <c r="B165" s="141" t="s">
        <v>270</v>
      </c>
      <c r="C165" s="17">
        <f t="shared" si="12"/>
        <v>95.58</v>
      </c>
      <c r="D165" s="17">
        <v>95.58</v>
      </c>
      <c r="E165" s="17">
        <v>0</v>
      </c>
      <c r="F165" s="17">
        <v>-7.01</v>
      </c>
      <c r="G165" s="17">
        <v>0</v>
      </c>
      <c r="H165" s="17">
        <v>0.66</v>
      </c>
      <c r="I165" s="17">
        <f t="shared" si="13"/>
        <v>13</v>
      </c>
      <c r="J165" s="17">
        <f t="shared" si="14"/>
        <v>102.23</v>
      </c>
      <c r="K165" s="17">
        <v>89.23</v>
      </c>
      <c r="L165" s="17">
        <v>13</v>
      </c>
      <c r="M165" s="329" t="s">
        <v>143</v>
      </c>
      <c r="N165" s="81">
        <f t="shared" si="11"/>
        <v>0</v>
      </c>
    </row>
    <row r="166" s="81" customFormat="1" customHeight="1" spans="1:14">
      <c r="A166" s="155">
        <v>20703</v>
      </c>
      <c r="B166" s="141" t="s">
        <v>271</v>
      </c>
      <c r="C166" s="17">
        <f t="shared" si="12"/>
        <v>17.3</v>
      </c>
      <c r="D166" s="17">
        <v>17.3</v>
      </c>
      <c r="E166" s="17">
        <v>0</v>
      </c>
      <c r="F166" s="17">
        <v>-6.3</v>
      </c>
      <c r="G166" s="17">
        <v>0</v>
      </c>
      <c r="H166" s="17">
        <v>0</v>
      </c>
      <c r="I166" s="17">
        <f t="shared" si="13"/>
        <v>13</v>
      </c>
      <c r="J166" s="17">
        <f t="shared" si="14"/>
        <v>24</v>
      </c>
      <c r="K166" s="17">
        <v>11</v>
      </c>
      <c r="L166" s="17">
        <v>13</v>
      </c>
      <c r="M166" s="329"/>
      <c r="N166" s="81">
        <f t="shared" si="11"/>
        <v>0</v>
      </c>
    </row>
    <row r="167" s="81" customFormat="1" customHeight="1" spans="1:14">
      <c r="A167" s="145">
        <v>2070307</v>
      </c>
      <c r="B167" s="141" t="s">
        <v>272</v>
      </c>
      <c r="C167" s="17">
        <f t="shared" si="12"/>
        <v>10.3</v>
      </c>
      <c r="D167" s="17">
        <v>10.3</v>
      </c>
      <c r="E167" s="17">
        <v>0</v>
      </c>
      <c r="F167" s="17">
        <v>-8.3</v>
      </c>
      <c r="G167" s="17"/>
      <c r="H167" s="17"/>
      <c r="I167" s="17">
        <f t="shared" si="13"/>
        <v>0</v>
      </c>
      <c r="J167" s="17">
        <f t="shared" si="14"/>
        <v>2</v>
      </c>
      <c r="K167" s="17">
        <v>2</v>
      </c>
      <c r="L167" s="17"/>
      <c r="M167" s="329" t="s">
        <v>273</v>
      </c>
      <c r="N167" s="81">
        <f t="shared" si="11"/>
        <v>0</v>
      </c>
    </row>
    <row r="168" s="81" customFormat="1" customHeight="1" spans="1:14">
      <c r="A168" s="155">
        <v>2070399</v>
      </c>
      <c r="B168" s="141" t="s">
        <v>274</v>
      </c>
      <c r="C168" s="17">
        <f t="shared" si="12"/>
        <v>7</v>
      </c>
      <c r="D168" s="17">
        <v>7</v>
      </c>
      <c r="E168" s="17">
        <v>0</v>
      </c>
      <c r="F168" s="17">
        <v>2</v>
      </c>
      <c r="G168" s="17">
        <v>0</v>
      </c>
      <c r="H168" s="17">
        <v>0</v>
      </c>
      <c r="I168" s="17">
        <f t="shared" si="13"/>
        <v>13</v>
      </c>
      <c r="J168" s="17">
        <f t="shared" si="14"/>
        <v>22</v>
      </c>
      <c r="K168" s="17">
        <v>9</v>
      </c>
      <c r="L168" s="17">
        <v>13</v>
      </c>
      <c r="M168" s="281" t="s">
        <v>275</v>
      </c>
      <c r="N168" s="81">
        <f t="shared" si="11"/>
        <v>0</v>
      </c>
    </row>
    <row r="169" s="81" customFormat="1" customHeight="1" spans="1:14">
      <c r="A169" s="155">
        <v>20799</v>
      </c>
      <c r="B169" s="141" t="s">
        <v>276</v>
      </c>
      <c r="C169" s="17">
        <f t="shared" si="12"/>
        <v>1952.5</v>
      </c>
      <c r="D169" s="17">
        <v>1952.5</v>
      </c>
      <c r="E169" s="17">
        <v>0</v>
      </c>
      <c r="F169" s="17">
        <v>-1156.64</v>
      </c>
      <c r="G169" s="17">
        <v>0</v>
      </c>
      <c r="H169" s="17">
        <v>79.55</v>
      </c>
      <c r="I169" s="17">
        <f t="shared" si="13"/>
        <v>200</v>
      </c>
      <c r="J169" s="17">
        <f t="shared" si="14"/>
        <v>1075.41</v>
      </c>
      <c r="K169" s="17">
        <v>875.41</v>
      </c>
      <c r="L169" s="17">
        <v>200</v>
      </c>
      <c r="M169" s="281"/>
      <c r="N169" s="81">
        <f t="shared" si="11"/>
        <v>0</v>
      </c>
    </row>
    <row r="170" s="81" customFormat="1" customHeight="1" spans="1:14">
      <c r="A170" s="145">
        <v>2079902</v>
      </c>
      <c r="B170" s="141" t="s">
        <v>277</v>
      </c>
      <c r="C170" s="17">
        <f t="shared" si="12"/>
        <v>100</v>
      </c>
      <c r="D170" s="17">
        <v>100</v>
      </c>
      <c r="E170" s="17">
        <v>0</v>
      </c>
      <c r="F170" s="17">
        <v>-4.7</v>
      </c>
      <c r="G170" s="17"/>
      <c r="H170" s="17"/>
      <c r="I170" s="17">
        <f t="shared" si="13"/>
        <v>0</v>
      </c>
      <c r="J170" s="17">
        <f t="shared" si="14"/>
        <v>95.3</v>
      </c>
      <c r="K170" s="17">
        <v>95.3</v>
      </c>
      <c r="L170" s="17"/>
      <c r="M170" s="329" t="s">
        <v>278</v>
      </c>
      <c r="N170" s="81">
        <f t="shared" si="11"/>
        <v>0</v>
      </c>
    </row>
    <row r="171" s="81" customFormat="1" customHeight="1" spans="1:14">
      <c r="A171" s="155">
        <v>2079999</v>
      </c>
      <c r="B171" s="141" t="s">
        <v>276</v>
      </c>
      <c r="C171" s="17">
        <f t="shared" si="12"/>
        <v>1852.5</v>
      </c>
      <c r="D171" s="17">
        <v>1852.5</v>
      </c>
      <c r="E171" s="17">
        <v>0</v>
      </c>
      <c r="F171" s="17">
        <v>-1151.94</v>
      </c>
      <c r="G171" s="17">
        <v>0</v>
      </c>
      <c r="H171" s="17">
        <v>79.55</v>
      </c>
      <c r="I171" s="17">
        <f t="shared" si="13"/>
        <v>200</v>
      </c>
      <c r="J171" s="17">
        <f t="shared" si="14"/>
        <v>980.11</v>
      </c>
      <c r="K171" s="17">
        <v>780.11</v>
      </c>
      <c r="L171" s="17">
        <v>200</v>
      </c>
      <c r="M171" s="329" t="s">
        <v>279</v>
      </c>
      <c r="N171" s="81">
        <f t="shared" si="11"/>
        <v>0</v>
      </c>
    </row>
    <row r="172" s="81" customFormat="1" customHeight="1" spans="1:14">
      <c r="A172" s="155">
        <v>208</v>
      </c>
      <c r="B172" s="141" t="s">
        <v>280</v>
      </c>
      <c r="C172" s="17">
        <f t="shared" si="12"/>
        <v>33740.7353</v>
      </c>
      <c r="D172" s="17">
        <v>18353.3888</v>
      </c>
      <c r="E172" s="17">
        <v>15387.3465</v>
      </c>
      <c r="F172" s="17">
        <v>-1760.9798</v>
      </c>
      <c r="G172" s="17">
        <v>22.66</v>
      </c>
      <c r="H172" s="17">
        <v>220.77</v>
      </c>
      <c r="I172" s="17">
        <f t="shared" si="13"/>
        <v>196.88061</v>
      </c>
      <c r="J172" s="17">
        <f t="shared" si="14"/>
        <v>32420.06611</v>
      </c>
      <c r="K172" s="17">
        <v>16835.839</v>
      </c>
      <c r="L172" s="17">
        <v>15584.22711</v>
      </c>
      <c r="M172" s="329">
        <f>M173+M178+M184+M192+M195+M200+M207+M214+M220+M223+M226+M229+M232+M235+M238+M246+M244</f>
        <v>0</v>
      </c>
      <c r="N172" s="81">
        <f t="shared" si="11"/>
        <v>0</v>
      </c>
    </row>
    <row r="173" s="81" customFormat="1" customHeight="1" spans="1:14">
      <c r="A173" s="155">
        <v>20801</v>
      </c>
      <c r="B173" s="141" t="s">
        <v>281</v>
      </c>
      <c r="C173" s="17">
        <f t="shared" si="12"/>
        <v>1053.11</v>
      </c>
      <c r="D173" s="17">
        <v>778.45</v>
      </c>
      <c r="E173" s="17">
        <v>274.66</v>
      </c>
      <c r="F173" s="17">
        <v>-29.71</v>
      </c>
      <c r="G173" s="17">
        <v>0</v>
      </c>
      <c r="H173" s="17">
        <v>74.39</v>
      </c>
      <c r="I173" s="17">
        <f t="shared" si="13"/>
        <v>-17.126899</v>
      </c>
      <c r="J173" s="17">
        <f t="shared" si="14"/>
        <v>1080.663101</v>
      </c>
      <c r="K173" s="17">
        <v>823.13</v>
      </c>
      <c r="L173" s="17">
        <v>257.533101</v>
      </c>
      <c r="M173" s="281"/>
      <c r="N173" s="81">
        <f t="shared" si="11"/>
        <v>0</v>
      </c>
    </row>
    <row r="174" s="81" customFormat="1" customHeight="1" spans="1:14">
      <c r="A174" s="155">
        <v>2080101</v>
      </c>
      <c r="B174" s="141" t="s">
        <v>102</v>
      </c>
      <c r="C174" s="17">
        <f t="shared" si="12"/>
        <v>437.54</v>
      </c>
      <c r="D174" s="17">
        <v>437.54</v>
      </c>
      <c r="E174" s="17">
        <v>0</v>
      </c>
      <c r="F174" s="17">
        <v>-6.31</v>
      </c>
      <c r="G174" s="17">
        <v>0</v>
      </c>
      <c r="H174" s="17">
        <v>3.06</v>
      </c>
      <c r="I174" s="17">
        <f t="shared" si="13"/>
        <v>0</v>
      </c>
      <c r="J174" s="17">
        <f t="shared" si="14"/>
        <v>434.29</v>
      </c>
      <c r="K174" s="17">
        <v>434.29</v>
      </c>
      <c r="L174" s="17"/>
      <c r="M174" s="329" t="s">
        <v>143</v>
      </c>
      <c r="N174" s="81">
        <f t="shared" si="11"/>
        <v>0</v>
      </c>
    </row>
    <row r="175" s="81" customFormat="1" customHeight="1" spans="1:14">
      <c r="A175" s="155">
        <v>2080102</v>
      </c>
      <c r="B175" s="141" t="s">
        <v>126</v>
      </c>
      <c r="C175" s="17">
        <f t="shared" si="12"/>
        <v>19</v>
      </c>
      <c r="D175" s="17">
        <v>19</v>
      </c>
      <c r="E175" s="17">
        <v>0</v>
      </c>
      <c r="F175" s="17">
        <v>0</v>
      </c>
      <c r="G175" s="17">
        <v>0</v>
      </c>
      <c r="H175" s="17">
        <v>66.77</v>
      </c>
      <c r="I175" s="17">
        <f t="shared" si="13"/>
        <v>0</v>
      </c>
      <c r="J175" s="17">
        <f t="shared" si="14"/>
        <v>85.77</v>
      </c>
      <c r="K175" s="17">
        <v>85.77</v>
      </c>
      <c r="L175" s="17"/>
      <c r="M175" s="281"/>
      <c r="N175" s="81">
        <f t="shared" si="11"/>
        <v>0</v>
      </c>
    </row>
    <row r="176" s="81" customFormat="1" customHeight="1" spans="1:14">
      <c r="A176" s="155">
        <v>2080111</v>
      </c>
      <c r="B176" s="141" t="s">
        <v>282</v>
      </c>
      <c r="C176" s="17">
        <f t="shared" si="12"/>
        <v>264.93</v>
      </c>
      <c r="D176" s="17">
        <v>264.93</v>
      </c>
      <c r="E176" s="17">
        <v>0</v>
      </c>
      <c r="F176" s="17">
        <v>-15.4</v>
      </c>
      <c r="G176" s="17">
        <v>0</v>
      </c>
      <c r="H176" s="17">
        <v>4.56</v>
      </c>
      <c r="I176" s="17">
        <f t="shared" si="13"/>
        <v>0</v>
      </c>
      <c r="J176" s="17">
        <f t="shared" si="14"/>
        <v>254.09</v>
      </c>
      <c r="K176" s="17">
        <v>254.09</v>
      </c>
      <c r="L176" s="17"/>
      <c r="M176" s="281" t="s">
        <v>143</v>
      </c>
      <c r="N176" s="81">
        <f t="shared" si="11"/>
        <v>0</v>
      </c>
    </row>
    <row r="177" s="81" customFormat="1" customHeight="1" spans="1:14">
      <c r="A177" s="155">
        <v>2080199</v>
      </c>
      <c r="B177" s="141" t="s">
        <v>283</v>
      </c>
      <c r="C177" s="17">
        <f t="shared" si="12"/>
        <v>331.64</v>
      </c>
      <c r="D177" s="17">
        <v>56.98</v>
      </c>
      <c r="E177" s="17">
        <v>274.66</v>
      </c>
      <c r="F177" s="17">
        <v>-8</v>
      </c>
      <c r="G177" s="17">
        <v>0</v>
      </c>
      <c r="H177" s="17">
        <v>0</v>
      </c>
      <c r="I177" s="17">
        <f t="shared" si="13"/>
        <v>-17.126899</v>
      </c>
      <c r="J177" s="17">
        <f t="shared" si="14"/>
        <v>306.513101</v>
      </c>
      <c r="K177" s="17">
        <v>48.98</v>
      </c>
      <c r="L177" s="17">
        <v>257.533101</v>
      </c>
      <c r="M177" s="281" t="s">
        <v>284</v>
      </c>
      <c r="N177" s="81">
        <f t="shared" si="11"/>
        <v>0</v>
      </c>
    </row>
    <row r="178" s="81" customFormat="1" customHeight="1" spans="1:14">
      <c r="A178" s="155">
        <v>20802</v>
      </c>
      <c r="B178" s="141" t="s">
        <v>285</v>
      </c>
      <c r="C178" s="17">
        <f t="shared" si="12"/>
        <v>1442.7688</v>
      </c>
      <c r="D178" s="17">
        <v>1051.1288</v>
      </c>
      <c r="E178" s="17">
        <v>391.64</v>
      </c>
      <c r="F178" s="17">
        <v>-71.18</v>
      </c>
      <c r="G178" s="17">
        <v>0</v>
      </c>
      <c r="H178" s="17">
        <v>5.67</v>
      </c>
      <c r="I178" s="17">
        <f t="shared" si="13"/>
        <v>0</v>
      </c>
      <c r="J178" s="17">
        <f t="shared" si="14"/>
        <v>1377.2588</v>
      </c>
      <c r="K178" s="17">
        <v>985.6188</v>
      </c>
      <c r="L178" s="17">
        <v>391.64</v>
      </c>
      <c r="M178" s="281"/>
      <c r="N178" s="81">
        <f t="shared" si="11"/>
        <v>0</v>
      </c>
    </row>
    <row r="179" s="81" customFormat="1" customHeight="1" spans="1:14">
      <c r="A179" s="155">
        <v>2080201</v>
      </c>
      <c r="B179" s="141" t="s">
        <v>102</v>
      </c>
      <c r="C179" s="17">
        <f t="shared" si="12"/>
        <v>283.23</v>
      </c>
      <c r="D179" s="17">
        <v>283.23</v>
      </c>
      <c r="E179" s="17">
        <v>0</v>
      </c>
      <c r="F179" s="17">
        <v>-0.79</v>
      </c>
      <c r="G179" s="17">
        <v>0</v>
      </c>
      <c r="H179" s="17">
        <v>0</v>
      </c>
      <c r="I179" s="17">
        <f t="shared" si="13"/>
        <v>0</v>
      </c>
      <c r="J179" s="17">
        <f t="shared" si="14"/>
        <v>282.44</v>
      </c>
      <c r="K179" s="17">
        <v>282.44</v>
      </c>
      <c r="L179" s="17"/>
      <c r="M179" s="329" t="s">
        <v>143</v>
      </c>
      <c r="N179" s="81">
        <f t="shared" si="11"/>
        <v>0</v>
      </c>
    </row>
    <row r="180" s="81" customFormat="1" customHeight="1" spans="1:14">
      <c r="A180" s="155">
        <v>2080206</v>
      </c>
      <c r="B180" s="141" t="s">
        <v>286</v>
      </c>
      <c r="C180" s="17">
        <f t="shared" ref="C180:C243" si="15">D180+E180</f>
        <v>2</v>
      </c>
      <c r="D180" s="17">
        <v>2</v>
      </c>
      <c r="E180" s="17">
        <v>0</v>
      </c>
      <c r="F180" s="17">
        <v>0</v>
      </c>
      <c r="G180" s="17">
        <v>0</v>
      </c>
      <c r="H180" s="17">
        <v>0</v>
      </c>
      <c r="I180" s="17">
        <f t="shared" ref="I180:I243" si="16">L180-E180</f>
        <v>0</v>
      </c>
      <c r="J180" s="17">
        <f t="shared" ref="J180:J243" si="17">K180+L180</f>
        <v>2</v>
      </c>
      <c r="K180" s="17">
        <v>2</v>
      </c>
      <c r="L180" s="17"/>
      <c r="M180" s="281"/>
      <c r="N180" s="81">
        <f t="shared" si="11"/>
        <v>0</v>
      </c>
    </row>
    <row r="181" s="81" customFormat="1" customHeight="1" spans="1:14">
      <c r="A181" s="155">
        <v>2080207</v>
      </c>
      <c r="B181" s="141" t="s">
        <v>287</v>
      </c>
      <c r="C181" s="17">
        <f t="shared" si="15"/>
        <v>1.48</v>
      </c>
      <c r="D181" s="17">
        <v>1.24</v>
      </c>
      <c r="E181" s="17">
        <v>0.24</v>
      </c>
      <c r="F181" s="17">
        <v>0</v>
      </c>
      <c r="G181" s="17">
        <v>0</v>
      </c>
      <c r="H181" s="17">
        <v>0</v>
      </c>
      <c r="I181" s="17">
        <f t="shared" si="16"/>
        <v>0</v>
      </c>
      <c r="J181" s="17">
        <f t="shared" si="17"/>
        <v>1.48</v>
      </c>
      <c r="K181" s="17">
        <v>1.24</v>
      </c>
      <c r="L181" s="17">
        <v>0.24</v>
      </c>
      <c r="M181" s="281"/>
      <c r="N181" s="81">
        <f t="shared" si="11"/>
        <v>0</v>
      </c>
    </row>
    <row r="182" s="81" customFormat="1" customHeight="1" spans="1:14">
      <c r="A182" s="155">
        <v>2080208</v>
      </c>
      <c r="B182" s="141" t="s">
        <v>288</v>
      </c>
      <c r="C182" s="17">
        <f t="shared" si="15"/>
        <v>696.3588</v>
      </c>
      <c r="D182" s="17">
        <v>628.5588</v>
      </c>
      <c r="E182" s="17">
        <v>67.8</v>
      </c>
      <c r="F182" s="17">
        <v>-70.03</v>
      </c>
      <c r="G182" s="17">
        <v>0</v>
      </c>
      <c r="H182" s="17">
        <v>0</v>
      </c>
      <c r="I182" s="17">
        <f t="shared" si="16"/>
        <v>0</v>
      </c>
      <c r="J182" s="17">
        <f t="shared" si="17"/>
        <v>626.3288</v>
      </c>
      <c r="K182" s="17">
        <v>558.5288</v>
      </c>
      <c r="L182" s="17">
        <v>67.8</v>
      </c>
      <c r="M182" s="329" t="s">
        <v>289</v>
      </c>
      <c r="N182" s="81">
        <f t="shared" si="11"/>
        <v>0</v>
      </c>
    </row>
    <row r="183" s="81" customFormat="1" customHeight="1" spans="1:14">
      <c r="A183" s="155">
        <v>2080299</v>
      </c>
      <c r="B183" s="141" t="s">
        <v>290</v>
      </c>
      <c r="C183" s="17">
        <f t="shared" si="15"/>
        <v>459.7</v>
      </c>
      <c r="D183" s="17">
        <v>136.1</v>
      </c>
      <c r="E183" s="17">
        <v>323.6</v>
      </c>
      <c r="F183" s="17">
        <v>-0.36</v>
      </c>
      <c r="G183" s="17">
        <v>0</v>
      </c>
      <c r="H183" s="17">
        <v>5.67</v>
      </c>
      <c r="I183" s="17">
        <f t="shared" si="16"/>
        <v>0</v>
      </c>
      <c r="J183" s="17">
        <f t="shared" si="17"/>
        <v>465.01</v>
      </c>
      <c r="K183" s="17">
        <v>141.41</v>
      </c>
      <c r="L183" s="17">
        <v>323.6</v>
      </c>
      <c r="M183" s="329" t="s">
        <v>291</v>
      </c>
      <c r="N183" s="81">
        <f t="shared" si="11"/>
        <v>0</v>
      </c>
    </row>
    <row r="184" s="81" customFormat="1" customHeight="1" spans="1:14">
      <c r="A184" s="155">
        <v>20805</v>
      </c>
      <c r="B184" s="141" t="s">
        <v>292</v>
      </c>
      <c r="C184" s="17">
        <f t="shared" si="15"/>
        <v>9147.25</v>
      </c>
      <c r="D184" s="17">
        <v>9147.25</v>
      </c>
      <c r="E184" s="17">
        <v>0</v>
      </c>
      <c r="F184" s="17">
        <v>-1273.09</v>
      </c>
      <c r="G184" s="17">
        <v>0</v>
      </c>
      <c r="H184" s="17">
        <v>142.8</v>
      </c>
      <c r="I184" s="17">
        <f t="shared" si="16"/>
        <v>0</v>
      </c>
      <c r="J184" s="17">
        <f t="shared" si="17"/>
        <v>8016.96</v>
      </c>
      <c r="K184" s="17">
        <v>8016.96</v>
      </c>
      <c r="L184" s="17"/>
      <c r="M184" s="329"/>
      <c r="N184" s="81">
        <f t="shared" si="11"/>
        <v>0</v>
      </c>
    </row>
    <row r="185" s="81" customFormat="1" customHeight="1" spans="1:14">
      <c r="A185" s="155">
        <v>2080501</v>
      </c>
      <c r="B185" s="141" t="s">
        <v>293</v>
      </c>
      <c r="C185" s="17">
        <f t="shared" si="15"/>
        <v>1776.98</v>
      </c>
      <c r="D185" s="17">
        <v>1776.98</v>
      </c>
      <c r="E185" s="17">
        <v>0</v>
      </c>
      <c r="F185" s="17">
        <v>-2.83</v>
      </c>
      <c r="G185" s="17">
        <v>0</v>
      </c>
      <c r="H185" s="17">
        <v>17.81</v>
      </c>
      <c r="I185" s="17">
        <f t="shared" si="16"/>
        <v>0</v>
      </c>
      <c r="J185" s="17">
        <f t="shared" si="17"/>
        <v>1791.96</v>
      </c>
      <c r="K185" s="17">
        <v>1791.96</v>
      </c>
      <c r="L185" s="17"/>
      <c r="M185" s="329" t="s">
        <v>171</v>
      </c>
      <c r="N185" s="81">
        <f t="shared" si="11"/>
        <v>0</v>
      </c>
    </row>
    <row r="186" s="81" customFormat="1" customHeight="1" spans="1:14">
      <c r="A186" s="155">
        <v>2080502</v>
      </c>
      <c r="B186" s="141" t="s">
        <v>294</v>
      </c>
      <c r="C186" s="17">
        <f t="shared" si="15"/>
        <v>721.86</v>
      </c>
      <c r="D186" s="17">
        <v>721.86</v>
      </c>
      <c r="E186" s="17">
        <v>0</v>
      </c>
      <c r="F186" s="17">
        <v>-0.96</v>
      </c>
      <c r="G186" s="17">
        <v>0</v>
      </c>
      <c r="H186" s="17">
        <v>13.65</v>
      </c>
      <c r="I186" s="17">
        <f t="shared" si="16"/>
        <v>0</v>
      </c>
      <c r="J186" s="17">
        <f t="shared" si="17"/>
        <v>734.55</v>
      </c>
      <c r="K186" s="17">
        <v>734.55</v>
      </c>
      <c r="L186" s="17"/>
      <c r="M186" s="329" t="s">
        <v>171</v>
      </c>
      <c r="N186" s="81">
        <f t="shared" si="11"/>
        <v>0</v>
      </c>
    </row>
    <row r="187" s="81" customFormat="1" customHeight="1" spans="1:14">
      <c r="A187" s="155">
        <v>2080503</v>
      </c>
      <c r="B187" s="141" t="s">
        <v>295</v>
      </c>
      <c r="C187" s="17">
        <f t="shared" si="15"/>
        <v>125.13</v>
      </c>
      <c r="D187" s="17">
        <v>125.13</v>
      </c>
      <c r="E187" s="17">
        <v>0</v>
      </c>
      <c r="F187" s="17">
        <v>-5.72</v>
      </c>
      <c r="G187" s="17">
        <v>0</v>
      </c>
      <c r="H187" s="17">
        <v>0.37</v>
      </c>
      <c r="I187" s="17">
        <f t="shared" si="16"/>
        <v>0</v>
      </c>
      <c r="J187" s="17">
        <f t="shared" si="17"/>
        <v>119.78</v>
      </c>
      <c r="K187" s="17">
        <v>119.78</v>
      </c>
      <c r="L187" s="17"/>
      <c r="M187" s="329" t="s">
        <v>143</v>
      </c>
      <c r="N187" s="81">
        <f t="shared" si="11"/>
        <v>0</v>
      </c>
    </row>
    <row r="188" s="81" customFormat="1" customHeight="1" spans="1:14">
      <c r="A188" s="155">
        <v>2080505</v>
      </c>
      <c r="B188" s="141" t="s">
        <v>296</v>
      </c>
      <c r="C188" s="17">
        <f t="shared" si="15"/>
        <v>2319.44</v>
      </c>
      <c r="D188" s="17">
        <v>2319.44</v>
      </c>
      <c r="E188" s="17">
        <v>0</v>
      </c>
      <c r="F188" s="17">
        <v>-5.02</v>
      </c>
      <c r="G188" s="17">
        <v>0</v>
      </c>
      <c r="H188" s="17">
        <v>70.72</v>
      </c>
      <c r="I188" s="17">
        <f t="shared" si="16"/>
        <v>0</v>
      </c>
      <c r="J188" s="17">
        <f t="shared" si="17"/>
        <v>2385.14</v>
      </c>
      <c r="K188" s="17">
        <v>2385.14</v>
      </c>
      <c r="L188" s="17"/>
      <c r="M188" s="329" t="s">
        <v>171</v>
      </c>
      <c r="N188" s="81">
        <f t="shared" si="11"/>
        <v>0</v>
      </c>
    </row>
    <row r="189" s="81" customFormat="1" customHeight="1" spans="1:14">
      <c r="A189" s="155">
        <v>2080506</v>
      </c>
      <c r="B189" s="141" t="s">
        <v>297</v>
      </c>
      <c r="C189" s="17">
        <f t="shared" si="15"/>
        <v>1203.12</v>
      </c>
      <c r="D189" s="17">
        <v>1203.12</v>
      </c>
      <c r="E189" s="17">
        <v>0</v>
      </c>
      <c r="F189" s="17">
        <v>-8.56</v>
      </c>
      <c r="G189" s="17">
        <v>0</v>
      </c>
      <c r="H189" s="17">
        <v>40.25</v>
      </c>
      <c r="I189" s="17">
        <f t="shared" si="16"/>
        <v>0</v>
      </c>
      <c r="J189" s="17">
        <f t="shared" si="17"/>
        <v>1234.81</v>
      </c>
      <c r="K189" s="17">
        <v>1234.81</v>
      </c>
      <c r="L189" s="17"/>
      <c r="M189" s="329" t="s">
        <v>171</v>
      </c>
      <c r="N189" s="81">
        <f t="shared" si="11"/>
        <v>0</v>
      </c>
    </row>
    <row r="190" s="81" customFormat="1" customHeight="1" spans="1:14">
      <c r="A190" s="155">
        <v>2080507</v>
      </c>
      <c r="B190" s="141" t="s">
        <v>298</v>
      </c>
      <c r="C190" s="17">
        <f t="shared" si="15"/>
        <v>3000</v>
      </c>
      <c r="D190" s="17">
        <v>3000</v>
      </c>
      <c r="E190" s="17">
        <v>0</v>
      </c>
      <c r="F190" s="17">
        <v>-1250</v>
      </c>
      <c r="G190" s="17">
        <v>0</v>
      </c>
      <c r="H190" s="17">
        <v>0</v>
      </c>
      <c r="I190" s="17">
        <f t="shared" si="16"/>
        <v>0</v>
      </c>
      <c r="J190" s="17">
        <f t="shared" si="17"/>
        <v>1750</v>
      </c>
      <c r="K190" s="17">
        <v>1750</v>
      </c>
      <c r="L190" s="17"/>
      <c r="M190" s="329" t="s">
        <v>299</v>
      </c>
      <c r="N190" s="81">
        <f t="shared" si="11"/>
        <v>0</v>
      </c>
    </row>
    <row r="191" s="81" customFormat="1" customHeight="1" spans="1:14">
      <c r="A191" s="155">
        <v>2080599</v>
      </c>
      <c r="B191" s="141" t="s">
        <v>300</v>
      </c>
      <c r="C191" s="17">
        <f t="shared" si="15"/>
        <v>0.72</v>
      </c>
      <c r="D191" s="17">
        <v>0.72</v>
      </c>
      <c r="E191" s="17">
        <v>0</v>
      </c>
      <c r="F191" s="17">
        <v>0</v>
      </c>
      <c r="G191" s="17">
        <v>0</v>
      </c>
      <c r="H191" s="17">
        <v>0</v>
      </c>
      <c r="I191" s="17">
        <f t="shared" si="16"/>
        <v>0</v>
      </c>
      <c r="J191" s="17">
        <f t="shared" si="17"/>
        <v>0.72</v>
      </c>
      <c r="K191" s="17">
        <v>0.72</v>
      </c>
      <c r="L191" s="17"/>
      <c r="M191" s="329">
        <v>0</v>
      </c>
      <c r="N191" s="81">
        <f t="shared" si="11"/>
        <v>0</v>
      </c>
    </row>
    <row r="192" s="81" customFormat="1" customHeight="1" spans="1:14">
      <c r="A192" s="155">
        <v>20807</v>
      </c>
      <c r="B192" s="141" t="s">
        <v>301</v>
      </c>
      <c r="C192" s="17">
        <f t="shared" si="15"/>
        <v>401</v>
      </c>
      <c r="D192" s="17">
        <v>25</v>
      </c>
      <c r="E192" s="17">
        <v>376</v>
      </c>
      <c r="F192" s="17">
        <v>0</v>
      </c>
      <c r="G192" s="17">
        <v>0</v>
      </c>
      <c r="H192" s="17">
        <v>0</v>
      </c>
      <c r="I192" s="17">
        <f t="shared" si="16"/>
        <v>-120.92785</v>
      </c>
      <c r="J192" s="17">
        <f t="shared" si="17"/>
        <v>280.07215</v>
      </c>
      <c r="K192" s="17">
        <v>25</v>
      </c>
      <c r="L192" s="17">
        <v>255.07215</v>
      </c>
      <c r="M192" s="281"/>
      <c r="N192" s="81">
        <f t="shared" si="11"/>
        <v>0</v>
      </c>
    </row>
    <row r="193" s="81" customFormat="1" customHeight="1" spans="1:14">
      <c r="A193" s="155">
        <v>2080711</v>
      </c>
      <c r="B193" s="141" t="s">
        <v>302</v>
      </c>
      <c r="C193" s="17">
        <f t="shared" si="15"/>
        <v>4</v>
      </c>
      <c r="D193" s="17"/>
      <c r="E193" s="17">
        <v>4</v>
      </c>
      <c r="F193" s="17"/>
      <c r="G193" s="17"/>
      <c r="H193" s="17"/>
      <c r="I193" s="17">
        <f t="shared" si="16"/>
        <v>-0.5</v>
      </c>
      <c r="J193" s="17">
        <f t="shared" si="17"/>
        <v>3.5</v>
      </c>
      <c r="K193" s="17">
        <v>0</v>
      </c>
      <c r="L193" s="17">
        <v>3.5</v>
      </c>
      <c r="M193" s="281"/>
      <c r="N193" s="81">
        <f t="shared" si="11"/>
        <v>0</v>
      </c>
    </row>
    <row r="194" s="81" customFormat="1" customHeight="1" spans="1:14">
      <c r="A194" s="155">
        <v>2080799</v>
      </c>
      <c r="B194" s="141" t="s">
        <v>303</v>
      </c>
      <c r="C194" s="17">
        <f t="shared" si="15"/>
        <v>397</v>
      </c>
      <c r="D194" s="17">
        <v>25</v>
      </c>
      <c r="E194" s="17">
        <v>372</v>
      </c>
      <c r="F194" s="17">
        <v>0</v>
      </c>
      <c r="G194" s="17">
        <v>0</v>
      </c>
      <c r="H194" s="17">
        <v>0</v>
      </c>
      <c r="I194" s="17">
        <f t="shared" si="16"/>
        <v>-120.42785</v>
      </c>
      <c r="J194" s="17">
        <f t="shared" si="17"/>
        <v>276.57215</v>
      </c>
      <c r="K194" s="17">
        <v>25</v>
      </c>
      <c r="L194" s="17">
        <v>251.57215</v>
      </c>
      <c r="M194" s="281"/>
      <c r="N194" s="81">
        <f t="shared" si="11"/>
        <v>0</v>
      </c>
    </row>
    <row r="195" s="81" customFormat="1" customHeight="1" spans="1:14">
      <c r="A195" s="155">
        <v>20808</v>
      </c>
      <c r="B195" s="141" t="s">
        <v>304</v>
      </c>
      <c r="C195" s="17">
        <f t="shared" si="15"/>
        <v>1685.75</v>
      </c>
      <c r="D195" s="17">
        <v>585.57</v>
      </c>
      <c r="E195" s="17">
        <v>1100.18</v>
      </c>
      <c r="F195" s="17">
        <v>68.05</v>
      </c>
      <c r="G195" s="17">
        <v>14.7</v>
      </c>
      <c r="H195" s="17">
        <v>80.7</v>
      </c>
      <c r="I195" s="17">
        <f t="shared" si="16"/>
        <v>172</v>
      </c>
      <c r="J195" s="17">
        <f t="shared" si="17"/>
        <v>2021.2</v>
      </c>
      <c r="K195" s="17">
        <v>749.02</v>
      </c>
      <c r="L195" s="17">
        <v>1272.18</v>
      </c>
      <c r="M195" s="329"/>
      <c r="N195" s="81">
        <f t="shared" si="11"/>
        <v>0</v>
      </c>
    </row>
    <row r="196" s="81" customFormat="1" customHeight="1" spans="1:14">
      <c r="A196" s="155">
        <v>2080801</v>
      </c>
      <c r="B196" s="141" t="s">
        <v>305</v>
      </c>
      <c r="C196" s="17">
        <f t="shared" si="15"/>
        <v>360</v>
      </c>
      <c r="D196" s="17">
        <v>360</v>
      </c>
      <c r="E196" s="17">
        <v>0</v>
      </c>
      <c r="F196" s="17">
        <v>0</v>
      </c>
      <c r="G196" s="17">
        <v>0</v>
      </c>
      <c r="H196" s="17">
        <v>4.60000000000001</v>
      </c>
      <c r="I196" s="17">
        <f t="shared" si="16"/>
        <v>0</v>
      </c>
      <c r="J196" s="17">
        <f t="shared" si="17"/>
        <v>364.6</v>
      </c>
      <c r="K196" s="17">
        <v>364.6</v>
      </c>
      <c r="L196" s="17"/>
      <c r="M196" s="329" t="s">
        <v>306</v>
      </c>
      <c r="N196" s="81">
        <f t="shared" si="11"/>
        <v>0</v>
      </c>
    </row>
    <row r="197" s="81" customFormat="1" customHeight="1" spans="1:14">
      <c r="A197" s="155">
        <v>2080803</v>
      </c>
      <c r="B197" s="141" t="s">
        <v>307</v>
      </c>
      <c r="C197" s="17">
        <f t="shared" si="15"/>
        <v>55.69</v>
      </c>
      <c r="D197" s="17">
        <v>35.69</v>
      </c>
      <c r="E197" s="17">
        <v>20</v>
      </c>
      <c r="F197" s="17">
        <v>-1.92</v>
      </c>
      <c r="G197" s="17">
        <v>0</v>
      </c>
      <c r="H197" s="17">
        <v>0</v>
      </c>
      <c r="I197" s="17">
        <f t="shared" si="16"/>
        <v>0</v>
      </c>
      <c r="J197" s="17">
        <f t="shared" si="17"/>
        <v>53.77</v>
      </c>
      <c r="K197" s="17">
        <v>33.77</v>
      </c>
      <c r="L197" s="17">
        <v>20</v>
      </c>
      <c r="M197" s="329" t="s">
        <v>308</v>
      </c>
      <c r="N197" s="81">
        <f t="shared" si="11"/>
        <v>0</v>
      </c>
    </row>
    <row r="198" s="81" customFormat="1" customHeight="1" spans="1:14">
      <c r="A198" s="155">
        <v>2080805</v>
      </c>
      <c r="B198" s="141" t="s">
        <v>309</v>
      </c>
      <c r="C198" s="17">
        <f t="shared" si="15"/>
        <v>179</v>
      </c>
      <c r="D198" s="17">
        <v>179</v>
      </c>
      <c r="E198" s="17">
        <v>0</v>
      </c>
      <c r="F198" s="17">
        <v>70</v>
      </c>
      <c r="G198" s="17">
        <v>0</v>
      </c>
      <c r="H198" s="17">
        <v>76.1</v>
      </c>
      <c r="I198" s="17">
        <f t="shared" si="16"/>
        <v>172</v>
      </c>
      <c r="J198" s="17">
        <f t="shared" si="17"/>
        <v>497.1</v>
      </c>
      <c r="K198" s="17">
        <v>325.1</v>
      </c>
      <c r="L198" s="17">
        <v>172</v>
      </c>
      <c r="M198" s="329" t="s">
        <v>310</v>
      </c>
      <c r="N198" s="81">
        <f t="shared" si="11"/>
        <v>0</v>
      </c>
    </row>
    <row r="199" s="81" customFormat="1" customHeight="1" spans="1:14">
      <c r="A199" s="155">
        <v>2080899</v>
      </c>
      <c r="B199" s="141" t="s">
        <v>311</v>
      </c>
      <c r="C199" s="17">
        <f t="shared" si="15"/>
        <v>1091.06</v>
      </c>
      <c r="D199" s="17">
        <v>10.88</v>
      </c>
      <c r="E199" s="17">
        <v>1080.18</v>
      </c>
      <c r="F199" s="17">
        <v>-0.03</v>
      </c>
      <c r="G199" s="17">
        <v>14.7</v>
      </c>
      <c r="H199" s="17">
        <v>0</v>
      </c>
      <c r="I199" s="17">
        <f t="shared" si="16"/>
        <v>0</v>
      </c>
      <c r="J199" s="17">
        <f t="shared" si="17"/>
        <v>1105.73</v>
      </c>
      <c r="K199" s="17">
        <v>25.55</v>
      </c>
      <c r="L199" s="17">
        <v>1080.18</v>
      </c>
      <c r="M199" s="329" t="s">
        <v>312</v>
      </c>
      <c r="N199" s="81">
        <f t="shared" ref="N199:N262" si="18">E199+I199-L199</f>
        <v>0</v>
      </c>
    </row>
    <row r="200" s="81" customFormat="1" customHeight="1" spans="1:14">
      <c r="A200" s="155">
        <v>20809</v>
      </c>
      <c r="B200" s="141" t="s">
        <v>313</v>
      </c>
      <c r="C200" s="17">
        <f t="shared" si="15"/>
        <v>577.96</v>
      </c>
      <c r="D200" s="17">
        <v>360.72</v>
      </c>
      <c r="E200" s="17">
        <v>217.24</v>
      </c>
      <c r="F200" s="17">
        <v>-49.02</v>
      </c>
      <c r="G200" s="17">
        <v>1.96</v>
      </c>
      <c r="H200" s="17">
        <v>0.890000000000001</v>
      </c>
      <c r="I200" s="17">
        <f t="shared" si="16"/>
        <v>-527.16724</v>
      </c>
      <c r="J200" s="17">
        <f t="shared" si="17"/>
        <v>4.62276000000003</v>
      </c>
      <c r="K200" s="17">
        <v>314.55</v>
      </c>
      <c r="L200" s="17">
        <v>-309.92724</v>
      </c>
      <c r="M200" s="329"/>
      <c r="N200" s="81">
        <f t="shared" si="18"/>
        <v>0</v>
      </c>
    </row>
    <row r="201" s="81" customFormat="1" customHeight="1" spans="1:14">
      <c r="A201" s="155">
        <v>2080901</v>
      </c>
      <c r="B201" s="141" t="s">
        <v>314</v>
      </c>
      <c r="C201" s="17">
        <f t="shared" si="15"/>
        <v>318.44</v>
      </c>
      <c r="D201" s="17">
        <v>136.44</v>
      </c>
      <c r="E201" s="17">
        <v>182</v>
      </c>
      <c r="F201" s="17">
        <v>-17.87</v>
      </c>
      <c r="G201" s="17">
        <v>0</v>
      </c>
      <c r="H201" s="17">
        <v>7.69</v>
      </c>
      <c r="I201" s="17">
        <f t="shared" si="16"/>
        <v>1</v>
      </c>
      <c r="J201" s="17">
        <f t="shared" si="17"/>
        <v>309.26</v>
      </c>
      <c r="K201" s="17">
        <v>126.26</v>
      </c>
      <c r="L201" s="17">
        <v>183</v>
      </c>
      <c r="M201" s="329" t="s">
        <v>315</v>
      </c>
      <c r="N201" s="81">
        <f t="shared" si="18"/>
        <v>0</v>
      </c>
    </row>
    <row r="202" s="81" customFormat="1" customHeight="1" spans="1:14">
      <c r="A202" s="155">
        <v>2080902</v>
      </c>
      <c r="B202" s="141" t="s">
        <v>316</v>
      </c>
      <c r="C202" s="17">
        <f t="shared" si="15"/>
        <v>0</v>
      </c>
      <c r="D202" s="17"/>
      <c r="E202" s="17"/>
      <c r="F202" s="17"/>
      <c r="G202" s="17"/>
      <c r="H202" s="17"/>
      <c r="I202" s="17">
        <f t="shared" si="16"/>
        <v>21</v>
      </c>
      <c r="J202" s="17">
        <f t="shared" si="17"/>
        <v>21</v>
      </c>
      <c r="K202" s="17">
        <v>0</v>
      </c>
      <c r="L202" s="17">
        <v>21</v>
      </c>
      <c r="M202" s="329"/>
      <c r="N202" s="81">
        <f t="shared" si="18"/>
        <v>0</v>
      </c>
    </row>
    <row r="203" s="81" customFormat="1" customHeight="1" spans="1:14">
      <c r="A203" s="155">
        <v>2080903</v>
      </c>
      <c r="B203" s="141" t="s">
        <v>317</v>
      </c>
      <c r="C203" s="17">
        <f t="shared" si="15"/>
        <v>0</v>
      </c>
      <c r="D203" s="17"/>
      <c r="E203" s="17">
        <v>0</v>
      </c>
      <c r="F203" s="17">
        <v>0</v>
      </c>
      <c r="G203" s="17">
        <v>0</v>
      </c>
      <c r="H203" s="17">
        <v>0</v>
      </c>
      <c r="I203" s="17">
        <f t="shared" si="16"/>
        <v>1.3</v>
      </c>
      <c r="J203" s="17">
        <f t="shared" si="17"/>
        <v>1.3</v>
      </c>
      <c r="K203" s="17">
        <v>0</v>
      </c>
      <c r="L203" s="17">
        <v>1.3</v>
      </c>
      <c r="M203" s="329"/>
      <c r="N203" s="81">
        <f t="shared" si="18"/>
        <v>0</v>
      </c>
    </row>
    <row r="204" s="81" customFormat="1" customHeight="1" spans="1:14">
      <c r="A204" s="155">
        <v>2080904</v>
      </c>
      <c r="B204" s="141" t="s">
        <v>318</v>
      </c>
      <c r="C204" s="17">
        <f t="shared" si="15"/>
        <v>34.72</v>
      </c>
      <c r="D204" s="17">
        <v>26.82</v>
      </c>
      <c r="E204" s="17">
        <v>7.9</v>
      </c>
      <c r="F204" s="17">
        <v>-20</v>
      </c>
      <c r="G204" s="17">
        <v>0.28</v>
      </c>
      <c r="H204" s="17">
        <v>0</v>
      </c>
      <c r="I204" s="17">
        <f t="shared" si="16"/>
        <v>-5.9569</v>
      </c>
      <c r="J204" s="17">
        <f t="shared" si="17"/>
        <v>9.0431</v>
      </c>
      <c r="K204" s="17">
        <v>7.1</v>
      </c>
      <c r="L204" s="17">
        <v>1.9431</v>
      </c>
      <c r="M204" s="329" t="s">
        <v>319</v>
      </c>
      <c r="N204" s="81">
        <f t="shared" si="18"/>
        <v>0</v>
      </c>
    </row>
    <row r="205" s="81" customFormat="1" customHeight="1" spans="1:14">
      <c r="A205" s="155">
        <v>2080905</v>
      </c>
      <c r="B205" s="141" t="s">
        <v>320</v>
      </c>
      <c r="C205" s="17">
        <f t="shared" si="15"/>
        <v>139.03</v>
      </c>
      <c r="D205" s="17">
        <v>139.03</v>
      </c>
      <c r="E205" s="17">
        <v>0</v>
      </c>
      <c r="F205" s="17">
        <v>-11.15</v>
      </c>
      <c r="G205" s="17">
        <v>1.68</v>
      </c>
      <c r="H205" s="17">
        <v>0</v>
      </c>
      <c r="I205" s="17">
        <f t="shared" si="16"/>
        <v>1.6027</v>
      </c>
      <c r="J205" s="17">
        <f t="shared" si="17"/>
        <v>131.1627</v>
      </c>
      <c r="K205" s="17">
        <v>129.56</v>
      </c>
      <c r="L205" s="17">
        <v>1.6027</v>
      </c>
      <c r="M205" s="329" t="s">
        <v>321</v>
      </c>
      <c r="N205" s="81">
        <f t="shared" si="18"/>
        <v>0</v>
      </c>
    </row>
    <row r="206" s="81" customFormat="1" customHeight="1" spans="1:14">
      <c r="A206" s="155">
        <v>2080999</v>
      </c>
      <c r="B206" s="141" t="s">
        <v>322</v>
      </c>
      <c r="C206" s="17">
        <f t="shared" si="15"/>
        <v>85.77</v>
      </c>
      <c r="D206" s="17">
        <v>58.43</v>
      </c>
      <c r="E206" s="17">
        <v>27.34</v>
      </c>
      <c r="F206" s="17">
        <v>0</v>
      </c>
      <c r="G206" s="17">
        <v>0</v>
      </c>
      <c r="H206" s="17">
        <v>-6.8</v>
      </c>
      <c r="I206" s="17">
        <f t="shared" si="16"/>
        <v>-546.11304</v>
      </c>
      <c r="J206" s="17">
        <f t="shared" si="17"/>
        <v>-467.14304</v>
      </c>
      <c r="K206" s="17">
        <v>51.63</v>
      </c>
      <c r="L206" s="17">
        <v>-518.77304</v>
      </c>
      <c r="M206" s="329"/>
      <c r="N206" s="81">
        <f t="shared" si="18"/>
        <v>0</v>
      </c>
    </row>
    <row r="207" s="81" customFormat="1" customHeight="1" spans="1:14">
      <c r="A207" s="155">
        <v>20810</v>
      </c>
      <c r="B207" s="141" t="s">
        <v>323</v>
      </c>
      <c r="C207" s="17">
        <f t="shared" si="15"/>
        <v>910.35</v>
      </c>
      <c r="D207" s="17">
        <v>815.38</v>
      </c>
      <c r="E207" s="17">
        <v>94.97</v>
      </c>
      <c r="F207" s="17">
        <v>-134.75</v>
      </c>
      <c r="G207" s="17">
        <v>0</v>
      </c>
      <c r="H207" s="17">
        <v>30.61</v>
      </c>
      <c r="I207" s="17">
        <f t="shared" si="16"/>
        <v>40.6</v>
      </c>
      <c r="J207" s="17">
        <f t="shared" si="17"/>
        <v>846.81</v>
      </c>
      <c r="K207" s="17">
        <v>711.24</v>
      </c>
      <c r="L207" s="17">
        <v>135.57</v>
      </c>
      <c r="M207" s="329"/>
      <c r="N207" s="81">
        <f t="shared" si="18"/>
        <v>0</v>
      </c>
    </row>
    <row r="208" s="81" customFormat="1" customHeight="1" spans="1:14">
      <c r="A208" s="155">
        <v>2081001</v>
      </c>
      <c r="B208" s="141" t="s">
        <v>324</v>
      </c>
      <c r="C208" s="17">
        <f t="shared" si="15"/>
        <v>33.6</v>
      </c>
      <c r="D208" s="17">
        <v>2</v>
      </c>
      <c r="E208" s="17">
        <v>31.6</v>
      </c>
      <c r="F208" s="17">
        <v>3</v>
      </c>
      <c r="G208" s="17">
        <v>0</v>
      </c>
      <c r="H208" s="17">
        <v>0</v>
      </c>
      <c r="I208" s="17">
        <f t="shared" si="16"/>
        <v>3.2</v>
      </c>
      <c r="J208" s="17">
        <f t="shared" si="17"/>
        <v>39.8</v>
      </c>
      <c r="K208" s="17">
        <v>5</v>
      </c>
      <c r="L208" s="17">
        <v>34.8</v>
      </c>
      <c r="M208" s="329" t="s">
        <v>325</v>
      </c>
      <c r="N208" s="81">
        <f t="shared" si="18"/>
        <v>0</v>
      </c>
    </row>
    <row r="209" s="81" customFormat="1" customHeight="1" spans="1:14">
      <c r="A209" s="155">
        <v>2081002</v>
      </c>
      <c r="B209" s="141" t="s">
        <v>326</v>
      </c>
      <c r="C209" s="17">
        <f t="shared" si="15"/>
        <v>273.4</v>
      </c>
      <c r="D209" s="17">
        <v>273.4</v>
      </c>
      <c r="E209" s="17">
        <v>0</v>
      </c>
      <c r="F209" s="17">
        <v>-45</v>
      </c>
      <c r="G209" s="17">
        <v>0</v>
      </c>
      <c r="H209" s="17">
        <v>0</v>
      </c>
      <c r="I209" s="17">
        <f t="shared" si="16"/>
        <v>0</v>
      </c>
      <c r="J209" s="17">
        <f t="shared" si="17"/>
        <v>228.4</v>
      </c>
      <c r="K209" s="17">
        <v>228.4</v>
      </c>
      <c r="L209" s="17"/>
      <c r="M209" s="329" t="s">
        <v>327</v>
      </c>
      <c r="N209" s="81">
        <f t="shared" si="18"/>
        <v>0</v>
      </c>
    </row>
    <row r="210" s="81" customFormat="1" customHeight="1" spans="1:14">
      <c r="A210" s="155">
        <v>2081004</v>
      </c>
      <c r="B210" s="141" t="s">
        <v>328</v>
      </c>
      <c r="C210" s="17">
        <f t="shared" si="15"/>
        <v>235.35</v>
      </c>
      <c r="D210" s="17">
        <v>171.98</v>
      </c>
      <c r="E210" s="17">
        <v>63.37</v>
      </c>
      <c r="F210" s="17">
        <v>8</v>
      </c>
      <c r="G210" s="17">
        <v>0</v>
      </c>
      <c r="H210" s="17">
        <v>0</v>
      </c>
      <c r="I210" s="17">
        <f t="shared" si="16"/>
        <v>0</v>
      </c>
      <c r="J210" s="17">
        <f t="shared" si="17"/>
        <v>243.35</v>
      </c>
      <c r="K210" s="17">
        <v>179.98</v>
      </c>
      <c r="L210" s="17">
        <v>63.37</v>
      </c>
      <c r="M210" s="281" t="s">
        <v>329</v>
      </c>
      <c r="N210" s="81">
        <f t="shared" si="18"/>
        <v>0</v>
      </c>
    </row>
    <row r="211" s="81" customFormat="1" customHeight="1" spans="1:14">
      <c r="A211" s="155">
        <v>2081005</v>
      </c>
      <c r="B211" s="141" t="s">
        <v>330</v>
      </c>
      <c r="C211" s="17">
        <f t="shared" si="15"/>
        <v>63.08</v>
      </c>
      <c r="D211" s="17">
        <v>63.08</v>
      </c>
      <c r="E211" s="17">
        <v>0</v>
      </c>
      <c r="F211" s="17">
        <v>-0.75</v>
      </c>
      <c r="G211" s="17">
        <v>0</v>
      </c>
      <c r="H211" s="17">
        <v>0.14</v>
      </c>
      <c r="I211" s="17">
        <f t="shared" si="16"/>
        <v>0</v>
      </c>
      <c r="J211" s="17">
        <f t="shared" si="17"/>
        <v>62.47</v>
      </c>
      <c r="K211" s="17">
        <v>62.47</v>
      </c>
      <c r="L211" s="17"/>
      <c r="M211" s="281" t="s">
        <v>143</v>
      </c>
      <c r="N211" s="81">
        <f t="shared" si="18"/>
        <v>0</v>
      </c>
    </row>
    <row r="212" s="81" customFormat="1" customHeight="1" spans="1:14">
      <c r="A212" s="155">
        <v>2081006</v>
      </c>
      <c r="B212" s="141" t="s">
        <v>331</v>
      </c>
      <c r="C212" s="17">
        <f t="shared" si="15"/>
        <v>255.92</v>
      </c>
      <c r="D212" s="17">
        <v>255.92</v>
      </c>
      <c r="E212" s="17">
        <v>0</v>
      </c>
      <c r="F212" s="17">
        <v>-100</v>
      </c>
      <c r="G212" s="17">
        <v>0</v>
      </c>
      <c r="H212" s="17">
        <v>0</v>
      </c>
      <c r="I212" s="17">
        <f t="shared" si="16"/>
        <v>37.4</v>
      </c>
      <c r="J212" s="17">
        <f t="shared" si="17"/>
        <v>193.32</v>
      </c>
      <c r="K212" s="17">
        <v>155.92</v>
      </c>
      <c r="L212" s="17">
        <v>37.4</v>
      </c>
      <c r="M212" s="329" t="s">
        <v>332</v>
      </c>
      <c r="N212" s="81">
        <f t="shared" si="18"/>
        <v>0</v>
      </c>
    </row>
    <row r="213" s="81" customFormat="1" customHeight="1" spans="1:14">
      <c r="A213" s="145">
        <v>2081099</v>
      </c>
      <c r="B213" s="141" t="s">
        <v>333</v>
      </c>
      <c r="C213" s="17">
        <f t="shared" si="15"/>
        <v>49</v>
      </c>
      <c r="D213" s="17">
        <v>49</v>
      </c>
      <c r="E213" s="17">
        <v>0</v>
      </c>
      <c r="F213" s="17"/>
      <c r="G213" s="17"/>
      <c r="H213" s="17">
        <v>30.47</v>
      </c>
      <c r="I213" s="17">
        <f t="shared" si="16"/>
        <v>0</v>
      </c>
      <c r="J213" s="17">
        <f t="shared" si="17"/>
        <v>79.47</v>
      </c>
      <c r="K213" s="17">
        <v>79.47</v>
      </c>
      <c r="L213" s="17"/>
      <c r="M213" s="329" t="s">
        <v>334</v>
      </c>
      <c r="N213" s="81">
        <f t="shared" si="18"/>
        <v>0</v>
      </c>
    </row>
    <row r="214" s="81" customFormat="1" customHeight="1" spans="1:14">
      <c r="A214" s="155">
        <v>20811</v>
      </c>
      <c r="B214" s="141" t="s">
        <v>335</v>
      </c>
      <c r="C214" s="17">
        <f t="shared" si="15"/>
        <v>2608.4265</v>
      </c>
      <c r="D214" s="17">
        <v>1275.81</v>
      </c>
      <c r="E214" s="17">
        <v>1332.6165</v>
      </c>
      <c r="F214" s="17">
        <v>-143.59</v>
      </c>
      <c r="G214" s="17">
        <v>0</v>
      </c>
      <c r="H214" s="17">
        <v>31.63</v>
      </c>
      <c r="I214" s="17">
        <f t="shared" si="16"/>
        <v>-43.3870000000002</v>
      </c>
      <c r="J214" s="17">
        <f t="shared" si="17"/>
        <v>2453.0795</v>
      </c>
      <c r="K214" s="17">
        <v>1163.85</v>
      </c>
      <c r="L214" s="17">
        <v>1289.2295</v>
      </c>
      <c r="M214" s="281"/>
      <c r="N214" s="81">
        <f t="shared" si="18"/>
        <v>0</v>
      </c>
    </row>
    <row r="215" s="81" customFormat="1" customHeight="1" spans="1:14">
      <c r="A215" s="155">
        <v>2081101</v>
      </c>
      <c r="B215" s="141" t="s">
        <v>102</v>
      </c>
      <c r="C215" s="17">
        <f t="shared" si="15"/>
        <v>278.66</v>
      </c>
      <c r="D215" s="17">
        <v>278.66</v>
      </c>
      <c r="E215" s="17">
        <v>0</v>
      </c>
      <c r="F215" s="17">
        <v>-21.1</v>
      </c>
      <c r="G215" s="17">
        <v>0</v>
      </c>
      <c r="H215" s="17">
        <v>5.48</v>
      </c>
      <c r="I215" s="17">
        <f t="shared" si="16"/>
        <v>0</v>
      </c>
      <c r="J215" s="17">
        <f t="shared" si="17"/>
        <v>263.04</v>
      </c>
      <c r="K215" s="17">
        <v>263.04</v>
      </c>
      <c r="L215" s="17"/>
      <c r="M215" s="281" t="s">
        <v>143</v>
      </c>
      <c r="N215" s="81">
        <f t="shared" si="18"/>
        <v>0</v>
      </c>
    </row>
    <row r="216" s="81" customFormat="1" customHeight="1" spans="1:14">
      <c r="A216" s="155">
        <v>2081104</v>
      </c>
      <c r="B216" s="141" t="s">
        <v>336</v>
      </c>
      <c r="C216" s="17">
        <f t="shared" si="15"/>
        <v>173.54</v>
      </c>
      <c r="D216" s="17">
        <v>164.44</v>
      </c>
      <c r="E216" s="17">
        <v>9.1</v>
      </c>
      <c r="F216" s="17">
        <v>-0.2</v>
      </c>
      <c r="G216" s="17">
        <v>0</v>
      </c>
      <c r="H216" s="17">
        <v>0</v>
      </c>
      <c r="I216" s="17">
        <f t="shared" si="16"/>
        <v>58.4</v>
      </c>
      <c r="J216" s="17">
        <f t="shared" si="17"/>
        <v>231.74</v>
      </c>
      <c r="K216" s="17">
        <v>164.24</v>
      </c>
      <c r="L216" s="17">
        <v>67.5</v>
      </c>
      <c r="M216" s="281" t="s">
        <v>337</v>
      </c>
      <c r="N216" s="81">
        <f t="shared" si="18"/>
        <v>0</v>
      </c>
    </row>
    <row r="217" s="81" customFormat="1" customHeight="1" spans="1:14">
      <c r="A217" s="155">
        <v>2081105</v>
      </c>
      <c r="B217" s="141" t="s">
        <v>338</v>
      </c>
      <c r="C217" s="17">
        <f t="shared" si="15"/>
        <v>374.04</v>
      </c>
      <c r="D217" s="17">
        <v>213.84</v>
      </c>
      <c r="E217" s="17">
        <v>160.2</v>
      </c>
      <c r="F217" s="17">
        <v>-107.52</v>
      </c>
      <c r="G217" s="17">
        <v>0</v>
      </c>
      <c r="H217" s="17">
        <v>0</v>
      </c>
      <c r="I217" s="17">
        <f t="shared" si="16"/>
        <v>-45.967</v>
      </c>
      <c r="J217" s="17">
        <f t="shared" si="17"/>
        <v>220.553</v>
      </c>
      <c r="K217" s="17">
        <v>106.32</v>
      </c>
      <c r="L217" s="17">
        <v>114.233</v>
      </c>
      <c r="M217" s="281" t="s">
        <v>339</v>
      </c>
      <c r="N217" s="81">
        <f t="shared" si="18"/>
        <v>0</v>
      </c>
    </row>
    <row r="218" s="81" customFormat="1" customHeight="1" spans="1:14">
      <c r="A218" s="155">
        <v>2081107</v>
      </c>
      <c r="B218" s="141" t="s">
        <v>340</v>
      </c>
      <c r="C218" s="17">
        <f t="shared" si="15"/>
        <v>1396.9465</v>
      </c>
      <c r="D218" s="17">
        <v>400.07</v>
      </c>
      <c r="E218" s="17">
        <v>996.8765</v>
      </c>
      <c r="F218" s="17">
        <v>-32</v>
      </c>
      <c r="G218" s="17">
        <v>0</v>
      </c>
      <c r="H218" s="17">
        <v>0</v>
      </c>
      <c r="I218" s="17">
        <f t="shared" si="16"/>
        <v>0</v>
      </c>
      <c r="J218" s="17">
        <f t="shared" si="17"/>
        <v>1364.9465</v>
      </c>
      <c r="K218" s="17">
        <v>368.07</v>
      </c>
      <c r="L218" s="17">
        <v>996.8765</v>
      </c>
      <c r="M218" s="329" t="s">
        <v>341</v>
      </c>
      <c r="N218" s="81">
        <f t="shared" si="18"/>
        <v>0</v>
      </c>
    </row>
    <row r="219" s="81" customFormat="1" customHeight="1" spans="1:14">
      <c r="A219" s="155">
        <v>2081199</v>
      </c>
      <c r="B219" s="141" t="s">
        <v>342</v>
      </c>
      <c r="C219" s="17">
        <f t="shared" si="15"/>
        <v>385.24</v>
      </c>
      <c r="D219" s="17">
        <v>218.8</v>
      </c>
      <c r="E219" s="17">
        <v>166.44</v>
      </c>
      <c r="F219" s="17">
        <v>17.23</v>
      </c>
      <c r="G219" s="17">
        <v>0</v>
      </c>
      <c r="H219" s="17">
        <v>26.15</v>
      </c>
      <c r="I219" s="17">
        <f t="shared" si="16"/>
        <v>-55.82</v>
      </c>
      <c r="J219" s="17">
        <f t="shared" si="17"/>
        <v>372.8</v>
      </c>
      <c r="K219" s="17">
        <v>262.18</v>
      </c>
      <c r="L219" s="17">
        <v>110.62</v>
      </c>
      <c r="M219" s="329" t="s">
        <v>343</v>
      </c>
      <c r="N219" s="81">
        <f t="shared" si="18"/>
        <v>0</v>
      </c>
    </row>
    <row r="220" s="81" customFormat="1" customHeight="1" spans="1:14">
      <c r="A220" s="155">
        <v>20816</v>
      </c>
      <c r="B220" s="141" t="s">
        <v>344</v>
      </c>
      <c r="C220" s="17">
        <f t="shared" si="15"/>
        <v>72.08</v>
      </c>
      <c r="D220" s="17">
        <v>72.08</v>
      </c>
      <c r="E220" s="17">
        <v>0</v>
      </c>
      <c r="F220" s="17">
        <v>0</v>
      </c>
      <c r="G220" s="17">
        <v>0</v>
      </c>
      <c r="H220" s="17">
        <v>0.18</v>
      </c>
      <c r="I220" s="17">
        <f t="shared" si="16"/>
        <v>0</v>
      </c>
      <c r="J220" s="17">
        <f t="shared" si="17"/>
        <v>72.26</v>
      </c>
      <c r="K220" s="17">
        <v>72.26</v>
      </c>
      <c r="L220" s="17"/>
      <c r="M220" s="281"/>
      <c r="N220" s="81">
        <f t="shared" si="18"/>
        <v>0</v>
      </c>
    </row>
    <row r="221" s="81" customFormat="1" customHeight="1" spans="1:14">
      <c r="A221" s="155">
        <v>2081601</v>
      </c>
      <c r="B221" s="141" t="s">
        <v>102</v>
      </c>
      <c r="C221" s="17">
        <f t="shared" si="15"/>
        <v>57.08</v>
      </c>
      <c r="D221" s="17">
        <v>57.08</v>
      </c>
      <c r="E221" s="17">
        <v>0</v>
      </c>
      <c r="F221" s="17">
        <v>0</v>
      </c>
      <c r="G221" s="17">
        <v>0</v>
      </c>
      <c r="H221" s="17">
        <v>0.18</v>
      </c>
      <c r="I221" s="17">
        <f t="shared" si="16"/>
        <v>0</v>
      </c>
      <c r="J221" s="17">
        <f t="shared" si="17"/>
        <v>57.26</v>
      </c>
      <c r="K221" s="17">
        <v>57.26</v>
      </c>
      <c r="L221" s="17"/>
      <c r="M221" s="329"/>
      <c r="N221" s="81">
        <f t="shared" si="18"/>
        <v>0</v>
      </c>
    </row>
    <row r="222" s="81" customFormat="1" customHeight="1" spans="1:14">
      <c r="A222" s="155">
        <v>2081699</v>
      </c>
      <c r="B222" s="141" t="s">
        <v>345</v>
      </c>
      <c r="C222" s="17">
        <f t="shared" si="15"/>
        <v>15</v>
      </c>
      <c r="D222" s="17">
        <v>15</v>
      </c>
      <c r="E222" s="17">
        <v>0</v>
      </c>
      <c r="F222" s="17">
        <v>0</v>
      </c>
      <c r="G222" s="17">
        <v>0</v>
      </c>
      <c r="H222" s="17">
        <v>0</v>
      </c>
      <c r="I222" s="17">
        <f t="shared" si="16"/>
        <v>0</v>
      </c>
      <c r="J222" s="17">
        <f t="shared" si="17"/>
        <v>15</v>
      </c>
      <c r="K222" s="17">
        <v>15</v>
      </c>
      <c r="L222" s="17"/>
      <c r="M222" s="281"/>
      <c r="N222" s="81">
        <f t="shared" si="18"/>
        <v>0</v>
      </c>
    </row>
    <row r="223" s="81" customFormat="1" customHeight="1" spans="1:14">
      <c r="A223" s="155">
        <v>20819</v>
      </c>
      <c r="B223" s="141" t="s">
        <v>346</v>
      </c>
      <c r="C223" s="17">
        <f t="shared" si="15"/>
        <v>4116.33</v>
      </c>
      <c r="D223" s="17">
        <v>1205.93</v>
      </c>
      <c r="E223" s="17">
        <v>2910.4</v>
      </c>
      <c r="F223" s="17">
        <v>67</v>
      </c>
      <c r="G223" s="17">
        <v>6</v>
      </c>
      <c r="H223" s="17">
        <v>0</v>
      </c>
      <c r="I223" s="17">
        <f t="shared" si="16"/>
        <v>0</v>
      </c>
      <c r="J223" s="17">
        <f t="shared" si="17"/>
        <v>4189.33</v>
      </c>
      <c r="K223" s="17">
        <v>1278.93</v>
      </c>
      <c r="L223" s="17">
        <v>2910.4</v>
      </c>
      <c r="M223" s="329"/>
      <c r="N223" s="81">
        <f t="shared" si="18"/>
        <v>0</v>
      </c>
    </row>
    <row r="224" s="81" customFormat="1" customHeight="1" spans="1:14">
      <c r="A224" s="155">
        <v>2081901</v>
      </c>
      <c r="B224" s="141" t="s">
        <v>347</v>
      </c>
      <c r="C224" s="17">
        <f t="shared" si="15"/>
        <v>1676.2</v>
      </c>
      <c r="D224" s="17">
        <v>485.4</v>
      </c>
      <c r="E224" s="17">
        <v>1190.8</v>
      </c>
      <c r="F224" s="17">
        <v>67</v>
      </c>
      <c r="G224" s="17">
        <v>0</v>
      </c>
      <c r="H224" s="17">
        <v>0</v>
      </c>
      <c r="I224" s="17">
        <f t="shared" si="16"/>
        <v>0</v>
      </c>
      <c r="J224" s="17">
        <f t="shared" si="17"/>
        <v>1743.2</v>
      </c>
      <c r="K224" s="17">
        <v>552.4</v>
      </c>
      <c r="L224" s="17">
        <v>1190.8</v>
      </c>
      <c r="M224" s="329" t="s">
        <v>348</v>
      </c>
      <c r="N224" s="81">
        <f t="shared" si="18"/>
        <v>0</v>
      </c>
    </row>
    <row r="225" s="81" customFormat="1" customHeight="1" spans="1:14">
      <c r="A225" s="155">
        <v>2081902</v>
      </c>
      <c r="B225" s="141" t="s">
        <v>349</v>
      </c>
      <c r="C225" s="17">
        <f t="shared" si="15"/>
        <v>2440.13</v>
      </c>
      <c r="D225" s="17">
        <v>720.53</v>
      </c>
      <c r="E225" s="17">
        <v>1719.6</v>
      </c>
      <c r="F225" s="17">
        <v>0</v>
      </c>
      <c r="G225" s="17">
        <v>6</v>
      </c>
      <c r="H225" s="17">
        <v>0</v>
      </c>
      <c r="I225" s="17">
        <f t="shared" si="16"/>
        <v>0</v>
      </c>
      <c r="J225" s="17">
        <f t="shared" si="17"/>
        <v>2446.13</v>
      </c>
      <c r="K225" s="17">
        <v>726.53</v>
      </c>
      <c r="L225" s="17">
        <v>1719.6</v>
      </c>
      <c r="M225" s="281"/>
      <c r="N225" s="81">
        <f t="shared" si="18"/>
        <v>0</v>
      </c>
    </row>
    <row r="226" s="81" customFormat="1" customHeight="1" spans="1:14">
      <c r="A226" s="155">
        <v>20820</v>
      </c>
      <c r="B226" s="141" t="s">
        <v>350</v>
      </c>
      <c r="C226" s="17">
        <f t="shared" si="15"/>
        <v>16</v>
      </c>
      <c r="D226" s="17">
        <v>16</v>
      </c>
      <c r="E226" s="17">
        <v>0</v>
      </c>
      <c r="F226" s="17">
        <v>0</v>
      </c>
      <c r="G226" s="17">
        <v>0</v>
      </c>
      <c r="H226" s="17">
        <v>0</v>
      </c>
      <c r="I226" s="17">
        <f t="shared" si="16"/>
        <v>0</v>
      </c>
      <c r="J226" s="17">
        <f t="shared" si="17"/>
        <v>16</v>
      </c>
      <c r="K226" s="17">
        <v>16</v>
      </c>
      <c r="L226" s="17"/>
      <c r="M226" s="281"/>
      <c r="N226" s="81">
        <f t="shared" si="18"/>
        <v>0</v>
      </c>
    </row>
    <row r="227" s="81" customFormat="1" customHeight="1" spans="1:14">
      <c r="A227" s="155">
        <v>2082001</v>
      </c>
      <c r="B227" s="141" t="s">
        <v>351</v>
      </c>
      <c r="C227" s="17">
        <f t="shared" si="15"/>
        <v>15</v>
      </c>
      <c r="D227" s="17">
        <v>15</v>
      </c>
      <c r="E227" s="17">
        <v>0</v>
      </c>
      <c r="F227" s="17">
        <v>0</v>
      </c>
      <c r="G227" s="17">
        <v>0</v>
      </c>
      <c r="H227" s="17">
        <v>0</v>
      </c>
      <c r="I227" s="17">
        <f t="shared" si="16"/>
        <v>0</v>
      </c>
      <c r="J227" s="17">
        <f t="shared" si="17"/>
        <v>15</v>
      </c>
      <c r="K227" s="17">
        <v>15</v>
      </c>
      <c r="L227" s="17"/>
      <c r="M227" s="281"/>
      <c r="N227" s="81">
        <f t="shared" si="18"/>
        <v>0</v>
      </c>
    </row>
    <row r="228" s="81" customFormat="1" customHeight="1" spans="1:14">
      <c r="A228" s="155">
        <v>2082002</v>
      </c>
      <c r="B228" s="141" t="s">
        <v>352</v>
      </c>
      <c r="C228" s="17">
        <f t="shared" si="15"/>
        <v>1</v>
      </c>
      <c r="D228" s="17">
        <v>1</v>
      </c>
      <c r="E228" s="17">
        <v>0</v>
      </c>
      <c r="F228" s="17">
        <v>0</v>
      </c>
      <c r="G228" s="17">
        <v>0</v>
      </c>
      <c r="H228" s="17">
        <v>0</v>
      </c>
      <c r="I228" s="17">
        <f t="shared" si="16"/>
        <v>0</v>
      </c>
      <c r="J228" s="17">
        <f t="shared" si="17"/>
        <v>1</v>
      </c>
      <c r="K228" s="17">
        <v>1</v>
      </c>
      <c r="L228" s="17"/>
      <c r="M228" s="329">
        <v>0</v>
      </c>
      <c r="N228" s="81">
        <f t="shared" si="18"/>
        <v>0</v>
      </c>
    </row>
    <row r="229" s="81" customFormat="1" customHeight="1" spans="1:14">
      <c r="A229" s="155">
        <v>20821</v>
      </c>
      <c r="B229" s="141" t="s">
        <v>353</v>
      </c>
      <c r="C229" s="17">
        <f t="shared" si="15"/>
        <v>402.8</v>
      </c>
      <c r="D229" s="17">
        <v>62</v>
      </c>
      <c r="E229" s="17">
        <v>340.8</v>
      </c>
      <c r="F229" s="17">
        <v>48</v>
      </c>
      <c r="G229" s="17">
        <v>0</v>
      </c>
      <c r="H229" s="17">
        <v>0</v>
      </c>
      <c r="I229" s="17">
        <f t="shared" si="16"/>
        <v>42.8</v>
      </c>
      <c r="J229" s="17">
        <f t="shared" si="17"/>
        <v>493.6</v>
      </c>
      <c r="K229" s="17">
        <v>110</v>
      </c>
      <c r="L229" s="17">
        <v>383.6</v>
      </c>
      <c r="M229" s="281"/>
      <c r="N229" s="81">
        <f t="shared" si="18"/>
        <v>0</v>
      </c>
    </row>
    <row r="230" s="81" customFormat="1" customHeight="1" spans="1:14">
      <c r="A230" s="155">
        <v>2082101</v>
      </c>
      <c r="B230" s="141" t="s">
        <v>354</v>
      </c>
      <c r="C230" s="17">
        <f t="shared" si="15"/>
        <v>59.6</v>
      </c>
      <c r="D230" s="17">
        <v>5</v>
      </c>
      <c r="E230" s="17">
        <v>54.6</v>
      </c>
      <c r="F230" s="17">
        <v>10</v>
      </c>
      <c r="G230" s="17">
        <v>0</v>
      </c>
      <c r="H230" s="17">
        <v>0</v>
      </c>
      <c r="I230" s="17">
        <f t="shared" si="16"/>
        <v>3.8</v>
      </c>
      <c r="J230" s="17">
        <f t="shared" si="17"/>
        <v>73.4</v>
      </c>
      <c r="K230" s="17">
        <v>15</v>
      </c>
      <c r="L230" s="17">
        <v>58.4</v>
      </c>
      <c r="M230" s="329" t="s">
        <v>355</v>
      </c>
      <c r="N230" s="81">
        <f t="shared" si="18"/>
        <v>0</v>
      </c>
    </row>
    <row r="231" s="81" customFormat="1" customHeight="1" spans="1:14">
      <c r="A231" s="155">
        <v>2082102</v>
      </c>
      <c r="B231" s="141" t="s">
        <v>356</v>
      </c>
      <c r="C231" s="17">
        <f t="shared" si="15"/>
        <v>343.2</v>
      </c>
      <c r="D231" s="17">
        <v>57</v>
      </c>
      <c r="E231" s="17">
        <v>286.2</v>
      </c>
      <c r="F231" s="17">
        <v>38</v>
      </c>
      <c r="G231" s="17">
        <v>0</v>
      </c>
      <c r="H231" s="17">
        <v>0</v>
      </c>
      <c r="I231" s="17">
        <f t="shared" si="16"/>
        <v>39</v>
      </c>
      <c r="J231" s="17">
        <f t="shared" si="17"/>
        <v>420.2</v>
      </c>
      <c r="K231" s="17">
        <v>95</v>
      </c>
      <c r="L231" s="17">
        <v>325.2</v>
      </c>
      <c r="M231" s="329" t="s">
        <v>357</v>
      </c>
      <c r="N231" s="81">
        <f t="shared" si="18"/>
        <v>0</v>
      </c>
    </row>
    <row r="232" s="81" customFormat="1" customHeight="1" spans="1:14">
      <c r="A232" s="155">
        <v>20825</v>
      </c>
      <c r="B232" s="141" t="s">
        <v>358</v>
      </c>
      <c r="C232" s="17">
        <f t="shared" si="15"/>
        <v>49.61</v>
      </c>
      <c r="D232" s="17">
        <v>13.61</v>
      </c>
      <c r="E232" s="17">
        <v>36</v>
      </c>
      <c r="F232" s="17">
        <v>0</v>
      </c>
      <c r="G232" s="17">
        <v>0</v>
      </c>
      <c r="H232" s="17">
        <v>0</v>
      </c>
      <c r="I232" s="17">
        <f t="shared" si="16"/>
        <v>0</v>
      </c>
      <c r="J232" s="17">
        <f t="shared" si="17"/>
        <v>49.61</v>
      </c>
      <c r="K232" s="17">
        <v>13.61</v>
      </c>
      <c r="L232" s="17">
        <v>36</v>
      </c>
      <c r="M232" s="329">
        <v>0</v>
      </c>
      <c r="N232" s="81">
        <f t="shared" si="18"/>
        <v>0</v>
      </c>
    </row>
    <row r="233" s="81" customFormat="1" customHeight="1" spans="1:14">
      <c r="A233" s="155">
        <v>2082501</v>
      </c>
      <c r="B233" s="141" t="s">
        <v>359</v>
      </c>
      <c r="C233" s="17">
        <f t="shared" si="15"/>
        <v>18.19</v>
      </c>
      <c r="D233" s="17">
        <v>5.19</v>
      </c>
      <c r="E233" s="17">
        <v>13</v>
      </c>
      <c r="F233" s="17">
        <v>0</v>
      </c>
      <c r="G233" s="17">
        <v>0</v>
      </c>
      <c r="H233" s="17">
        <v>0.03</v>
      </c>
      <c r="I233" s="17">
        <f t="shared" si="16"/>
        <v>0</v>
      </c>
      <c r="J233" s="17">
        <f t="shared" si="17"/>
        <v>18.22</v>
      </c>
      <c r="K233" s="17">
        <v>5.22</v>
      </c>
      <c r="L233" s="17">
        <v>13</v>
      </c>
      <c r="M233" s="329" t="s">
        <v>360</v>
      </c>
      <c r="N233" s="81">
        <f t="shared" si="18"/>
        <v>0</v>
      </c>
    </row>
    <row r="234" s="81" customFormat="1" customHeight="1" spans="1:14">
      <c r="A234" s="155">
        <v>2082502</v>
      </c>
      <c r="B234" s="141" t="s">
        <v>361</v>
      </c>
      <c r="C234" s="17">
        <f t="shared" si="15"/>
        <v>31.42</v>
      </c>
      <c r="D234" s="17">
        <v>8.42</v>
      </c>
      <c r="E234" s="17">
        <v>23</v>
      </c>
      <c r="F234" s="17">
        <v>0</v>
      </c>
      <c r="G234" s="17">
        <v>0</v>
      </c>
      <c r="H234" s="17">
        <v>-0.03</v>
      </c>
      <c r="I234" s="17">
        <f t="shared" si="16"/>
        <v>0</v>
      </c>
      <c r="J234" s="17">
        <f t="shared" si="17"/>
        <v>31.39</v>
      </c>
      <c r="K234" s="17">
        <v>8.39</v>
      </c>
      <c r="L234" s="17">
        <v>23</v>
      </c>
      <c r="M234" s="329" t="s">
        <v>360</v>
      </c>
      <c r="N234" s="81">
        <f t="shared" si="18"/>
        <v>0</v>
      </c>
    </row>
    <row r="235" s="81" customFormat="1" customHeight="1" spans="1:14">
      <c r="A235" s="155">
        <v>20826</v>
      </c>
      <c r="B235" s="141" t="s">
        <v>362</v>
      </c>
      <c r="C235" s="17">
        <f t="shared" si="15"/>
        <v>9389.51</v>
      </c>
      <c r="D235" s="17">
        <v>1279.51</v>
      </c>
      <c r="E235" s="17">
        <v>8110</v>
      </c>
      <c r="F235" s="17">
        <v>0</v>
      </c>
      <c r="G235" s="17">
        <v>0</v>
      </c>
      <c r="H235" s="17">
        <v>0</v>
      </c>
      <c r="I235" s="17">
        <f t="shared" si="16"/>
        <v>320.9</v>
      </c>
      <c r="J235" s="17">
        <f t="shared" si="17"/>
        <v>9710.41</v>
      </c>
      <c r="K235" s="17">
        <v>1279.51</v>
      </c>
      <c r="L235" s="17">
        <v>8430.9</v>
      </c>
      <c r="M235" s="329"/>
      <c r="N235" s="81">
        <f t="shared" si="18"/>
        <v>0</v>
      </c>
    </row>
    <row r="236" s="81" customFormat="1" customHeight="1" spans="1:14">
      <c r="A236" s="155">
        <v>2082602</v>
      </c>
      <c r="B236" s="141" t="s">
        <v>363</v>
      </c>
      <c r="C236" s="17">
        <f t="shared" si="15"/>
        <v>9385.19</v>
      </c>
      <c r="D236" s="17">
        <v>1275.19</v>
      </c>
      <c r="E236" s="17">
        <v>8110</v>
      </c>
      <c r="F236" s="17">
        <v>0</v>
      </c>
      <c r="G236" s="17">
        <v>0</v>
      </c>
      <c r="H236" s="17">
        <v>0</v>
      </c>
      <c r="I236" s="17">
        <f t="shared" si="16"/>
        <v>320.9</v>
      </c>
      <c r="J236" s="17">
        <f t="shared" si="17"/>
        <v>9706.09</v>
      </c>
      <c r="K236" s="17">
        <v>1275.19</v>
      </c>
      <c r="L236" s="17">
        <v>8430.9</v>
      </c>
      <c r="M236" s="281"/>
      <c r="N236" s="81">
        <f t="shared" si="18"/>
        <v>0</v>
      </c>
    </row>
    <row r="237" s="81" customFormat="1" customHeight="1" spans="1:14">
      <c r="A237" s="155">
        <v>2082699</v>
      </c>
      <c r="B237" s="141" t="s">
        <v>364</v>
      </c>
      <c r="C237" s="17">
        <f t="shared" si="15"/>
        <v>4.32</v>
      </c>
      <c r="D237" s="17">
        <v>4.32</v>
      </c>
      <c r="E237" s="17">
        <v>0</v>
      </c>
      <c r="F237" s="17">
        <v>0</v>
      </c>
      <c r="G237" s="17">
        <v>0</v>
      </c>
      <c r="H237" s="17">
        <v>0</v>
      </c>
      <c r="I237" s="17">
        <f t="shared" si="16"/>
        <v>0</v>
      </c>
      <c r="J237" s="17">
        <f t="shared" si="17"/>
        <v>4.32</v>
      </c>
      <c r="K237" s="17">
        <v>4.32</v>
      </c>
      <c r="L237" s="17"/>
      <c r="M237" s="281"/>
      <c r="N237" s="81">
        <f t="shared" si="18"/>
        <v>0</v>
      </c>
    </row>
    <row r="238" s="81" customFormat="1" customHeight="1" spans="1:14">
      <c r="A238" s="155">
        <v>20828</v>
      </c>
      <c r="B238" s="141" t="s">
        <v>365</v>
      </c>
      <c r="C238" s="17">
        <f t="shared" si="15"/>
        <v>987.81</v>
      </c>
      <c r="D238" s="17">
        <v>909.63</v>
      </c>
      <c r="E238" s="17">
        <v>78.18</v>
      </c>
      <c r="F238" s="17">
        <v>-269.99</v>
      </c>
      <c r="G238" s="17">
        <v>0</v>
      </c>
      <c r="H238" s="17">
        <v>0.72</v>
      </c>
      <c r="I238" s="17">
        <f t="shared" si="16"/>
        <v>315.04</v>
      </c>
      <c r="J238" s="17">
        <f t="shared" si="17"/>
        <v>1033.58</v>
      </c>
      <c r="K238" s="17">
        <v>640.36</v>
      </c>
      <c r="L238" s="17">
        <v>393.22</v>
      </c>
      <c r="M238" s="281"/>
      <c r="N238" s="81">
        <f t="shared" si="18"/>
        <v>0</v>
      </c>
    </row>
    <row r="239" s="81" customFormat="1" customHeight="1" spans="1:14">
      <c r="A239" s="155">
        <v>2082801</v>
      </c>
      <c r="B239" s="141" t="s">
        <v>102</v>
      </c>
      <c r="C239" s="17">
        <f t="shared" si="15"/>
        <v>221.64</v>
      </c>
      <c r="D239" s="17">
        <v>221.64</v>
      </c>
      <c r="E239" s="17">
        <v>0</v>
      </c>
      <c r="F239" s="17">
        <v>-25.97</v>
      </c>
      <c r="G239" s="17">
        <v>0</v>
      </c>
      <c r="H239" s="17">
        <v>0.15</v>
      </c>
      <c r="I239" s="17">
        <f t="shared" si="16"/>
        <v>0</v>
      </c>
      <c r="J239" s="17">
        <f t="shared" si="17"/>
        <v>195.82</v>
      </c>
      <c r="K239" s="17">
        <v>195.82</v>
      </c>
      <c r="L239" s="17"/>
      <c r="M239" s="329" t="s">
        <v>143</v>
      </c>
      <c r="N239" s="81">
        <f t="shared" si="18"/>
        <v>0</v>
      </c>
    </row>
    <row r="240" s="81" customFormat="1" customHeight="1" spans="1:14">
      <c r="A240" s="155">
        <v>2082802</v>
      </c>
      <c r="B240" s="141" t="s">
        <v>126</v>
      </c>
      <c r="C240" s="17">
        <f t="shared" si="15"/>
        <v>105</v>
      </c>
      <c r="D240" s="17">
        <v>105</v>
      </c>
      <c r="E240" s="17">
        <v>0</v>
      </c>
      <c r="F240" s="17">
        <v>-40</v>
      </c>
      <c r="G240" s="17">
        <v>0</v>
      </c>
      <c r="H240" s="17">
        <v>0</v>
      </c>
      <c r="I240" s="17">
        <f t="shared" si="16"/>
        <v>0</v>
      </c>
      <c r="J240" s="17">
        <f t="shared" si="17"/>
        <v>65</v>
      </c>
      <c r="K240" s="17">
        <v>65</v>
      </c>
      <c r="L240" s="17"/>
      <c r="M240" s="281" t="s">
        <v>366</v>
      </c>
      <c r="N240" s="81">
        <f t="shared" si="18"/>
        <v>0</v>
      </c>
    </row>
    <row r="241" s="81" customFormat="1" customHeight="1" spans="1:14">
      <c r="A241" s="155">
        <v>2082804</v>
      </c>
      <c r="B241" s="141" t="s">
        <v>367</v>
      </c>
      <c r="C241" s="17">
        <f t="shared" si="15"/>
        <v>470.84</v>
      </c>
      <c r="D241" s="17">
        <v>392.66</v>
      </c>
      <c r="E241" s="17">
        <v>78.18</v>
      </c>
      <c r="F241" s="17">
        <v>-199.09</v>
      </c>
      <c r="G241" s="17">
        <v>0</v>
      </c>
      <c r="H241" s="17">
        <v>0</v>
      </c>
      <c r="I241" s="17">
        <f t="shared" si="16"/>
        <v>-77.46</v>
      </c>
      <c r="J241" s="17">
        <f t="shared" si="17"/>
        <v>194.29</v>
      </c>
      <c r="K241" s="17">
        <v>193.57</v>
      </c>
      <c r="L241" s="17">
        <v>0.72</v>
      </c>
      <c r="M241" s="329" t="s">
        <v>249</v>
      </c>
      <c r="N241" s="81">
        <f t="shared" si="18"/>
        <v>1.31006316905768e-14</v>
      </c>
    </row>
    <row r="242" s="81" customFormat="1" customHeight="1" spans="1:14">
      <c r="A242" s="155">
        <v>2082850</v>
      </c>
      <c r="B242" s="141" t="s">
        <v>129</v>
      </c>
      <c r="C242" s="17">
        <f t="shared" si="15"/>
        <v>110.26</v>
      </c>
      <c r="D242" s="17">
        <v>110.26</v>
      </c>
      <c r="E242" s="17">
        <v>0</v>
      </c>
      <c r="F242" s="17">
        <v>-4.93</v>
      </c>
      <c r="G242" s="17">
        <v>0</v>
      </c>
      <c r="H242" s="17">
        <v>0.57</v>
      </c>
      <c r="I242" s="17">
        <f t="shared" si="16"/>
        <v>0</v>
      </c>
      <c r="J242" s="17">
        <f t="shared" si="17"/>
        <v>105.9</v>
      </c>
      <c r="K242" s="17">
        <v>105.9</v>
      </c>
      <c r="L242" s="17"/>
      <c r="M242" s="329" t="s">
        <v>143</v>
      </c>
      <c r="N242" s="81">
        <f t="shared" si="18"/>
        <v>0</v>
      </c>
    </row>
    <row r="243" s="81" customFormat="1" customHeight="1" spans="1:14">
      <c r="A243" s="155">
        <v>2082899</v>
      </c>
      <c r="B243" s="141" t="s">
        <v>368</v>
      </c>
      <c r="C243" s="17">
        <f t="shared" si="15"/>
        <v>80.07</v>
      </c>
      <c r="D243" s="17">
        <v>80.07</v>
      </c>
      <c r="E243" s="17">
        <v>0</v>
      </c>
      <c r="F243" s="17">
        <v>0</v>
      </c>
      <c r="G243" s="17">
        <v>0</v>
      </c>
      <c r="H243" s="17">
        <v>0</v>
      </c>
      <c r="I243" s="17">
        <f t="shared" si="16"/>
        <v>392.5</v>
      </c>
      <c r="J243" s="17">
        <f t="shared" si="17"/>
        <v>472.57</v>
      </c>
      <c r="K243" s="17">
        <v>80.07</v>
      </c>
      <c r="L243" s="17">
        <v>392.5</v>
      </c>
      <c r="M243" s="329"/>
      <c r="N243" s="81">
        <f t="shared" si="18"/>
        <v>0</v>
      </c>
    </row>
    <row r="244" s="81" customFormat="1" customHeight="1" spans="1:14">
      <c r="A244" s="155">
        <v>20830</v>
      </c>
      <c r="B244" s="141" t="s">
        <v>369</v>
      </c>
      <c r="C244" s="17">
        <f t="shared" ref="C244:C290" si="19">D244+E244</f>
        <v>51.23</v>
      </c>
      <c r="D244" s="17">
        <v>28.23</v>
      </c>
      <c r="E244" s="17">
        <v>23</v>
      </c>
      <c r="F244" s="17">
        <v>0</v>
      </c>
      <c r="G244" s="17">
        <v>0</v>
      </c>
      <c r="H244" s="17">
        <v>0</v>
      </c>
      <c r="I244" s="17">
        <f t="shared" ref="I244:I290" si="20">L244-E244</f>
        <v>5</v>
      </c>
      <c r="J244" s="17">
        <f t="shared" ref="J244:J290" si="21">K244+L244</f>
        <v>56.23</v>
      </c>
      <c r="K244" s="17">
        <v>28.23</v>
      </c>
      <c r="L244" s="17">
        <v>28</v>
      </c>
      <c r="M244" s="329">
        <v>0</v>
      </c>
      <c r="N244" s="81">
        <f t="shared" si="18"/>
        <v>0</v>
      </c>
    </row>
    <row r="245" s="81" customFormat="1" customHeight="1" spans="1:14">
      <c r="A245" s="141">
        <v>2083001</v>
      </c>
      <c r="B245" s="331" t="s">
        <v>370</v>
      </c>
      <c r="C245" s="17">
        <f t="shared" si="19"/>
        <v>51.23</v>
      </c>
      <c r="D245" s="17">
        <v>28.23</v>
      </c>
      <c r="E245" s="17">
        <v>23</v>
      </c>
      <c r="F245" s="17">
        <v>0</v>
      </c>
      <c r="G245" s="17">
        <v>0</v>
      </c>
      <c r="H245" s="17">
        <v>0</v>
      </c>
      <c r="I245" s="17">
        <f t="shared" si="20"/>
        <v>5</v>
      </c>
      <c r="J245" s="17">
        <f t="shared" si="21"/>
        <v>56.23</v>
      </c>
      <c r="K245" s="17">
        <v>28.23</v>
      </c>
      <c r="L245" s="17">
        <v>28</v>
      </c>
      <c r="M245" s="329">
        <v>0</v>
      </c>
      <c r="N245" s="81">
        <f t="shared" si="18"/>
        <v>0</v>
      </c>
    </row>
    <row r="246" s="81" customFormat="1" customHeight="1" spans="1:14">
      <c r="A246" s="155">
        <v>20899</v>
      </c>
      <c r="B246" s="141" t="s">
        <v>371</v>
      </c>
      <c r="C246" s="17">
        <f t="shared" si="19"/>
        <v>828.75</v>
      </c>
      <c r="D246" s="17">
        <v>727.09</v>
      </c>
      <c r="E246" s="17">
        <v>101.66</v>
      </c>
      <c r="F246" s="17">
        <v>27.3002</v>
      </c>
      <c r="G246" s="17">
        <v>0</v>
      </c>
      <c r="H246" s="17">
        <v>-146.82</v>
      </c>
      <c r="I246" s="17">
        <f t="shared" si="20"/>
        <v>9.14960000000001</v>
      </c>
      <c r="J246" s="17">
        <f t="shared" si="21"/>
        <v>718.3798</v>
      </c>
      <c r="K246" s="17">
        <v>607.5702</v>
      </c>
      <c r="L246" s="17">
        <v>110.8096</v>
      </c>
      <c r="M246" s="281"/>
      <c r="N246" s="81">
        <f t="shared" si="18"/>
        <v>0</v>
      </c>
    </row>
    <row r="247" s="81" customFormat="1" customHeight="1" spans="1:14">
      <c r="A247" s="155">
        <v>2089999</v>
      </c>
      <c r="B247" s="141" t="s">
        <v>371</v>
      </c>
      <c r="C247" s="17">
        <f t="shared" si="19"/>
        <v>828.75</v>
      </c>
      <c r="D247" s="17">
        <v>727.09</v>
      </c>
      <c r="E247" s="17">
        <v>101.66</v>
      </c>
      <c r="F247" s="17">
        <v>27.3002</v>
      </c>
      <c r="G247" s="17">
        <v>0</v>
      </c>
      <c r="H247" s="17">
        <v>-146.82</v>
      </c>
      <c r="I247" s="17">
        <f t="shared" si="20"/>
        <v>9.14960000000001</v>
      </c>
      <c r="J247" s="17">
        <f t="shared" si="21"/>
        <v>718.3798</v>
      </c>
      <c r="K247" s="17">
        <v>607.5702</v>
      </c>
      <c r="L247" s="17">
        <v>110.8096</v>
      </c>
      <c r="M247" s="329" t="s">
        <v>372</v>
      </c>
      <c r="N247" s="81">
        <f t="shared" si="18"/>
        <v>0</v>
      </c>
    </row>
    <row r="248" s="81" customFormat="1" customHeight="1" spans="1:14">
      <c r="A248" s="155">
        <v>210</v>
      </c>
      <c r="B248" s="141" t="s">
        <v>373</v>
      </c>
      <c r="C248" s="17">
        <f t="shared" si="19"/>
        <v>30405.355</v>
      </c>
      <c r="D248" s="17">
        <v>13385.57</v>
      </c>
      <c r="E248" s="17">
        <v>17019.785</v>
      </c>
      <c r="F248" s="17">
        <v>-3544.28</v>
      </c>
      <c r="G248" s="17">
        <v>42.67</v>
      </c>
      <c r="H248" s="17">
        <v>23.44</v>
      </c>
      <c r="I248" s="17">
        <f t="shared" si="20"/>
        <v>1224.79864</v>
      </c>
      <c r="J248" s="17">
        <f t="shared" si="21"/>
        <v>28151.98364</v>
      </c>
      <c r="K248" s="17">
        <v>9907.4</v>
      </c>
      <c r="L248" s="17">
        <v>18244.58364</v>
      </c>
      <c r="M248" s="329"/>
      <c r="N248" s="81">
        <f t="shared" si="18"/>
        <v>0</v>
      </c>
    </row>
    <row r="249" s="81" customFormat="1" customHeight="1" spans="1:14">
      <c r="A249" s="155">
        <v>21001</v>
      </c>
      <c r="B249" s="141" t="s">
        <v>374</v>
      </c>
      <c r="C249" s="17">
        <f t="shared" si="19"/>
        <v>393.99</v>
      </c>
      <c r="D249" s="17">
        <v>393.99</v>
      </c>
      <c r="E249" s="17">
        <v>0</v>
      </c>
      <c r="F249" s="17">
        <v>-6.55</v>
      </c>
      <c r="G249" s="17">
        <v>0</v>
      </c>
      <c r="H249" s="17">
        <v>0.49</v>
      </c>
      <c r="I249" s="17">
        <f t="shared" si="20"/>
        <v>0</v>
      </c>
      <c r="J249" s="17">
        <f t="shared" si="21"/>
        <v>387.93</v>
      </c>
      <c r="K249" s="17">
        <v>387.93</v>
      </c>
      <c r="L249" s="17"/>
      <c r="M249" s="329"/>
      <c r="N249" s="81">
        <f t="shared" si="18"/>
        <v>0</v>
      </c>
    </row>
    <row r="250" s="81" customFormat="1" customHeight="1" spans="1:14">
      <c r="A250" s="155">
        <v>2100101</v>
      </c>
      <c r="B250" s="141" t="s">
        <v>102</v>
      </c>
      <c r="C250" s="17">
        <f t="shared" si="19"/>
        <v>363.67</v>
      </c>
      <c r="D250" s="17">
        <v>363.67</v>
      </c>
      <c r="E250" s="17">
        <v>0</v>
      </c>
      <c r="F250" s="17">
        <v>-8</v>
      </c>
      <c r="G250" s="17">
        <v>0</v>
      </c>
      <c r="H250" s="17">
        <v>0.49</v>
      </c>
      <c r="I250" s="17">
        <f t="shared" si="20"/>
        <v>0</v>
      </c>
      <c r="J250" s="17">
        <f t="shared" si="21"/>
        <v>356.16</v>
      </c>
      <c r="K250" s="17">
        <v>356.16</v>
      </c>
      <c r="L250" s="17"/>
      <c r="M250" s="281" t="s">
        <v>143</v>
      </c>
      <c r="N250" s="81">
        <f t="shared" si="18"/>
        <v>0</v>
      </c>
    </row>
    <row r="251" s="81" customFormat="1" customHeight="1" spans="1:14">
      <c r="A251" s="155">
        <v>2100199</v>
      </c>
      <c r="B251" s="141" t="s">
        <v>375</v>
      </c>
      <c r="C251" s="17">
        <f t="shared" si="19"/>
        <v>30.32</v>
      </c>
      <c r="D251" s="17">
        <v>30.32</v>
      </c>
      <c r="E251" s="17">
        <v>0</v>
      </c>
      <c r="F251" s="17">
        <v>1.45</v>
      </c>
      <c r="G251" s="17">
        <v>0</v>
      </c>
      <c r="H251" s="17">
        <v>0</v>
      </c>
      <c r="I251" s="17">
        <f t="shared" si="20"/>
        <v>0</v>
      </c>
      <c r="J251" s="17">
        <f t="shared" si="21"/>
        <v>31.77</v>
      </c>
      <c r="K251" s="17">
        <v>31.77</v>
      </c>
      <c r="L251" s="17"/>
      <c r="M251" s="281" t="s">
        <v>376</v>
      </c>
      <c r="N251" s="81">
        <f t="shared" si="18"/>
        <v>0</v>
      </c>
    </row>
    <row r="252" s="81" customFormat="1" customHeight="1" spans="1:14">
      <c r="A252" s="155">
        <v>21002</v>
      </c>
      <c r="B252" s="141" t="s">
        <v>377</v>
      </c>
      <c r="C252" s="17">
        <f t="shared" si="19"/>
        <v>1908.99</v>
      </c>
      <c r="D252" s="17">
        <v>1848.99</v>
      </c>
      <c r="E252" s="17">
        <v>60</v>
      </c>
      <c r="F252" s="17">
        <v>-475.66</v>
      </c>
      <c r="G252" s="17">
        <v>0</v>
      </c>
      <c r="H252" s="17">
        <v>0.45</v>
      </c>
      <c r="I252" s="17">
        <f t="shared" si="20"/>
        <v>18</v>
      </c>
      <c r="J252" s="17">
        <f t="shared" si="21"/>
        <v>1451.78</v>
      </c>
      <c r="K252" s="17">
        <v>1373.78</v>
      </c>
      <c r="L252" s="17">
        <v>78</v>
      </c>
      <c r="M252" s="329"/>
      <c r="N252" s="81">
        <f t="shared" si="18"/>
        <v>0</v>
      </c>
    </row>
    <row r="253" s="81" customFormat="1" customHeight="1" spans="1:14">
      <c r="A253" s="155">
        <v>2100201</v>
      </c>
      <c r="B253" s="141" t="s">
        <v>378</v>
      </c>
      <c r="C253" s="17">
        <f t="shared" si="19"/>
        <v>1846.76</v>
      </c>
      <c r="D253" s="17">
        <v>1846.76</v>
      </c>
      <c r="E253" s="17">
        <v>0</v>
      </c>
      <c r="F253" s="17">
        <v>-475.66</v>
      </c>
      <c r="G253" s="17">
        <v>0</v>
      </c>
      <c r="H253" s="17">
        <v>0.45</v>
      </c>
      <c r="I253" s="17">
        <f t="shared" si="20"/>
        <v>0</v>
      </c>
      <c r="J253" s="17">
        <f t="shared" si="21"/>
        <v>1371.55</v>
      </c>
      <c r="K253" s="17">
        <v>1371.55</v>
      </c>
      <c r="L253" s="17"/>
      <c r="M253" s="329" t="s">
        <v>379</v>
      </c>
      <c r="N253" s="81">
        <f t="shared" si="18"/>
        <v>0</v>
      </c>
    </row>
    <row r="254" s="81" customFormat="1" customHeight="1" spans="1:14">
      <c r="A254" s="155">
        <v>2100299</v>
      </c>
      <c r="B254" s="141" t="s">
        <v>380</v>
      </c>
      <c r="C254" s="17">
        <f t="shared" si="19"/>
        <v>62.23</v>
      </c>
      <c r="D254" s="17">
        <v>2.23</v>
      </c>
      <c r="E254" s="17">
        <v>60</v>
      </c>
      <c r="F254" s="17">
        <v>0</v>
      </c>
      <c r="G254" s="17">
        <v>0</v>
      </c>
      <c r="H254" s="17">
        <v>0</v>
      </c>
      <c r="I254" s="17">
        <f t="shared" si="20"/>
        <v>18</v>
      </c>
      <c r="J254" s="17">
        <f t="shared" si="21"/>
        <v>80.23</v>
      </c>
      <c r="K254" s="17">
        <v>2.23</v>
      </c>
      <c r="L254" s="17">
        <v>78</v>
      </c>
      <c r="M254" s="329">
        <v>0</v>
      </c>
      <c r="N254" s="81">
        <f t="shared" si="18"/>
        <v>0</v>
      </c>
    </row>
    <row r="255" s="81" customFormat="1" customHeight="1" spans="1:14">
      <c r="A255" s="155">
        <v>21003</v>
      </c>
      <c r="B255" s="141" t="s">
        <v>381</v>
      </c>
      <c r="C255" s="17">
        <f t="shared" si="19"/>
        <v>1398.13</v>
      </c>
      <c r="D255" s="17">
        <v>1150.13</v>
      </c>
      <c r="E255" s="17">
        <v>248</v>
      </c>
      <c r="F255" s="17">
        <v>-345.47</v>
      </c>
      <c r="G255" s="17">
        <v>0</v>
      </c>
      <c r="H255" s="17">
        <v>2.45</v>
      </c>
      <c r="I255" s="17">
        <f t="shared" si="20"/>
        <v>51</v>
      </c>
      <c r="J255" s="17">
        <f t="shared" si="21"/>
        <v>1106.11</v>
      </c>
      <c r="K255" s="17">
        <v>807.11</v>
      </c>
      <c r="L255" s="17">
        <v>299</v>
      </c>
      <c r="M255" s="281"/>
      <c r="N255" s="81">
        <f t="shared" si="18"/>
        <v>0</v>
      </c>
    </row>
    <row r="256" s="81" customFormat="1" customHeight="1" spans="1:14">
      <c r="A256" s="155">
        <v>2100301</v>
      </c>
      <c r="B256" s="141" t="s">
        <v>382</v>
      </c>
      <c r="C256" s="17">
        <f t="shared" si="19"/>
        <v>543.42</v>
      </c>
      <c r="D256" s="17">
        <v>543.42</v>
      </c>
      <c r="E256" s="17">
        <v>0</v>
      </c>
      <c r="F256" s="17">
        <v>-15.22</v>
      </c>
      <c r="G256" s="17">
        <v>0</v>
      </c>
      <c r="H256" s="17">
        <v>0.3</v>
      </c>
      <c r="I256" s="17">
        <f t="shared" si="20"/>
        <v>0</v>
      </c>
      <c r="J256" s="17">
        <f t="shared" si="21"/>
        <v>528.5</v>
      </c>
      <c r="K256" s="17">
        <v>528.5</v>
      </c>
      <c r="L256" s="17"/>
      <c r="M256" s="281" t="s">
        <v>143</v>
      </c>
      <c r="N256" s="81">
        <f t="shared" si="18"/>
        <v>0</v>
      </c>
    </row>
    <row r="257" s="81" customFormat="1" customHeight="1" spans="1:14">
      <c r="A257" s="155">
        <v>2100302</v>
      </c>
      <c r="B257" s="141" t="s">
        <v>383</v>
      </c>
      <c r="C257" s="17">
        <f t="shared" si="19"/>
        <v>151.75</v>
      </c>
      <c r="D257" s="17">
        <v>151.75</v>
      </c>
      <c r="E257" s="17">
        <v>0</v>
      </c>
      <c r="F257" s="17">
        <v>-2.6</v>
      </c>
      <c r="G257" s="17">
        <v>0</v>
      </c>
      <c r="H257" s="17">
        <v>0.15</v>
      </c>
      <c r="I257" s="17">
        <f t="shared" si="20"/>
        <v>0</v>
      </c>
      <c r="J257" s="17">
        <f t="shared" si="21"/>
        <v>149.3</v>
      </c>
      <c r="K257" s="17">
        <v>149.3</v>
      </c>
      <c r="L257" s="17">
        <v>0</v>
      </c>
      <c r="M257" s="329" t="s">
        <v>143</v>
      </c>
      <c r="N257" s="81">
        <f t="shared" si="18"/>
        <v>0</v>
      </c>
    </row>
    <row r="258" s="81" customFormat="1" customHeight="1" spans="1:14">
      <c r="A258" s="155">
        <v>2100399</v>
      </c>
      <c r="B258" s="141" t="s">
        <v>384</v>
      </c>
      <c r="C258" s="17">
        <f t="shared" si="19"/>
        <v>702.96</v>
      </c>
      <c r="D258" s="17">
        <v>454.96</v>
      </c>
      <c r="E258" s="17">
        <v>248</v>
      </c>
      <c r="F258" s="17">
        <v>-327.65</v>
      </c>
      <c r="G258" s="17">
        <v>0</v>
      </c>
      <c r="H258" s="17">
        <v>2</v>
      </c>
      <c r="I258" s="17">
        <f t="shared" si="20"/>
        <v>51</v>
      </c>
      <c r="J258" s="17">
        <f t="shared" si="21"/>
        <v>428.31</v>
      </c>
      <c r="K258" s="17">
        <v>129.31</v>
      </c>
      <c r="L258" s="17">
        <v>299</v>
      </c>
      <c r="M258" s="329" t="s">
        <v>385</v>
      </c>
      <c r="N258" s="81">
        <f t="shared" si="18"/>
        <v>0</v>
      </c>
    </row>
    <row r="259" s="81" customFormat="1" customHeight="1" spans="1:14">
      <c r="A259" s="155">
        <v>21004</v>
      </c>
      <c r="B259" s="141" t="s">
        <v>386</v>
      </c>
      <c r="C259" s="17">
        <f t="shared" si="19"/>
        <v>8569.371</v>
      </c>
      <c r="D259" s="17">
        <v>5998.55</v>
      </c>
      <c r="E259" s="17">
        <v>2570.821</v>
      </c>
      <c r="F259" s="17">
        <v>-2420.71</v>
      </c>
      <c r="G259" s="17">
        <v>42.67</v>
      </c>
      <c r="H259" s="17">
        <v>17.64</v>
      </c>
      <c r="I259" s="17">
        <f t="shared" si="20"/>
        <v>943.703343</v>
      </c>
      <c r="J259" s="17">
        <f t="shared" si="21"/>
        <v>7152.674343</v>
      </c>
      <c r="K259" s="17">
        <v>3638.15</v>
      </c>
      <c r="L259" s="17">
        <v>3514.524343</v>
      </c>
      <c r="M259" s="329"/>
      <c r="N259" s="81">
        <f t="shared" si="18"/>
        <v>0</v>
      </c>
    </row>
    <row r="260" s="81" customFormat="1" customHeight="1" spans="1:14">
      <c r="A260" s="155">
        <v>2100401</v>
      </c>
      <c r="B260" s="141" t="s">
        <v>387</v>
      </c>
      <c r="C260" s="17">
        <f t="shared" si="19"/>
        <v>1550.12</v>
      </c>
      <c r="D260" s="17">
        <v>1550.12</v>
      </c>
      <c r="E260" s="17">
        <v>0</v>
      </c>
      <c r="F260" s="17">
        <v>-481.59</v>
      </c>
      <c r="G260" s="17">
        <v>0</v>
      </c>
      <c r="H260" s="17">
        <v>100.14</v>
      </c>
      <c r="I260" s="17">
        <f t="shared" si="20"/>
        <v>0</v>
      </c>
      <c r="J260" s="17">
        <f t="shared" si="21"/>
        <v>1168.67</v>
      </c>
      <c r="K260" s="17">
        <v>1168.67</v>
      </c>
      <c r="L260" s="17"/>
      <c r="M260" s="329" t="s">
        <v>388</v>
      </c>
      <c r="N260" s="81">
        <f t="shared" si="18"/>
        <v>0</v>
      </c>
    </row>
    <row r="261" s="81" customFormat="1" customHeight="1" spans="1:14">
      <c r="A261" s="155">
        <v>2100403</v>
      </c>
      <c r="B261" s="141" t="s">
        <v>389</v>
      </c>
      <c r="C261" s="17">
        <f t="shared" si="19"/>
        <v>288.85</v>
      </c>
      <c r="D261" s="17">
        <v>249.85</v>
      </c>
      <c r="E261" s="17">
        <v>39</v>
      </c>
      <c r="F261" s="17">
        <v>-9.94</v>
      </c>
      <c r="G261" s="17">
        <v>0</v>
      </c>
      <c r="H261" s="17">
        <v>0</v>
      </c>
      <c r="I261" s="17">
        <f t="shared" si="20"/>
        <v>0</v>
      </c>
      <c r="J261" s="17">
        <f t="shared" si="21"/>
        <v>278.91</v>
      </c>
      <c r="K261" s="17">
        <v>239.91</v>
      </c>
      <c r="L261" s="17">
        <v>39</v>
      </c>
      <c r="M261" s="329" t="s">
        <v>390</v>
      </c>
      <c r="N261" s="81">
        <f t="shared" si="18"/>
        <v>0</v>
      </c>
    </row>
    <row r="262" s="81" customFormat="1" customHeight="1" spans="1:14">
      <c r="A262" s="155">
        <v>2100408</v>
      </c>
      <c r="B262" s="141" t="s">
        <v>391</v>
      </c>
      <c r="C262" s="17">
        <f t="shared" si="19"/>
        <v>3090.41</v>
      </c>
      <c r="D262" s="17">
        <v>1078.82</v>
      </c>
      <c r="E262" s="17">
        <v>2011.59</v>
      </c>
      <c r="F262" s="17">
        <v>-698.12</v>
      </c>
      <c r="G262" s="17">
        <v>0</v>
      </c>
      <c r="H262" s="17">
        <v>2.20379270388094e-14</v>
      </c>
      <c r="I262" s="17">
        <f t="shared" si="20"/>
        <v>153.1</v>
      </c>
      <c r="J262" s="17">
        <f t="shared" si="21"/>
        <v>2545.39</v>
      </c>
      <c r="K262" s="17">
        <v>380.7</v>
      </c>
      <c r="L262" s="17">
        <v>2164.69</v>
      </c>
      <c r="M262" s="329" t="s">
        <v>392</v>
      </c>
      <c r="N262" s="81">
        <f t="shared" si="18"/>
        <v>0</v>
      </c>
    </row>
    <row r="263" s="81" customFormat="1" customHeight="1" spans="1:14">
      <c r="A263" s="155">
        <v>2100409</v>
      </c>
      <c r="B263" s="141" t="s">
        <v>393</v>
      </c>
      <c r="C263" s="17">
        <f t="shared" si="19"/>
        <v>412.62</v>
      </c>
      <c r="D263" s="17">
        <v>321.38</v>
      </c>
      <c r="E263" s="17">
        <v>91.24</v>
      </c>
      <c r="F263" s="17">
        <v>-147.2</v>
      </c>
      <c r="G263" s="17">
        <v>42.67</v>
      </c>
      <c r="H263" s="17">
        <v>-90</v>
      </c>
      <c r="I263" s="17">
        <f t="shared" si="20"/>
        <v>-1.94</v>
      </c>
      <c r="J263" s="17">
        <f t="shared" si="21"/>
        <v>216.15</v>
      </c>
      <c r="K263" s="17">
        <v>126.85</v>
      </c>
      <c r="L263" s="17">
        <v>89.3</v>
      </c>
      <c r="M263" s="329" t="s">
        <v>394</v>
      </c>
      <c r="N263" s="81">
        <f t="shared" ref="N263:N326" si="22">E263+I263-L263</f>
        <v>0</v>
      </c>
    </row>
    <row r="264" s="81" customFormat="1" customHeight="1" spans="1:14">
      <c r="A264" s="155">
        <v>2100410</v>
      </c>
      <c r="B264" s="141" t="s">
        <v>395</v>
      </c>
      <c r="C264" s="17">
        <f t="shared" si="19"/>
        <v>2348.285</v>
      </c>
      <c r="D264" s="17">
        <v>2271.9</v>
      </c>
      <c r="E264" s="17">
        <v>76.385</v>
      </c>
      <c r="F264" s="17">
        <v>-996.59</v>
      </c>
      <c r="G264" s="17">
        <v>0</v>
      </c>
      <c r="H264" s="17">
        <v>7.5</v>
      </c>
      <c r="I264" s="17">
        <f t="shared" si="20"/>
        <v>842.04598</v>
      </c>
      <c r="J264" s="17">
        <f t="shared" si="21"/>
        <v>2201.24098</v>
      </c>
      <c r="K264" s="17">
        <v>1282.81</v>
      </c>
      <c r="L264" s="17">
        <v>918.43098</v>
      </c>
      <c r="M264" s="329" t="s">
        <v>396</v>
      </c>
      <c r="N264" s="81">
        <f t="shared" si="22"/>
        <v>0</v>
      </c>
    </row>
    <row r="265" s="81" customFormat="1" customHeight="1" spans="1:14">
      <c r="A265" s="155">
        <v>2100499</v>
      </c>
      <c r="B265" s="141" t="s">
        <v>397</v>
      </c>
      <c r="C265" s="17">
        <f t="shared" si="19"/>
        <v>879.086</v>
      </c>
      <c r="D265" s="17">
        <v>526.48</v>
      </c>
      <c r="E265" s="17">
        <v>352.606</v>
      </c>
      <c r="F265" s="17">
        <v>-87.27</v>
      </c>
      <c r="G265" s="17">
        <v>0</v>
      </c>
      <c r="H265" s="17">
        <v>-3.19744231092045e-14</v>
      </c>
      <c r="I265" s="17">
        <f t="shared" si="20"/>
        <v>-49.502637</v>
      </c>
      <c r="J265" s="17">
        <f t="shared" si="21"/>
        <v>742.313363</v>
      </c>
      <c r="K265" s="17">
        <v>439.21</v>
      </c>
      <c r="L265" s="17">
        <v>303.103363</v>
      </c>
      <c r="M265" s="329" t="s">
        <v>398</v>
      </c>
      <c r="N265" s="81">
        <f t="shared" si="22"/>
        <v>0</v>
      </c>
    </row>
    <row r="266" s="81" customFormat="1" customHeight="1" spans="1:14">
      <c r="A266" s="155">
        <v>21006</v>
      </c>
      <c r="B266" s="141" t="s">
        <v>399</v>
      </c>
      <c r="C266" s="17">
        <f t="shared" si="19"/>
        <v>5</v>
      </c>
      <c r="D266" s="17">
        <v>5</v>
      </c>
      <c r="E266" s="17">
        <v>0</v>
      </c>
      <c r="F266" s="17">
        <v>-5</v>
      </c>
      <c r="G266" s="17">
        <v>0</v>
      </c>
      <c r="H266" s="17">
        <v>0</v>
      </c>
      <c r="I266" s="17">
        <f t="shared" si="20"/>
        <v>0</v>
      </c>
      <c r="J266" s="17">
        <f t="shared" si="21"/>
        <v>0</v>
      </c>
      <c r="K266" s="17">
        <v>0</v>
      </c>
      <c r="L266" s="17"/>
      <c r="M266" s="329"/>
      <c r="N266" s="81">
        <f t="shared" si="22"/>
        <v>0</v>
      </c>
    </row>
    <row r="267" s="81" customFormat="1" customHeight="1" spans="1:14">
      <c r="A267" s="155">
        <v>2100699</v>
      </c>
      <c r="B267" s="141" t="s">
        <v>400</v>
      </c>
      <c r="C267" s="17">
        <f t="shared" si="19"/>
        <v>5</v>
      </c>
      <c r="D267" s="17">
        <v>5</v>
      </c>
      <c r="E267" s="17">
        <v>0</v>
      </c>
      <c r="F267" s="17">
        <v>-5</v>
      </c>
      <c r="G267" s="17">
        <v>0</v>
      </c>
      <c r="H267" s="17">
        <v>0</v>
      </c>
      <c r="I267" s="17">
        <f t="shared" si="20"/>
        <v>0</v>
      </c>
      <c r="J267" s="17">
        <f t="shared" si="21"/>
        <v>0</v>
      </c>
      <c r="K267" s="17">
        <v>0</v>
      </c>
      <c r="L267" s="17"/>
      <c r="M267" s="329" t="s">
        <v>401</v>
      </c>
      <c r="N267" s="81">
        <f t="shared" si="22"/>
        <v>0</v>
      </c>
    </row>
    <row r="268" s="81" customFormat="1" customHeight="1" spans="1:14">
      <c r="A268" s="155">
        <v>21007</v>
      </c>
      <c r="B268" s="141" t="s">
        <v>402</v>
      </c>
      <c r="C268" s="17">
        <f t="shared" si="19"/>
        <v>332.08</v>
      </c>
      <c r="D268" s="17">
        <v>192.78</v>
      </c>
      <c r="E268" s="17">
        <v>139.3</v>
      </c>
      <c r="F268" s="17">
        <v>-42.72</v>
      </c>
      <c r="G268" s="17">
        <v>0</v>
      </c>
      <c r="H268" s="17">
        <v>0.980000000000001</v>
      </c>
      <c r="I268" s="17">
        <f t="shared" si="20"/>
        <v>-10.63</v>
      </c>
      <c r="J268" s="17">
        <f t="shared" si="21"/>
        <v>279.71</v>
      </c>
      <c r="K268" s="17">
        <v>151.04</v>
      </c>
      <c r="L268" s="17">
        <v>128.67</v>
      </c>
      <c r="M268" s="281"/>
      <c r="N268" s="81">
        <f t="shared" si="22"/>
        <v>0</v>
      </c>
    </row>
    <row r="269" s="81" customFormat="1" customHeight="1" spans="1:14">
      <c r="A269" s="155">
        <v>2100717</v>
      </c>
      <c r="B269" s="141" t="s">
        <v>403</v>
      </c>
      <c r="C269" s="17">
        <f t="shared" si="19"/>
        <v>15.72</v>
      </c>
      <c r="D269" s="17">
        <v>15.72</v>
      </c>
      <c r="E269" s="17">
        <v>0</v>
      </c>
      <c r="F269" s="17">
        <v>0</v>
      </c>
      <c r="G269" s="17">
        <v>0</v>
      </c>
      <c r="H269" s="17">
        <v>1.33226762955019e-15</v>
      </c>
      <c r="I269" s="17">
        <f t="shared" si="20"/>
        <v>0</v>
      </c>
      <c r="J269" s="17">
        <f t="shared" si="21"/>
        <v>15.72</v>
      </c>
      <c r="K269" s="17">
        <v>15.72</v>
      </c>
      <c r="L269" s="17"/>
      <c r="M269" s="329">
        <v>0</v>
      </c>
      <c r="N269" s="81">
        <f t="shared" si="22"/>
        <v>0</v>
      </c>
    </row>
    <row r="270" s="81" customFormat="1" customHeight="1" spans="1:14">
      <c r="A270" s="155">
        <v>2100799</v>
      </c>
      <c r="B270" s="141" t="s">
        <v>404</v>
      </c>
      <c r="C270" s="17">
        <f t="shared" si="19"/>
        <v>316.36</v>
      </c>
      <c r="D270" s="17">
        <v>177.06</v>
      </c>
      <c r="E270" s="17">
        <v>139.3</v>
      </c>
      <c r="F270" s="17">
        <v>-42.72</v>
      </c>
      <c r="G270" s="17">
        <v>0</v>
      </c>
      <c r="H270" s="17">
        <v>0.98</v>
      </c>
      <c r="I270" s="17">
        <f t="shared" si="20"/>
        <v>-10.63</v>
      </c>
      <c r="J270" s="17">
        <f t="shared" si="21"/>
        <v>263.99</v>
      </c>
      <c r="K270" s="17">
        <v>135.32</v>
      </c>
      <c r="L270" s="17">
        <v>128.67</v>
      </c>
      <c r="M270" s="281" t="s">
        <v>405</v>
      </c>
      <c r="N270" s="81">
        <f t="shared" si="22"/>
        <v>0</v>
      </c>
    </row>
    <row r="271" s="81" customFormat="1" customHeight="1" spans="1:14">
      <c r="A271" s="155">
        <v>21011</v>
      </c>
      <c r="B271" s="141" t="s">
        <v>406</v>
      </c>
      <c r="C271" s="17">
        <f t="shared" si="19"/>
        <v>2574.96</v>
      </c>
      <c r="D271" s="17">
        <v>2574.96</v>
      </c>
      <c r="E271" s="17">
        <v>0</v>
      </c>
      <c r="F271" s="17">
        <v>-163.11</v>
      </c>
      <c r="G271" s="17">
        <v>0</v>
      </c>
      <c r="H271" s="17">
        <v>31.91</v>
      </c>
      <c r="I271" s="17">
        <f t="shared" si="20"/>
        <v>0</v>
      </c>
      <c r="J271" s="17">
        <f t="shared" si="21"/>
        <v>2443.76</v>
      </c>
      <c r="K271" s="17">
        <v>2443.76</v>
      </c>
      <c r="L271" s="17"/>
      <c r="M271" s="329"/>
      <c r="N271" s="81">
        <f t="shared" si="22"/>
        <v>0</v>
      </c>
    </row>
    <row r="272" s="81" customFormat="1" customHeight="1" spans="1:14">
      <c r="A272" s="332">
        <v>2101101</v>
      </c>
      <c r="B272" s="331" t="s">
        <v>407</v>
      </c>
      <c r="C272" s="17">
        <f t="shared" si="19"/>
        <v>1348.89</v>
      </c>
      <c r="D272" s="17">
        <v>1348.89</v>
      </c>
      <c r="E272" s="17">
        <v>0</v>
      </c>
      <c r="F272" s="17">
        <v>-82.17</v>
      </c>
      <c r="G272" s="17">
        <v>0</v>
      </c>
      <c r="H272" s="17">
        <v>-1.54</v>
      </c>
      <c r="I272" s="17">
        <f t="shared" si="20"/>
        <v>0</v>
      </c>
      <c r="J272" s="17">
        <f t="shared" si="21"/>
        <v>1265.18</v>
      </c>
      <c r="K272" s="17">
        <v>1265.18</v>
      </c>
      <c r="L272" s="17"/>
      <c r="M272" s="329" t="s">
        <v>143</v>
      </c>
      <c r="N272" s="81">
        <f t="shared" si="22"/>
        <v>0</v>
      </c>
    </row>
    <row r="273" s="81" customFormat="1" customHeight="1" spans="1:14">
      <c r="A273" s="332">
        <v>2101102</v>
      </c>
      <c r="B273" s="331" t="s">
        <v>408</v>
      </c>
      <c r="C273" s="17">
        <f t="shared" si="19"/>
        <v>614.47</v>
      </c>
      <c r="D273" s="17">
        <v>614.47</v>
      </c>
      <c r="E273" s="17">
        <v>0</v>
      </c>
      <c r="F273" s="17">
        <v>-6.64</v>
      </c>
      <c r="G273" s="17"/>
      <c r="H273" s="17">
        <v>18.93</v>
      </c>
      <c r="I273" s="17">
        <f t="shared" si="20"/>
        <v>0</v>
      </c>
      <c r="J273" s="17">
        <f t="shared" si="21"/>
        <v>626.76</v>
      </c>
      <c r="K273" s="17">
        <v>626.76</v>
      </c>
      <c r="L273" s="17"/>
      <c r="M273" s="329" t="s">
        <v>103</v>
      </c>
      <c r="N273" s="81">
        <f t="shared" si="22"/>
        <v>0</v>
      </c>
    </row>
    <row r="274" s="81" customFormat="1" customHeight="1" spans="1:14">
      <c r="A274" s="145">
        <v>2101103</v>
      </c>
      <c r="B274" s="141" t="s">
        <v>409</v>
      </c>
      <c r="C274" s="17">
        <f t="shared" si="19"/>
        <v>457.83</v>
      </c>
      <c r="D274" s="17">
        <v>457.83</v>
      </c>
      <c r="E274" s="17">
        <v>0</v>
      </c>
      <c r="F274" s="17">
        <v>-50.53</v>
      </c>
      <c r="G274" s="17"/>
      <c r="H274" s="17">
        <v>14.52</v>
      </c>
      <c r="I274" s="17">
        <f t="shared" si="20"/>
        <v>0</v>
      </c>
      <c r="J274" s="17">
        <f t="shared" si="21"/>
        <v>421.82</v>
      </c>
      <c r="K274" s="17">
        <v>421.82</v>
      </c>
      <c r="L274" s="17"/>
      <c r="M274" s="329" t="s">
        <v>143</v>
      </c>
      <c r="N274" s="81">
        <f t="shared" si="22"/>
        <v>0</v>
      </c>
    </row>
    <row r="275" s="81" customFormat="1" customHeight="1" spans="1:14">
      <c r="A275" s="155">
        <v>2101199</v>
      </c>
      <c r="B275" s="141" t="s">
        <v>410</v>
      </c>
      <c r="C275" s="17">
        <f t="shared" si="19"/>
        <v>153.77</v>
      </c>
      <c r="D275" s="17">
        <v>153.77</v>
      </c>
      <c r="E275" s="17">
        <v>0</v>
      </c>
      <c r="F275" s="17">
        <v>-23.77</v>
      </c>
      <c r="G275" s="17">
        <v>0</v>
      </c>
      <c r="H275" s="17">
        <v>0</v>
      </c>
      <c r="I275" s="17">
        <f t="shared" si="20"/>
        <v>0</v>
      </c>
      <c r="J275" s="17">
        <f t="shared" si="21"/>
        <v>130</v>
      </c>
      <c r="K275" s="17">
        <v>130</v>
      </c>
      <c r="L275" s="17"/>
      <c r="M275" s="329" t="s">
        <v>411</v>
      </c>
      <c r="N275" s="81">
        <f t="shared" si="22"/>
        <v>0</v>
      </c>
    </row>
    <row r="276" s="81" customFormat="1" customHeight="1" spans="1:14">
      <c r="A276" s="155">
        <v>21012</v>
      </c>
      <c r="B276" s="141" t="s">
        <v>412</v>
      </c>
      <c r="C276" s="17">
        <f t="shared" si="19"/>
        <v>13450.42</v>
      </c>
      <c r="D276" s="17">
        <v>840.42</v>
      </c>
      <c r="E276" s="17">
        <v>12610</v>
      </c>
      <c r="F276" s="17">
        <v>-26.68</v>
      </c>
      <c r="G276" s="17">
        <v>0</v>
      </c>
      <c r="H276" s="17">
        <v>0</v>
      </c>
      <c r="I276" s="17">
        <f t="shared" si="20"/>
        <v>245.4827</v>
      </c>
      <c r="J276" s="17">
        <f t="shared" si="21"/>
        <v>13669.2227</v>
      </c>
      <c r="K276" s="17">
        <v>813.74</v>
      </c>
      <c r="L276" s="17">
        <f>12855.1566+0.3261</f>
        <v>12855.4827</v>
      </c>
      <c r="M276" s="281"/>
      <c r="N276" s="81">
        <f t="shared" si="22"/>
        <v>0</v>
      </c>
    </row>
    <row r="277" s="81" customFormat="1" customHeight="1" spans="1:14">
      <c r="A277" s="155">
        <v>2101201</v>
      </c>
      <c r="B277" s="178" t="s">
        <v>413</v>
      </c>
      <c r="C277" s="17">
        <f t="shared" si="19"/>
        <v>0.08</v>
      </c>
      <c r="D277" s="17">
        <v>0.08</v>
      </c>
      <c r="E277" s="17">
        <v>0</v>
      </c>
      <c r="F277" s="17">
        <v>0.31</v>
      </c>
      <c r="G277" s="17">
        <v>0</v>
      </c>
      <c r="H277" s="17">
        <v>0</v>
      </c>
      <c r="I277" s="17">
        <f t="shared" si="20"/>
        <v>2.5759</v>
      </c>
      <c r="J277" s="17">
        <f t="shared" si="21"/>
        <v>2.9659</v>
      </c>
      <c r="K277" s="17">
        <v>0.39</v>
      </c>
      <c r="L277" s="17">
        <f>2.2498+0.3261</f>
        <v>2.5759</v>
      </c>
      <c r="M277" s="329" t="s">
        <v>414</v>
      </c>
      <c r="N277" s="81">
        <f t="shared" si="22"/>
        <v>0</v>
      </c>
    </row>
    <row r="278" s="81" customFormat="1" customHeight="1" spans="1:14">
      <c r="A278" s="155">
        <v>2101202</v>
      </c>
      <c r="B278" s="141" t="s">
        <v>415</v>
      </c>
      <c r="C278" s="17">
        <f t="shared" si="19"/>
        <v>13450.34</v>
      </c>
      <c r="D278" s="17">
        <v>840.34</v>
      </c>
      <c r="E278" s="17">
        <v>12610</v>
      </c>
      <c r="F278" s="17">
        <v>-26.99</v>
      </c>
      <c r="G278" s="17">
        <v>0</v>
      </c>
      <c r="H278" s="17">
        <v>0</v>
      </c>
      <c r="I278" s="17">
        <f t="shared" si="20"/>
        <v>242.906800000001</v>
      </c>
      <c r="J278" s="17">
        <f t="shared" si="21"/>
        <v>13666.2568</v>
      </c>
      <c r="K278" s="17">
        <v>813.35</v>
      </c>
      <c r="L278" s="17">
        <v>12852.9068</v>
      </c>
      <c r="M278" s="329" t="s">
        <v>416</v>
      </c>
      <c r="N278" s="81">
        <f t="shared" si="22"/>
        <v>0</v>
      </c>
    </row>
    <row r="279" s="81" customFormat="1" customHeight="1" spans="1:14">
      <c r="A279" s="155">
        <v>21013</v>
      </c>
      <c r="B279" s="141" t="s">
        <v>417</v>
      </c>
      <c r="C279" s="17">
        <f t="shared" si="19"/>
        <v>1326</v>
      </c>
      <c r="D279" s="17">
        <v>0</v>
      </c>
      <c r="E279" s="17">
        <v>1326</v>
      </c>
      <c r="F279" s="17">
        <v>0</v>
      </c>
      <c r="G279" s="17">
        <v>0</v>
      </c>
      <c r="H279" s="17">
        <v>0</v>
      </c>
      <c r="I279" s="17">
        <f t="shared" si="20"/>
        <v>-13</v>
      </c>
      <c r="J279" s="17">
        <f t="shared" si="21"/>
        <v>1313</v>
      </c>
      <c r="K279" s="17">
        <v>0</v>
      </c>
      <c r="L279" s="17">
        <v>1313</v>
      </c>
      <c r="M279" s="281"/>
      <c r="N279" s="81">
        <f t="shared" si="22"/>
        <v>0</v>
      </c>
    </row>
    <row r="280" s="81" customFormat="1" customHeight="1" spans="1:14">
      <c r="A280" s="155">
        <v>2101301</v>
      </c>
      <c r="B280" s="141" t="s">
        <v>418</v>
      </c>
      <c r="C280" s="17">
        <f t="shared" si="19"/>
        <v>1326</v>
      </c>
      <c r="D280" s="17"/>
      <c r="E280" s="17">
        <v>1326</v>
      </c>
      <c r="F280" s="17"/>
      <c r="G280" s="17"/>
      <c r="H280" s="17"/>
      <c r="I280" s="17">
        <f t="shared" si="20"/>
        <v>-13</v>
      </c>
      <c r="J280" s="17">
        <f t="shared" si="21"/>
        <v>1313</v>
      </c>
      <c r="K280" s="17">
        <v>0</v>
      </c>
      <c r="L280" s="17">
        <v>1313</v>
      </c>
      <c r="M280" s="281"/>
      <c r="N280" s="81">
        <f t="shared" si="22"/>
        <v>0</v>
      </c>
    </row>
    <row r="281" s="81" customFormat="1" customHeight="1" spans="1:14">
      <c r="A281" s="155">
        <v>21014</v>
      </c>
      <c r="B281" s="141" t="s">
        <v>419</v>
      </c>
      <c r="C281" s="17">
        <f t="shared" si="19"/>
        <v>34.43</v>
      </c>
      <c r="D281" s="17">
        <v>6.43</v>
      </c>
      <c r="E281" s="17">
        <v>28</v>
      </c>
      <c r="F281" s="17">
        <v>-4.11</v>
      </c>
      <c r="G281" s="17">
        <v>0</v>
      </c>
      <c r="H281" s="17">
        <v>0</v>
      </c>
      <c r="I281" s="17">
        <f t="shared" si="20"/>
        <v>-13.8026</v>
      </c>
      <c r="J281" s="17">
        <f t="shared" si="21"/>
        <v>16.5174</v>
      </c>
      <c r="K281" s="17">
        <v>2.32</v>
      </c>
      <c r="L281" s="17">
        <v>14.1974</v>
      </c>
      <c r="M281" s="281"/>
      <c r="N281" s="81">
        <f t="shared" si="22"/>
        <v>0</v>
      </c>
    </row>
    <row r="282" s="81" customFormat="1" customHeight="1" spans="1:14">
      <c r="A282" s="155">
        <v>2101401</v>
      </c>
      <c r="B282" s="141" t="s">
        <v>420</v>
      </c>
      <c r="C282" s="17">
        <f t="shared" si="19"/>
        <v>34.43</v>
      </c>
      <c r="D282" s="17">
        <v>6.43</v>
      </c>
      <c r="E282" s="17">
        <v>28</v>
      </c>
      <c r="F282" s="17">
        <v>-4.11</v>
      </c>
      <c r="G282" s="17">
        <v>0</v>
      </c>
      <c r="H282" s="17">
        <v>0</v>
      </c>
      <c r="I282" s="17">
        <f t="shared" si="20"/>
        <v>-13.8026</v>
      </c>
      <c r="J282" s="17">
        <f t="shared" si="21"/>
        <v>16.5174</v>
      </c>
      <c r="K282" s="17">
        <v>2.32</v>
      </c>
      <c r="L282" s="17">
        <v>14.1974</v>
      </c>
      <c r="M282" s="329" t="s">
        <v>421</v>
      </c>
      <c r="N282" s="81">
        <f t="shared" si="22"/>
        <v>0</v>
      </c>
    </row>
    <row r="283" s="81" customFormat="1" customHeight="1" spans="1:14">
      <c r="A283" s="155">
        <v>21015</v>
      </c>
      <c r="B283" s="141" t="s">
        <v>422</v>
      </c>
      <c r="C283" s="17">
        <f t="shared" si="19"/>
        <v>10</v>
      </c>
      <c r="D283" s="17">
        <v>10</v>
      </c>
      <c r="E283" s="17">
        <v>0</v>
      </c>
      <c r="F283" s="17">
        <v>-10</v>
      </c>
      <c r="G283" s="17">
        <v>0</v>
      </c>
      <c r="H283" s="17">
        <v>0</v>
      </c>
      <c r="I283" s="17">
        <f t="shared" si="20"/>
        <v>0</v>
      </c>
      <c r="J283" s="17">
        <f t="shared" si="21"/>
        <v>0</v>
      </c>
      <c r="K283" s="17">
        <v>0</v>
      </c>
      <c r="L283" s="17"/>
      <c r="M283" s="281"/>
      <c r="N283" s="81">
        <f t="shared" si="22"/>
        <v>0</v>
      </c>
    </row>
    <row r="284" s="81" customFormat="1" customHeight="1" spans="1:14">
      <c r="A284" s="155">
        <v>2101504</v>
      </c>
      <c r="B284" s="141" t="s">
        <v>133</v>
      </c>
      <c r="C284" s="17">
        <f t="shared" si="19"/>
        <v>10</v>
      </c>
      <c r="D284" s="17">
        <v>10</v>
      </c>
      <c r="E284" s="17">
        <v>0</v>
      </c>
      <c r="F284" s="17">
        <v>-10</v>
      </c>
      <c r="G284" s="17">
        <v>0</v>
      </c>
      <c r="H284" s="17">
        <v>0</v>
      </c>
      <c r="I284" s="17">
        <f t="shared" si="20"/>
        <v>0</v>
      </c>
      <c r="J284" s="17">
        <f t="shared" si="21"/>
        <v>0</v>
      </c>
      <c r="K284" s="17">
        <v>0</v>
      </c>
      <c r="L284" s="17"/>
      <c r="M284" s="281" t="s">
        <v>423</v>
      </c>
      <c r="N284" s="81">
        <f t="shared" si="22"/>
        <v>0</v>
      </c>
    </row>
    <row r="285" s="81" customFormat="1" customHeight="1" spans="1:14">
      <c r="A285" s="155">
        <v>21016</v>
      </c>
      <c r="B285" s="141" t="s">
        <v>424</v>
      </c>
      <c r="C285" s="17">
        <f t="shared" si="19"/>
        <v>190.264</v>
      </c>
      <c r="D285" s="17">
        <v>155</v>
      </c>
      <c r="E285" s="17">
        <v>35.264</v>
      </c>
      <c r="F285" s="17">
        <v>-22.36</v>
      </c>
      <c r="G285" s="17">
        <v>0</v>
      </c>
      <c r="H285" s="17">
        <v>0</v>
      </c>
      <c r="I285" s="17">
        <f t="shared" si="20"/>
        <v>2</v>
      </c>
      <c r="J285" s="17">
        <f t="shared" si="21"/>
        <v>169.904</v>
      </c>
      <c r="K285" s="17">
        <v>132.64</v>
      </c>
      <c r="L285" s="17">
        <v>37.264</v>
      </c>
      <c r="M285" s="281"/>
      <c r="N285" s="81">
        <f t="shared" si="22"/>
        <v>0</v>
      </c>
    </row>
    <row r="286" s="81" customFormat="1" customHeight="1" spans="1:14">
      <c r="A286" s="155">
        <v>2101601</v>
      </c>
      <c r="B286" s="141" t="s">
        <v>424</v>
      </c>
      <c r="C286" s="17">
        <f t="shared" si="19"/>
        <v>190.264</v>
      </c>
      <c r="D286" s="17">
        <v>155</v>
      </c>
      <c r="E286" s="17">
        <v>35.264</v>
      </c>
      <c r="F286" s="17">
        <v>-22.36</v>
      </c>
      <c r="G286" s="17">
        <v>0</v>
      </c>
      <c r="H286" s="17">
        <v>0</v>
      </c>
      <c r="I286" s="17">
        <f t="shared" si="20"/>
        <v>2</v>
      </c>
      <c r="J286" s="17">
        <f t="shared" si="21"/>
        <v>169.904</v>
      </c>
      <c r="K286" s="17">
        <v>132.64</v>
      </c>
      <c r="L286" s="17">
        <v>37.264</v>
      </c>
      <c r="M286" s="281" t="s">
        <v>425</v>
      </c>
      <c r="N286" s="81">
        <f t="shared" si="22"/>
        <v>0</v>
      </c>
    </row>
    <row r="287" s="81" customFormat="1" customHeight="1" spans="1:14">
      <c r="A287" s="155">
        <v>21099</v>
      </c>
      <c r="B287" s="141" t="s">
        <v>426</v>
      </c>
      <c r="C287" s="17">
        <f t="shared" si="19"/>
        <v>211.72</v>
      </c>
      <c r="D287" s="17">
        <v>209.32</v>
      </c>
      <c r="E287" s="17">
        <v>2.4</v>
      </c>
      <c r="F287" s="17">
        <v>-21.91</v>
      </c>
      <c r="G287" s="17">
        <v>0</v>
      </c>
      <c r="H287" s="17">
        <v>-30.48</v>
      </c>
      <c r="I287" s="17">
        <f t="shared" si="20"/>
        <v>2.0452</v>
      </c>
      <c r="J287" s="17">
        <f t="shared" si="21"/>
        <v>161.3752</v>
      </c>
      <c r="K287" s="17">
        <v>156.93</v>
      </c>
      <c r="L287" s="17">
        <v>4.4452</v>
      </c>
      <c r="M287" s="329"/>
      <c r="N287" s="81">
        <f t="shared" si="22"/>
        <v>0</v>
      </c>
    </row>
    <row r="288" s="81" customFormat="1" customHeight="1" spans="1:14">
      <c r="A288" s="155">
        <v>2109999</v>
      </c>
      <c r="B288" s="141" t="s">
        <v>426</v>
      </c>
      <c r="C288" s="17">
        <f t="shared" si="19"/>
        <v>211.72</v>
      </c>
      <c r="D288" s="17">
        <v>209.32</v>
      </c>
      <c r="E288" s="17">
        <v>2.4</v>
      </c>
      <c r="F288" s="17">
        <v>-21.91</v>
      </c>
      <c r="G288" s="17">
        <v>0</v>
      </c>
      <c r="H288" s="17">
        <v>-30.48</v>
      </c>
      <c r="I288" s="17">
        <f t="shared" si="20"/>
        <v>2.0452</v>
      </c>
      <c r="J288" s="17">
        <f t="shared" si="21"/>
        <v>161.3752</v>
      </c>
      <c r="K288" s="17">
        <v>156.93</v>
      </c>
      <c r="L288" s="17">
        <v>4.4452</v>
      </c>
      <c r="M288" s="329" t="s">
        <v>427</v>
      </c>
      <c r="N288" s="81">
        <f t="shared" si="22"/>
        <v>0</v>
      </c>
    </row>
    <row r="289" s="81" customFormat="1" customHeight="1" spans="1:14">
      <c r="A289" s="155">
        <v>211</v>
      </c>
      <c r="B289" s="141" t="s">
        <v>428</v>
      </c>
      <c r="C289" s="17">
        <f t="shared" si="19"/>
        <v>5391.79</v>
      </c>
      <c r="D289" s="17">
        <v>4101.79</v>
      </c>
      <c r="E289" s="17">
        <v>1290</v>
      </c>
      <c r="F289" s="17">
        <v>-55.19</v>
      </c>
      <c r="G289" s="17">
        <v>0</v>
      </c>
      <c r="H289" s="17">
        <v>45</v>
      </c>
      <c r="I289" s="17">
        <f t="shared" si="20"/>
        <v>-3854.5684</v>
      </c>
      <c r="J289" s="17">
        <f t="shared" si="21"/>
        <v>1527.0316</v>
      </c>
      <c r="K289" s="17">
        <v>4091.6</v>
      </c>
      <c r="L289" s="17">
        <v>-2564.5684</v>
      </c>
      <c r="M289" s="329">
        <f>M290+0+M303+M294+M292+M301</f>
        <v>0</v>
      </c>
      <c r="N289" s="81">
        <f t="shared" si="22"/>
        <v>0</v>
      </c>
    </row>
    <row r="290" s="81" customFormat="1" customHeight="1" spans="1:14">
      <c r="A290" s="155">
        <v>21101</v>
      </c>
      <c r="B290" s="141" t="s">
        <v>429</v>
      </c>
      <c r="C290" s="17">
        <f t="shared" si="19"/>
        <v>0</v>
      </c>
      <c r="D290" s="17">
        <v>0</v>
      </c>
      <c r="E290" s="17">
        <v>0</v>
      </c>
      <c r="F290" s="17">
        <v>0</v>
      </c>
      <c r="G290" s="17">
        <v>0</v>
      </c>
      <c r="H290" s="17">
        <v>35</v>
      </c>
      <c r="I290" s="17">
        <f t="shared" si="20"/>
        <v>0</v>
      </c>
      <c r="J290" s="17">
        <f t="shared" si="21"/>
        <v>35</v>
      </c>
      <c r="K290" s="17">
        <v>35</v>
      </c>
      <c r="L290" s="17"/>
      <c r="M290" s="281"/>
      <c r="N290" s="81">
        <f t="shared" si="22"/>
        <v>0</v>
      </c>
    </row>
    <row r="291" s="81" customFormat="1" customHeight="1" spans="1:14">
      <c r="A291" s="155">
        <v>2110199</v>
      </c>
      <c r="B291" s="141" t="s">
        <v>430</v>
      </c>
      <c r="C291" s="17">
        <f t="shared" ref="C291:C310" si="23">D291+E291</f>
        <v>0</v>
      </c>
      <c r="D291" s="17">
        <v>0</v>
      </c>
      <c r="E291" s="17">
        <v>0</v>
      </c>
      <c r="F291" s="17">
        <v>0</v>
      </c>
      <c r="G291" s="17">
        <v>0</v>
      </c>
      <c r="H291" s="17">
        <v>35</v>
      </c>
      <c r="I291" s="17">
        <f t="shared" ref="I291:I310" si="24">L291-E291</f>
        <v>0</v>
      </c>
      <c r="J291" s="17">
        <f t="shared" ref="J291:J310" si="25">K291+L291</f>
        <v>35</v>
      </c>
      <c r="K291" s="17">
        <v>35</v>
      </c>
      <c r="L291" s="17"/>
      <c r="M291" s="329"/>
      <c r="N291" s="81">
        <f t="shared" si="22"/>
        <v>0</v>
      </c>
    </row>
    <row r="292" s="81" customFormat="1" customHeight="1" spans="1:14">
      <c r="A292" s="155">
        <v>21102</v>
      </c>
      <c r="B292" s="141" t="s">
        <v>431</v>
      </c>
      <c r="C292" s="17">
        <f t="shared" si="23"/>
        <v>76.74</v>
      </c>
      <c r="D292" s="17">
        <v>76.74</v>
      </c>
      <c r="E292" s="17">
        <v>0</v>
      </c>
      <c r="F292" s="17">
        <v>-46.74</v>
      </c>
      <c r="G292" s="17">
        <v>0</v>
      </c>
      <c r="H292" s="17">
        <v>0</v>
      </c>
      <c r="I292" s="17">
        <f t="shared" si="24"/>
        <v>0</v>
      </c>
      <c r="J292" s="17">
        <f t="shared" si="25"/>
        <v>30</v>
      </c>
      <c r="K292" s="17">
        <v>30</v>
      </c>
      <c r="L292" s="17"/>
      <c r="M292" s="281"/>
      <c r="N292" s="81">
        <f t="shared" si="22"/>
        <v>0</v>
      </c>
    </row>
    <row r="293" s="81" customFormat="1" customHeight="1" spans="1:14">
      <c r="A293" s="155">
        <v>2110299</v>
      </c>
      <c r="B293" s="141" t="s">
        <v>432</v>
      </c>
      <c r="C293" s="17">
        <f t="shared" si="23"/>
        <v>76.74</v>
      </c>
      <c r="D293" s="17">
        <v>76.74</v>
      </c>
      <c r="E293" s="17">
        <v>0</v>
      </c>
      <c r="F293" s="17">
        <v>-46.74</v>
      </c>
      <c r="G293" s="17">
        <v>0</v>
      </c>
      <c r="H293" s="17">
        <v>0</v>
      </c>
      <c r="I293" s="17">
        <f t="shared" si="24"/>
        <v>0</v>
      </c>
      <c r="J293" s="17">
        <f t="shared" si="25"/>
        <v>30</v>
      </c>
      <c r="K293" s="17">
        <v>30</v>
      </c>
      <c r="L293" s="17"/>
      <c r="M293" s="281" t="s">
        <v>433</v>
      </c>
      <c r="N293" s="81">
        <f t="shared" si="22"/>
        <v>0</v>
      </c>
    </row>
    <row r="294" s="81" customFormat="1" customHeight="1" spans="1:14">
      <c r="A294" s="155">
        <v>21103</v>
      </c>
      <c r="B294" s="141" t="s">
        <v>434</v>
      </c>
      <c r="C294" s="17">
        <f t="shared" si="23"/>
        <v>5240.83</v>
      </c>
      <c r="D294" s="17">
        <v>3950.83</v>
      </c>
      <c r="E294" s="17">
        <v>1290</v>
      </c>
      <c r="F294" s="17">
        <v>0</v>
      </c>
      <c r="G294" s="17">
        <v>0</v>
      </c>
      <c r="H294" s="17">
        <v>10</v>
      </c>
      <c r="I294" s="17">
        <f t="shared" si="24"/>
        <v>-3881</v>
      </c>
      <c r="J294" s="17">
        <f t="shared" si="25"/>
        <v>1369.83</v>
      </c>
      <c r="K294" s="17">
        <v>3960.83</v>
      </c>
      <c r="L294" s="17">
        <v>-2591</v>
      </c>
      <c r="M294" s="329"/>
      <c r="N294" s="81">
        <f t="shared" si="22"/>
        <v>0</v>
      </c>
    </row>
    <row r="295" s="81" customFormat="1" customHeight="1" spans="1:14">
      <c r="A295" s="155">
        <v>2110301</v>
      </c>
      <c r="B295" s="141" t="s">
        <v>435</v>
      </c>
      <c r="C295" s="17">
        <f t="shared" si="23"/>
        <v>0</v>
      </c>
      <c r="D295" s="17"/>
      <c r="E295" s="17"/>
      <c r="F295" s="17"/>
      <c r="G295" s="17"/>
      <c r="H295" s="17"/>
      <c r="I295" s="17">
        <f t="shared" si="24"/>
        <v>25</v>
      </c>
      <c r="J295" s="17">
        <f t="shared" si="25"/>
        <v>25</v>
      </c>
      <c r="K295" s="17">
        <v>0</v>
      </c>
      <c r="L295" s="17">
        <v>25</v>
      </c>
      <c r="M295" s="329"/>
      <c r="N295" s="81">
        <f t="shared" si="22"/>
        <v>0</v>
      </c>
    </row>
    <row r="296" s="81" customFormat="1" customHeight="1" spans="1:14">
      <c r="A296" s="145">
        <v>2110302</v>
      </c>
      <c r="B296" s="141" t="s">
        <v>436</v>
      </c>
      <c r="C296" s="17">
        <f t="shared" si="23"/>
        <v>3910.83</v>
      </c>
      <c r="D296" s="17">
        <v>3910.83</v>
      </c>
      <c r="E296" s="17">
        <v>0</v>
      </c>
      <c r="F296" s="17"/>
      <c r="G296" s="17"/>
      <c r="H296" s="17"/>
      <c r="I296" s="17">
        <f t="shared" si="24"/>
        <v>-3906</v>
      </c>
      <c r="J296" s="17">
        <f t="shared" si="25"/>
        <v>4.82999999999993</v>
      </c>
      <c r="K296" s="17">
        <v>3910.83</v>
      </c>
      <c r="L296" s="17">
        <v>-3906</v>
      </c>
      <c r="M296" s="329"/>
      <c r="N296" s="81">
        <f t="shared" si="22"/>
        <v>0</v>
      </c>
    </row>
    <row r="297" s="81" customFormat="1" customHeight="1" spans="1:14">
      <c r="A297" s="145">
        <v>2110304</v>
      </c>
      <c r="B297" s="141" t="s">
        <v>437</v>
      </c>
      <c r="C297" s="17">
        <f t="shared" si="23"/>
        <v>30</v>
      </c>
      <c r="D297" s="17">
        <v>30</v>
      </c>
      <c r="E297" s="17">
        <v>0</v>
      </c>
      <c r="F297" s="17"/>
      <c r="G297" s="17"/>
      <c r="H297" s="17"/>
      <c r="I297" s="17">
        <f t="shared" si="24"/>
        <v>0</v>
      </c>
      <c r="J297" s="17">
        <f t="shared" si="25"/>
        <v>30</v>
      </c>
      <c r="K297" s="17">
        <v>30</v>
      </c>
      <c r="L297" s="17"/>
      <c r="M297" s="329"/>
      <c r="N297" s="81">
        <f t="shared" si="22"/>
        <v>0</v>
      </c>
    </row>
    <row r="298" s="81" customFormat="1" customHeight="1" spans="1:14">
      <c r="A298" s="155">
        <v>2110399</v>
      </c>
      <c r="B298" s="141" t="s">
        <v>438</v>
      </c>
      <c r="C298" s="17">
        <f t="shared" si="23"/>
        <v>1300</v>
      </c>
      <c r="D298" s="17">
        <v>10</v>
      </c>
      <c r="E298" s="17">
        <v>1290</v>
      </c>
      <c r="F298" s="17">
        <v>0</v>
      </c>
      <c r="G298" s="17">
        <v>0</v>
      </c>
      <c r="H298" s="17">
        <v>10</v>
      </c>
      <c r="I298" s="17">
        <f t="shared" si="24"/>
        <v>0</v>
      </c>
      <c r="J298" s="17">
        <f t="shared" si="25"/>
        <v>1310</v>
      </c>
      <c r="K298" s="17">
        <v>20</v>
      </c>
      <c r="L298" s="17">
        <v>1290</v>
      </c>
      <c r="M298" s="329" t="s">
        <v>439</v>
      </c>
      <c r="N298" s="81">
        <f t="shared" si="22"/>
        <v>0</v>
      </c>
    </row>
    <row r="299" s="81" customFormat="1" customHeight="1" spans="1:14">
      <c r="A299" s="155">
        <v>21104</v>
      </c>
      <c r="B299" s="141" t="s">
        <v>440</v>
      </c>
      <c r="C299" s="17">
        <f t="shared" si="23"/>
        <v>0</v>
      </c>
      <c r="D299" s="17"/>
      <c r="E299" s="17"/>
      <c r="F299" s="17"/>
      <c r="G299" s="17"/>
      <c r="H299" s="17"/>
      <c r="I299" s="17">
        <f t="shared" si="24"/>
        <v>26.4316</v>
      </c>
      <c r="J299" s="17">
        <f t="shared" si="25"/>
        <v>26.4316</v>
      </c>
      <c r="K299" s="17">
        <v>0</v>
      </c>
      <c r="L299" s="17">
        <v>26.4316</v>
      </c>
      <c r="M299" s="329"/>
      <c r="N299" s="81">
        <f t="shared" si="22"/>
        <v>0</v>
      </c>
    </row>
    <row r="300" s="81" customFormat="1" customHeight="1" spans="1:14">
      <c r="A300" s="155">
        <v>2110402</v>
      </c>
      <c r="B300" s="141" t="s">
        <v>441</v>
      </c>
      <c r="C300" s="17">
        <f t="shared" si="23"/>
        <v>0</v>
      </c>
      <c r="D300" s="17"/>
      <c r="E300" s="17"/>
      <c r="F300" s="17"/>
      <c r="G300" s="17"/>
      <c r="H300" s="17"/>
      <c r="I300" s="17">
        <f t="shared" si="24"/>
        <v>26.4316</v>
      </c>
      <c r="J300" s="17">
        <f t="shared" si="25"/>
        <v>26.4316</v>
      </c>
      <c r="K300" s="17">
        <v>0</v>
      </c>
      <c r="L300" s="17">
        <v>26.4316</v>
      </c>
      <c r="M300" s="329"/>
      <c r="N300" s="81">
        <f t="shared" si="22"/>
        <v>0</v>
      </c>
    </row>
    <row r="301" s="81" customFormat="1" customHeight="1" spans="1:14">
      <c r="A301" s="155">
        <v>21110</v>
      </c>
      <c r="B301" s="141" t="s">
        <v>434</v>
      </c>
      <c r="C301" s="17">
        <f t="shared" si="23"/>
        <v>46.22</v>
      </c>
      <c r="D301" s="17">
        <v>46.22</v>
      </c>
      <c r="E301" s="17">
        <v>0</v>
      </c>
      <c r="F301" s="17">
        <v>-0.05</v>
      </c>
      <c r="G301" s="17">
        <v>0</v>
      </c>
      <c r="H301" s="17">
        <v>0</v>
      </c>
      <c r="I301" s="17">
        <f t="shared" si="24"/>
        <v>0</v>
      </c>
      <c r="J301" s="17">
        <f t="shared" si="25"/>
        <v>46.17</v>
      </c>
      <c r="K301" s="17">
        <v>46.17</v>
      </c>
      <c r="L301" s="17"/>
      <c r="M301" s="329"/>
      <c r="N301" s="81">
        <f t="shared" si="22"/>
        <v>0</v>
      </c>
    </row>
    <row r="302" s="81" customFormat="1" customHeight="1" spans="1:14">
      <c r="A302" s="145">
        <v>2111001</v>
      </c>
      <c r="B302" s="141" t="s">
        <v>434</v>
      </c>
      <c r="C302" s="17">
        <f t="shared" si="23"/>
        <v>46.22</v>
      </c>
      <c r="D302" s="17">
        <v>46.22</v>
      </c>
      <c r="E302" s="17">
        <v>0</v>
      </c>
      <c r="F302" s="17">
        <v>-0.05</v>
      </c>
      <c r="G302" s="17"/>
      <c r="H302" s="17"/>
      <c r="I302" s="17">
        <f t="shared" si="24"/>
        <v>0</v>
      </c>
      <c r="J302" s="17">
        <f t="shared" si="25"/>
        <v>46.17</v>
      </c>
      <c r="K302" s="17">
        <v>46.17</v>
      </c>
      <c r="L302" s="17"/>
      <c r="M302" s="281" t="s">
        <v>442</v>
      </c>
      <c r="N302" s="81">
        <f t="shared" si="22"/>
        <v>0</v>
      </c>
    </row>
    <row r="303" s="81" customFormat="1" customHeight="1" spans="1:14">
      <c r="A303" s="155">
        <v>21199</v>
      </c>
      <c r="B303" s="141" t="s">
        <v>443</v>
      </c>
      <c r="C303" s="17">
        <f t="shared" si="23"/>
        <v>28</v>
      </c>
      <c r="D303" s="17">
        <v>28</v>
      </c>
      <c r="E303" s="17">
        <v>0</v>
      </c>
      <c r="F303" s="17">
        <v>-8.4</v>
      </c>
      <c r="G303" s="17">
        <v>0</v>
      </c>
      <c r="H303" s="17">
        <v>0</v>
      </c>
      <c r="I303" s="17">
        <f t="shared" si="24"/>
        <v>0</v>
      </c>
      <c r="J303" s="17">
        <f t="shared" si="25"/>
        <v>19.6</v>
      </c>
      <c r="K303" s="17">
        <v>19.6</v>
      </c>
      <c r="L303" s="17"/>
      <c r="M303" s="329"/>
      <c r="N303" s="81">
        <f t="shared" si="22"/>
        <v>0</v>
      </c>
    </row>
    <row r="304" s="81" customFormat="1" customHeight="1" spans="1:14">
      <c r="A304" s="145">
        <v>2119999</v>
      </c>
      <c r="B304" s="141" t="s">
        <v>443</v>
      </c>
      <c r="C304" s="17">
        <f t="shared" si="23"/>
        <v>28</v>
      </c>
      <c r="D304" s="17">
        <v>28</v>
      </c>
      <c r="E304" s="17">
        <v>0</v>
      </c>
      <c r="F304" s="17">
        <v>-8.4</v>
      </c>
      <c r="G304" s="17"/>
      <c r="H304" s="17"/>
      <c r="I304" s="17">
        <f t="shared" si="24"/>
        <v>0</v>
      </c>
      <c r="J304" s="17">
        <f t="shared" si="25"/>
        <v>19.6</v>
      </c>
      <c r="K304" s="17">
        <v>19.6</v>
      </c>
      <c r="L304" s="17"/>
      <c r="M304" s="281" t="s">
        <v>444</v>
      </c>
      <c r="N304" s="81">
        <f t="shared" si="22"/>
        <v>0</v>
      </c>
    </row>
    <row r="305" s="81" customFormat="1" customHeight="1" spans="1:14">
      <c r="A305" s="155">
        <v>212</v>
      </c>
      <c r="B305" s="141" t="s">
        <v>445</v>
      </c>
      <c r="C305" s="17">
        <f t="shared" si="23"/>
        <v>29804.674</v>
      </c>
      <c r="D305" s="17">
        <v>27280.04</v>
      </c>
      <c r="E305" s="17">
        <v>2524.634</v>
      </c>
      <c r="F305" s="17">
        <v>-2423.5199</v>
      </c>
      <c r="G305" s="17">
        <v>-404</v>
      </c>
      <c r="H305" s="17">
        <v>98.422</v>
      </c>
      <c r="I305" s="17">
        <f t="shared" si="24"/>
        <v>1743.8383</v>
      </c>
      <c r="J305" s="17">
        <f t="shared" si="25"/>
        <v>28819.4144</v>
      </c>
      <c r="K305" s="17">
        <v>24550.9421</v>
      </c>
      <c r="L305" s="17">
        <f>4268.2083+0.264</f>
        <v>4268.4723</v>
      </c>
      <c r="M305" s="329"/>
      <c r="N305" s="81">
        <f t="shared" si="22"/>
        <v>0</v>
      </c>
    </row>
    <row r="306" s="81" customFormat="1" customHeight="1" spans="1:14">
      <c r="A306" s="155">
        <v>21201</v>
      </c>
      <c r="B306" s="141" t="s">
        <v>446</v>
      </c>
      <c r="C306" s="17">
        <f t="shared" si="23"/>
        <v>18055.714</v>
      </c>
      <c r="D306" s="17">
        <v>16991.08</v>
      </c>
      <c r="E306" s="17">
        <v>1064.634</v>
      </c>
      <c r="F306" s="17">
        <v>-1484.8499</v>
      </c>
      <c r="G306" s="17">
        <v>0</v>
      </c>
      <c r="H306" s="17">
        <v>88.132</v>
      </c>
      <c r="I306" s="17">
        <f t="shared" si="24"/>
        <v>1420.5796</v>
      </c>
      <c r="J306" s="17">
        <f t="shared" si="25"/>
        <v>18079.5757</v>
      </c>
      <c r="K306" s="17">
        <v>15594.3621</v>
      </c>
      <c r="L306" s="17">
        <f>2484.9496+0.264</f>
        <v>2485.2136</v>
      </c>
      <c r="M306" s="329"/>
      <c r="N306" s="81">
        <f t="shared" si="22"/>
        <v>0</v>
      </c>
    </row>
    <row r="307" s="81" customFormat="1" customHeight="1" spans="1:14">
      <c r="A307" s="155">
        <v>2120101</v>
      </c>
      <c r="B307" s="141" t="s">
        <v>102</v>
      </c>
      <c r="C307" s="17">
        <f t="shared" si="23"/>
        <v>1371.8</v>
      </c>
      <c r="D307" s="17">
        <v>1236.41</v>
      </c>
      <c r="E307" s="17">
        <v>135.39</v>
      </c>
      <c r="F307" s="17">
        <v>10.43</v>
      </c>
      <c r="G307" s="17">
        <v>0</v>
      </c>
      <c r="H307" s="17">
        <v>20.86</v>
      </c>
      <c r="I307" s="17">
        <f t="shared" si="24"/>
        <v>-135.39</v>
      </c>
      <c r="J307" s="17">
        <f t="shared" si="25"/>
        <v>1267.7</v>
      </c>
      <c r="K307" s="17">
        <v>1267.7</v>
      </c>
      <c r="L307" s="17"/>
      <c r="M307" s="329" t="s">
        <v>103</v>
      </c>
      <c r="N307" s="81">
        <f t="shared" si="22"/>
        <v>0</v>
      </c>
    </row>
    <row r="308" s="81" customFormat="1" customHeight="1" spans="1:14">
      <c r="A308" s="155">
        <v>2120104</v>
      </c>
      <c r="B308" s="141" t="s">
        <v>447</v>
      </c>
      <c r="C308" s="17">
        <f t="shared" si="23"/>
        <v>155.59</v>
      </c>
      <c r="D308" s="17">
        <v>155.59</v>
      </c>
      <c r="E308" s="17">
        <v>0</v>
      </c>
      <c r="F308" s="17">
        <v>-54.59</v>
      </c>
      <c r="G308" s="17">
        <v>0</v>
      </c>
      <c r="H308" s="17">
        <v>10</v>
      </c>
      <c r="I308" s="17">
        <f t="shared" si="24"/>
        <v>0</v>
      </c>
      <c r="J308" s="17">
        <f t="shared" si="25"/>
        <v>111</v>
      </c>
      <c r="K308" s="17">
        <v>111</v>
      </c>
      <c r="L308" s="17"/>
      <c r="M308" s="329" t="s">
        <v>448</v>
      </c>
      <c r="N308" s="81">
        <f t="shared" si="22"/>
        <v>0</v>
      </c>
    </row>
    <row r="309" s="81" customFormat="1" customHeight="1" spans="1:14">
      <c r="A309" s="155">
        <v>2120106</v>
      </c>
      <c r="B309" s="141" t="s">
        <v>449</v>
      </c>
      <c r="C309" s="17">
        <f t="shared" si="23"/>
        <v>168.88</v>
      </c>
      <c r="D309" s="17">
        <v>168.88</v>
      </c>
      <c r="E309" s="17">
        <v>0</v>
      </c>
      <c r="F309" s="17">
        <v>-8.22</v>
      </c>
      <c r="G309" s="17">
        <v>0</v>
      </c>
      <c r="H309" s="17">
        <v>0</v>
      </c>
      <c r="I309" s="17">
        <f t="shared" si="24"/>
        <v>0</v>
      </c>
      <c r="J309" s="17">
        <f t="shared" si="25"/>
        <v>160.66</v>
      </c>
      <c r="K309" s="17">
        <v>160.66</v>
      </c>
      <c r="L309" s="17"/>
      <c r="M309" s="281" t="s">
        <v>450</v>
      </c>
      <c r="N309" s="81">
        <f t="shared" si="22"/>
        <v>0</v>
      </c>
    </row>
    <row r="310" s="81" customFormat="1" customHeight="1" spans="1:14">
      <c r="A310" s="155">
        <v>2120199</v>
      </c>
      <c r="B310" s="141" t="s">
        <v>451</v>
      </c>
      <c r="C310" s="17">
        <f t="shared" si="23"/>
        <v>16359.444</v>
      </c>
      <c r="D310" s="17">
        <v>15430.2</v>
      </c>
      <c r="E310" s="17">
        <v>929.244</v>
      </c>
      <c r="F310" s="17">
        <v>-1432.4699</v>
      </c>
      <c r="G310" s="17">
        <v>0</v>
      </c>
      <c r="H310" s="17">
        <v>57.272</v>
      </c>
      <c r="I310" s="17">
        <f t="shared" si="24"/>
        <v>1555.9696</v>
      </c>
      <c r="J310" s="17">
        <f t="shared" si="25"/>
        <v>16540.2157</v>
      </c>
      <c r="K310" s="17">
        <v>14055.0021</v>
      </c>
      <c r="L310" s="17">
        <f>2484.9496+0.264</f>
        <v>2485.2136</v>
      </c>
      <c r="M310" s="329" t="s">
        <v>452</v>
      </c>
      <c r="N310" s="81">
        <f t="shared" si="22"/>
        <v>0</v>
      </c>
    </row>
    <row r="311" s="81" customFormat="1" customHeight="1" spans="1:14">
      <c r="A311" s="155">
        <v>21203</v>
      </c>
      <c r="B311" s="141" t="s">
        <v>453</v>
      </c>
      <c r="C311" s="17">
        <f t="shared" ref="C311:C374" si="26">D311+E311</f>
        <v>8359.73</v>
      </c>
      <c r="D311" s="17">
        <v>7810.73</v>
      </c>
      <c r="E311" s="17">
        <v>549</v>
      </c>
      <c r="F311" s="17">
        <v>270</v>
      </c>
      <c r="G311" s="17">
        <v>-404</v>
      </c>
      <c r="H311" s="17">
        <v>0</v>
      </c>
      <c r="I311" s="17">
        <f t="shared" ref="I311:I375" si="27">L311-E311</f>
        <v>1340.4987</v>
      </c>
      <c r="J311" s="17">
        <f t="shared" ref="J311:J374" si="28">K311+L311</f>
        <v>9566.2287</v>
      </c>
      <c r="K311" s="17">
        <v>7676.73</v>
      </c>
      <c r="L311" s="17">
        <v>1889.4987</v>
      </c>
      <c r="M311" s="281"/>
      <c r="N311" s="81">
        <f t="shared" si="22"/>
        <v>0</v>
      </c>
    </row>
    <row r="312" s="81" customFormat="1" customHeight="1" spans="1:14">
      <c r="A312" s="155">
        <v>2120399</v>
      </c>
      <c r="B312" s="141" t="s">
        <v>454</v>
      </c>
      <c r="C312" s="17">
        <f t="shared" si="26"/>
        <v>8359.73</v>
      </c>
      <c r="D312" s="17">
        <v>7810.73</v>
      </c>
      <c r="E312" s="17">
        <v>549</v>
      </c>
      <c r="F312" s="17">
        <v>270</v>
      </c>
      <c r="G312" s="17">
        <v>-404</v>
      </c>
      <c r="H312" s="17">
        <v>0</v>
      </c>
      <c r="I312" s="17">
        <f t="shared" si="27"/>
        <v>1340.4987</v>
      </c>
      <c r="J312" s="17">
        <f t="shared" si="28"/>
        <v>9566.2287</v>
      </c>
      <c r="K312" s="17">
        <v>7676.73</v>
      </c>
      <c r="L312" s="17">
        <v>1889.4987</v>
      </c>
      <c r="M312" s="329" t="s">
        <v>455</v>
      </c>
      <c r="N312" s="81">
        <f t="shared" si="22"/>
        <v>0</v>
      </c>
    </row>
    <row r="313" s="81" customFormat="1" customHeight="1" spans="1:14">
      <c r="A313" s="155">
        <v>21205</v>
      </c>
      <c r="B313" s="141" t="s">
        <v>436</v>
      </c>
      <c r="C313" s="17">
        <f t="shared" si="26"/>
        <v>1821.23</v>
      </c>
      <c r="D313" s="17">
        <v>970.23</v>
      </c>
      <c r="E313" s="17">
        <v>851</v>
      </c>
      <c r="F313" s="17">
        <v>-112.67</v>
      </c>
      <c r="G313" s="17">
        <v>0</v>
      </c>
      <c r="H313" s="17">
        <v>10.29</v>
      </c>
      <c r="I313" s="17">
        <f t="shared" si="27"/>
        <v>-591.24</v>
      </c>
      <c r="J313" s="17">
        <f t="shared" si="28"/>
        <v>1127.61</v>
      </c>
      <c r="K313" s="17">
        <v>867.85</v>
      </c>
      <c r="L313" s="17">
        <v>259.76</v>
      </c>
      <c r="M313" s="329"/>
      <c r="N313" s="81">
        <f t="shared" si="22"/>
        <v>0</v>
      </c>
    </row>
    <row r="314" s="81" customFormat="1" customHeight="1" spans="1:14">
      <c r="A314" s="155">
        <v>2120501</v>
      </c>
      <c r="B314" s="141" t="s">
        <v>436</v>
      </c>
      <c r="C314" s="17">
        <f t="shared" si="26"/>
        <v>1821.23</v>
      </c>
      <c r="D314" s="17">
        <v>970.23</v>
      </c>
      <c r="E314" s="17">
        <v>851</v>
      </c>
      <c r="F314" s="17">
        <v>-112.67</v>
      </c>
      <c r="G314" s="17">
        <v>0</v>
      </c>
      <c r="H314" s="17">
        <v>10.29</v>
      </c>
      <c r="I314" s="17">
        <f t="shared" si="27"/>
        <v>-591.24</v>
      </c>
      <c r="J314" s="17">
        <f t="shared" si="28"/>
        <v>1127.61</v>
      </c>
      <c r="K314" s="17">
        <v>867.85</v>
      </c>
      <c r="L314" s="17">
        <v>259.76</v>
      </c>
      <c r="M314" s="329" t="s">
        <v>456</v>
      </c>
      <c r="N314" s="81">
        <f t="shared" si="22"/>
        <v>0</v>
      </c>
    </row>
    <row r="315" s="81" customFormat="1" customHeight="1" spans="1:14">
      <c r="A315" s="155">
        <v>21299</v>
      </c>
      <c r="B315" s="141" t="s">
        <v>457</v>
      </c>
      <c r="C315" s="17">
        <f t="shared" si="26"/>
        <v>1568</v>
      </c>
      <c r="D315" s="17">
        <v>1508</v>
      </c>
      <c r="E315" s="17">
        <v>60</v>
      </c>
      <c r="F315" s="17">
        <v>-1096</v>
      </c>
      <c r="G315" s="17">
        <v>0</v>
      </c>
      <c r="H315" s="17">
        <v>0</v>
      </c>
      <c r="I315" s="17">
        <f t="shared" si="27"/>
        <v>-426</v>
      </c>
      <c r="J315" s="17">
        <f t="shared" si="28"/>
        <v>46</v>
      </c>
      <c r="K315" s="17">
        <v>412</v>
      </c>
      <c r="L315" s="17">
        <v>-366</v>
      </c>
      <c r="M315" s="329"/>
      <c r="N315" s="81">
        <f t="shared" si="22"/>
        <v>0</v>
      </c>
    </row>
    <row r="316" s="81" customFormat="1" customHeight="1" spans="1:14">
      <c r="A316" s="155">
        <v>2129999</v>
      </c>
      <c r="B316" s="141" t="s">
        <v>457</v>
      </c>
      <c r="C316" s="17">
        <f t="shared" si="26"/>
        <v>1568</v>
      </c>
      <c r="D316" s="17">
        <v>1508</v>
      </c>
      <c r="E316" s="17">
        <v>60</v>
      </c>
      <c r="F316" s="17">
        <v>-1096</v>
      </c>
      <c r="G316" s="17">
        <v>0</v>
      </c>
      <c r="H316" s="17">
        <v>0</v>
      </c>
      <c r="I316" s="17">
        <f t="shared" si="27"/>
        <v>-426</v>
      </c>
      <c r="J316" s="17">
        <f t="shared" si="28"/>
        <v>46</v>
      </c>
      <c r="K316" s="17">
        <v>412</v>
      </c>
      <c r="L316" s="17">
        <v>-366</v>
      </c>
      <c r="M316" s="329" t="s">
        <v>458</v>
      </c>
      <c r="N316" s="81">
        <f t="shared" si="22"/>
        <v>0</v>
      </c>
    </row>
    <row r="317" s="81" customFormat="1" customHeight="1" spans="1:14">
      <c r="A317" s="155">
        <v>213</v>
      </c>
      <c r="B317" s="141" t="s">
        <v>459</v>
      </c>
      <c r="C317" s="17">
        <f t="shared" si="26"/>
        <v>10680.3885381</v>
      </c>
      <c r="D317" s="17">
        <v>9114.9483381</v>
      </c>
      <c r="E317" s="17">
        <v>1565.4402</v>
      </c>
      <c r="F317" s="17">
        <f>F318+F332+F339+F348+F351+F355+F358</f>
        <v>-4251.2911021</v>
      </c>
      <c r="G317" s="17">
        <v>-42</v>
      </c>
      <c r="H317" s="17">
        <v>157.990912</v>
      </c>
      <c r="I317" s="17">
        <f t="shared" si="27"/>
        <v>-384.68432</v>
      </c>
      <c r="J317" s="17">
        <f t="shared" si="28"/>
        <v>6160.404028</v>
      </c>
      <c r="K317" s="17">
        <v>4979.648148</v>
      </c>
      <c r="L317" s="17">
        <v>1180.75588</v>
      </c>
      <c r="M317" s="329"/>
      <c r="N317" s="81">
        <f t="shared" si="22"/>
        <v>0</v>
      </c>
    </row>
    <row r="318" s="81" customFormat="1" customHeight="1" spans="1:14">
      <c r="A318" s="155">
        <v>21301</v>
      </c>
      <c r="B318" s="141" t="s">
        <v>460</v>
      </c>
      <c r="C318" s="17">
        <f t="shared" si="26"/>
        <v>3930.10261</v>
      </c>
      <c r="D318" s="17">
        <v>3615.36441</v>
      </c>
      <c r="E318" s="17">
        <v>314.7382</v>
      </c>
      <c r="F318" s="17">
        <v>-1843.948108</v>
      </c>
      <c r="G318" s="17">
        <v>0</v>
      </c>
      <c r="H318" s="17">
        <v>1020.315592</v>
      </c>
      <c r="I318" s="17">
        <v>-232.3926</v>
      </c>
      <c r="J318" s="17">
        <f t="shared" si="28"/>
        <v>2874.077494</v>
      </c>
      <c r="K318" s="17">
        <v>2791.731894</v>
      </c>
      <c r="L318" s="17">
        <v>82.3456</v>
      </c>
      <c r="M318" s="329"/>
      <c r="N318" s="81">
        <f t="shared" si="22"/>
        <v>0</v>
      </c>
    </row>
    <row r="319" s="81" customFormat="1" customHeight="1" spans="1:14">
      <c r="A319" s="155">
        <v>2130101</v>
      </c>
      <c r="B319" s="141" t="s">
        <v>102</v>
      </c>
      <c r="C319" s="17">
        <f t="shared" si="26"/>
        <v>819.69</v>
      </c>
      <c r="D319" s="17">
        <v>819.69</v>
      </c>
      <c r="E319" s="17">
        <v>0</v>
      </c>
      <c r="F319" s="17">
        <v>0</v>
      </c>
      <c r="G319" s="17">
        <v>0</v>
      </c>
      <c r="H319" s="17">
        <v>0</v>
      </c>
      <c r="I319" s="17">
        <f t="shared" si="27"/>
        <v>0</v>
      </c>
      <c r="J319" s="17">
        <f t="shared" si="28"/>
        <v>819.69</v>
      </c>
      <c r="K319" s="17">
        <v>819.69</v>
      </c>
      <c r="L319" s="17"/>
      <c r="M319" s="329"/>
      <c r="N319" s="81">
        <f t="shared" si="22"/>
        <v>0</v>
      </c>
    </row>
    <row r="320" s="81" customFormat="1" customHeight="1" spans="1:14">
      <c r="A320" s="155">
        <v>2130104</v>
      </c>
      <c r="B320" s="141" t="s">
        <v>129</v>
      </c>
      <c r="C320" s="17">
        <f t="shared" si="26"/>
        <v>424.73</v>
      </c>
      <c r="D320" s="17">
        <v>424.73</v>
      </c>
      <c r="E320" s="17">
        <v>0</v>
      </c>
      <c r="F320" s="17">
        <v>0</v>
      </c>
      <c r="G320" s="17">
        <v>0</v>
      </c>
      <c r="H320" s="17">
        <v>1.23</v>
      </c>
      <c r="I320" s="17">
        <f t="shared" si="27"/>
        <v>0</v>
      </c>
      <c r="J320" s="17">
        <f t="shared" si="28"/>
        <v>425.96</v>
      </c>
      <c r="K320" s="17">
        <v>425.96</v>
      </c>
      <c r="L320" s="17"/>
      <c r="M320" s="329"/>
      <c r="N320" s="81">
        <f t="shared" si="22"/>
        <v>0</v>
      </c>
    </row>
    <row r="321" s="81" customFormat="1" customHeight="1" spans="1:14">
      <c r="A321" s="155">
        <v>2130106</v>
      </c>
      <c r="B321" s="141" t="s">
        <v>461</v>
      </c>
      <c r="C321" s="17">
        <f t="shared" si="26"/>
        <v>2</v>
      </c>
      <c r="D321" s="17">
        <v>2</v>
      </c>
      <c r="E321" s="17">
        <v>0</v>
      </c>
      <c r="F321" s="17">
        <v>0</v>
      </c>
      <c r="G321" s="17">
        <v>0</v>
      </c>
      <c r="H321" s="17">
        <v>0</v>
      </c>
      <c r="I321" s="17">
        <f t="shared" si="27"/>
        <v>0</v>
      </c>
      <c r="J321" s="17">
        <f t="shared" si="28"/>
        <v>2</v>
      </c>
      <c r="K321" s="17">
        <v>2</v>
      </c>
      <c r="L321" s="17"/>
      <c r="M321" s="329"/>
      <c r="N321" s="81">
        <f t="shared" si="22"/>
        <v>0</v>
      </c>
    </row>
    <row r="322" s="81" customFormat="1" customHeight="1" spans="1:14">
      <c r="A322" s="155">
        <v>2130108</v>
      </c>
      <c r="B322" s="141" t="s">
        <v>462</v>
      </c>
      <c r="C322" s="17">
        <f t="shared" si="26"/>
        <v>49.1</v>
      </c>
      <c r="D322" s="17">
        <v>30.7</v>
      </c>
      <c r="E322" s="17">
        <v>18.4</v>
      </c>
      <c r="F322" s="17">
        <v>-8</v>
      </c>
      <c r="G322" s="17">
        <v>0</v>
      </c>
      <c r="H322" s="17">
        <v>5</v>
      </c>
      <c r="I322" s="17">
        <f t="shared" si="27"/>
        <v>-4.9</v>
      </c>
      <c r="J322" s="17">
        <f t="shared" si="28"/>
        <v>41.2</v>
      </c>
      <c r="K322" s="17">
        <v>27.7</v>
      </c>
      <c r="L322" s="17">
        <v>13.5</v>
      </c>
      <c r="M322" s="281" t="s">
        <v>463</v>
      </c>
      <c r="N322" s="81">
        <f t="shared" si="22"/>
        <v>0</v>
      </c>
    </row>
    <row r="323" s="81" customFormat="1" customHeight="1" spans="1:14">
      <c r="A323" s="155">
        <v>2130109</v>
      </c>
      <c r="B323" s="141" t="s">
        <v>464</v>
      </c>
      <c r="C323" s="17">
        <f t="shared" si="26"/>
        <v>66</v>
      </c>
      <c r="D323" s="17">
        <v>21</v>
      </c>
      <c r="E323" s="17">
        <v>45</v>
      </c>
      <c r="F323" s="17">
        <v>-8</v>
      </c>
      <c r="G323" s="17">
        <v>0</v>
      </c>
      <c r="H323" s="17">
        <v>25.38</v>
      </c>
      <c r="I323" s="17">
        <f t="shared" si="27"/>
        <v>-24.5</v>
      </c>
      <c r="J323" s="17">
        <f t="shared" si="28"/>
        <v>58.88</v>
      </c>
      <c r="K323" s="17">
        <v>38.38</v>
      </c>
      <c r="L323" s="17">
        <v>20.5</v>
      </c>
      <c r="M323" s="329" t="s">
        <v>465</v>
      </c>
      <c r="N323" s="81">
        <f t="shared" si="22"/>
        <v>0</v>
      </c>
    </row>
    <row r="324" s="81" customFormat="1" customHeight="1" spans="1:14">
      <c r="A324" s="155">
        <v>2130110</v>
      </c>
      <c r="B324" s="141" t="s">
        <v>466</v>
      </c>
      <c r="C324" s="17">
        <f t="shared" si="26"/>
        <v>121.42</v>
      </c>
      <c r="D324" s="17">
        <v>121.42</v>
      </c>
      <c r="E324" s="17">
        <v>0</v>
      </c>
      <c r="F324" s="17">
        <v>-32.898108</v>
      </c>
      <c r="G324" s="17">
        <v>0</v>
      </c>
      <c r="H324" s="17">
        <v>6.08</v>
      </c>
      <c r="I324" s="17">
        <f t="shared" si="27"/>
        <v>0</v>
      </c>
      <c r="J324" s="17">
        <f t="shared" si="28"/>
        <v>94.601892</v>
      </c>
      <c r="K324" s="17">
        <v>94.601892</v>
      </c>
      <c r="L324" s="17"/>
      <c r="M324" s="281" t="s">
        <v>467</v>
      </c>
      <c r="N324" s="81">
        <f t="shared" si="22"/>
        <v>0</v>
      </c>
    </row>
    <row r="325" s="81" customFormat="1" customHeight="1" spans="1:14">
      <c r="A325" s="155">
        <v>2130119</v>
      </c>
      <c r="B325" s="141" t="s">
        <v>468</v>
      </c>
      <c r="C325" s="17">
        <f t="shared" si="26"/>
        <v>25.2</v>
      </c>
      <c r="D325" s="17">
        <v>25.2</v>
      </c>
      <c r="E325" s="17">
        <v>0</v>
      </c>
      <c r="F325" s="17">
        <v>3.5</v>
      </c>
      <c r="G325" s="17">
        <v>0</v>
      </c>
      <c r="H325" s="17">
        <v>0</v>
      </c>
      <c r="I325" s="17">
        <f t="shared" si="27"/>
        <v>0</v>
      </c>
      <c r="J325" s="17">
        <f t="shared" si="28"/>
        <v>28.7</v>
      </c>
      <c r="K325" s="17">
        <v>28.7</v>
      </c>
      <c r="L325" s="17"/>
      <c r="M325" s="329" t="s">
        <v>469</v>
      </c>
      <c r="N325" s="81">
        <f t="shared" si="22"/>
        <v>0</v>
      </c>
    </row>
    <row r="326" s="81" customFormat="1" customHeight="1" spans="1:14">
      <c r="A326" s="155">
        <v>2130122</v>
      </c>
      <c r="B326" s="141" t="s">
        <v>470</v>
      </c>
      <c r="C326" s="17">
        <f t="shared" si="26"/>
        <v>137.13</v>
      </c>
      <c r="D326" s="17">
        <v>135.13</v>
      </c>
      <c r="E326" s="17">
        <v>2</v>
      </c>
      <c r="F326" s="17">
        <v>-81.02</v>
      </c>
      <c r="G326" s="17">
        <v>0</v>
      </c>
      <c r="H326" s="17">
        <v>18.7</v>
      </c>
      <c r="I326" s="17">
        <f t="shared" si="27"/>
        <v>2</v>
      </c>
      <c r="J326" s="17">
        <f t="shared" si="28"/>
        <v>76.81</v>
      </c>
      <c r="K326" s="17">
        <v>72.81</v>
      </c>
      <c r="L326" s="17">
        <v>4</v>
      </c>
      <c r="M326" s="329" t="s">
        <v>471</v>
      </c>
      <c r="N326" s="81">
        <f t="shared" si="22"/>
        <v>0</v>
      </c>
    </row>
    <row r="327" s="81" customFormat="1" customHeight="1" spans="1:14">
      <c r="A327" s="155">
        <v>2130135</v>
      </c>
      <c r="B327" s="141" t="s">
        <v>472</v>
      </c>
      <c r="C327" s="17">
        <f t="shared" si="26"/>
        <v>32.42</v>
      </c>
      <c r="D327" s="17">
        <v>32.42</v>
      </c>
      <c r="E327" s="17">
        <v>0</v>
      </c>
      <c r="F327" s="17">
        <v>-22</v>
      </c>
      <c r="G327" s="17">
        <v>0</v>
      </c>
      <c r="H327" s="17">
        <v>-0.42</v>
      </c>
      <c r="I327" s="17">
        <f t="shared" si="27"/>
        <v>0</v>
      </c>
      <c r="J327" s="17">
        <f t="shared" si="28"/>
        <v>10</v>
      </c>
      <c r="K327" s="17">
        <v>10</v>
      </c>
      <c r="L327" s="17"/>
      <c r="M327" s="281" t="s">
        <v>473</v>
      </c>
      <c r="N327" s="81">
        <f t="shared" ref="N327:N390" si="29">E327+I327-L327</f>
        <v>0</v>
      </c>
    </row>
    <row r="328" s="81" customFormat="1" customHeight="1" spans="1:14">
      <c r="A328" s="145">
        <v>2130142</v>
      </c>
      <c r="B328" s="141" t="s">
        <v>474</v>
      </c>
      <c r="C328" s="17">
        <f t="shared" si="26"/>
        <v>9</v>
      </c>
      <c r="D328" s="17">
        <v>0</v>
      </c>
      <c r="E328" s="17">
        <v>9</v>
      </c>
      <c r="F328" s="17"/>
      <c r="G328" s="17"/>
      <c r="H328" s="17">
        <v>150.48</v>
      </c>
      <c r="I328" s="17">
        <f t="shared" si="27"/>
        <v>6.9036</v>
      </c>
      <c r="J328" s="17">
        <f t="shared" si="28"/>
        <v>166.3836</v>
      </c>
      <c r="K328" s="17">
        <v>150.48</v>
      </c>
      <c r="L328" s="17">
        <v>15.9036</v>
      </c>
      <c r="M328" s="329" t="s">
        <v>360</v>
      </c>
      <c r="N328" s="81">
        <f t="shared" si="29"/>
        <v>0</v>
      </c>
    </row>
    <row r="329" s="81" customFormat="1" customHeight="1" spans="1:14">
      <c r="A329" s="155">
        <v>2130148</v>
      </c>
      <c r="B329" s="141" t="s">
        <v>475</v>
      </c>
      <c r="C329" s="17">
        <f t="shared" si="26"/>
        <v>654.14121</v>
      </c>
      <c r="D329" s="17">
        <v>527.69121</v>
      </c>
      <c r="E329" s="17">
        <v>126.45</v>
      </c>
      <c r="F329" s="17">
        <v>-298.21</v>
      </c>
      <c r="G329" s="17">
        <v>0</v>
      </c>
      <c r="H329" s="17">
        <v>0</v>
      </c>
      <c r="I329" s="17">
        <f t="shared" si="27"/>
        <v>-126.45</v>
      </c>
      <c r="J329" s="17">
        <f t="shared" si="28"/>
        <v>229.48121</v>
      </c>
      <c r="K329" s="17">
        <v>229.48121</v>
      </c>
      <c r="L329" s="17">
        <v>0</v>
      </c>
      <c r="M329" s="329" t="s">
        <v>476</v>
      </c>
      <c r="N329" s="81">
        <f t="shared" si="29"/>
        <v>0</v>
      </c>
    </row>
    <row r="330" s="81" customFormat="1" customHeight="1" spans="1:14">
      <c r="A330" s="155">
        <v>2130153</v>
      </c>
      <c r="B330" s="141" t="s">
        <v>477</v>
      </c>
      <c r="C330" s="17">
        <f t="shared" si="26"/>
        <v>155.15</v>
      </c>
      <c r="D330" s="17">
        <v>155.15</v>
      </c>
      <c r="E330" s="17">
        <v>0</v>
      </c>
      <c r="F330" s="17">
        <v>-283.19</v>
      </c>
      <c r="G330" s="17">
        <v>0</v>
      </c>
      <c r="H330" s="17">
        <v>196.6</v>
      </c>
      <c r="I330" s="17">
        <f t="shared" si="27"/>
        <v>0</v>
      </c>
      <c r="J330" s="17">
        <f t="shared" si="28"/>
        <v>68.56</v>
      </c>
      <c r="K330" s="17">
        <v>68.56</v>
      </c>
      <c r="L330" s="17"/>
      <c r="M330" s="281" t="s">
        <v>478</v>
      </c>
      <c r="N330" s="81">
        <f t="shared" si="29"/>
        <v>0</v>
      </c>
    </row>
    <row r="331" s="81" customFormat="1" customHeight="1" spans="1:14">
      <c r="A331" s="155">
        <v>2130199</v>
      </c>
      <c r="B331" s="141" t="s">
        <v>479</v>
      </c>
      <c r="C331" s="17">
        <f t="shared" si="26"/>
        <v>1434.1214</v>
      </c>
      <c r="D331" s="17">
        <v>1320.2332</v>
      </c>
      <c r="E331" s="17">
        <v>113.8882</v>
      </c>
      <c r="F331" s="17">
        <v>-1114.13</v>
      </c>
      <c r="G331" s="17">
        <v>0</v>
      </c>
      <c r="H331" s="17">
        <v>617.265592</v>
      </c>
      <c r="I331" s="17">
        <f t="shared" si="27"/>
        <v>-85.4462</v>
      </c>
      <c r="J331" s="17">
        <f t="shared" si="28"/>
        <v>851.810792</v>
      </c>
      <c r="K331" s="17">
        <v>823.368792</v>
      </c>
      <c r="L331" s="17">
        <v>28.442</v>
      </c>
      <c r="M331" s="281" t="s">
        <v>480</v>
      </c>
      <c r="N331" s="81">
        <f t="shared" si="29"/>
        <v>0</v>
      </c>
    </row>
    <row r="332" s="81" customFormat="1" customHeight="1" spans="1:14">
      <c r="A332" s="155">
        <v>21302</v>
      </c>
      <c r="B332" s="141" t="s">
        <v>481</v>
      </c>
      <c r="C332" s="17">
        <f t="shared" si="26"/>
        <v>613.61</v>
      </c>
      <c r="D332" s="17">
        <v>121.9</v>
      </c>
      <c r="E332" s="17">
        <v>491.71</v>
      </c>
      <c r="F332" s="17">
        <v>-251.994</v>
      </c>
      <c r="G332" s="17">
        <v>0</v>
      </c>
      <c r="H332" s="17">
        <v>413.8752</v>
      </c>
      <c r="I332" s="17">
        <f t="shared" si="27"/>
        <v>-32.49</v>
      </c>
      <c r="J332" s="17">
        <f t="shared" si="28"/>
        <v>743.0012</v>
      </c>
      <c r="K332" s="17">
        <v>283.7812</v>
      </c>
      <c r="L332" s="17">
        <v>459.22</v>
      </c>
      <c r="M332" s="329">
        <v>0</v>
      </c>
      <c r="N332" s="81">
        <f t="shared" si="29"/>
        <v>0</v>
      </c>
    </row>
    <row r="333" s="81" customFormat="1" customHeight="1" spans="1:14">
      <c r="A333" s="145">
        <v>2130205</v>
      </c>
      <c r="B333" s="141" t="s">
        <v>482</v>
      </c>
      <c r="C333" s="17">
        <f t="shared" si="26"/>
        <v>128</v>
      </c>
      <c r="D333" s="17">
        <v>15</v>
      </c>
      <c r="E333" s="17">
        <v>113</v>
      </c>
      <c r="F333" s="17">
        <v>-29.31</v>
      </c>
      <c r="G333" s="17"/>
      <c r="H333" s="17">
        <v>116.87</v>
      </c>
      <c r="I333" s="17">
        <f t="shared" si="27"/>
        <v>-21</v>
      </c>
      <c r="J333" s="17">
        <f t="shared" si="28"/>
        <v>194.56</v>
      </c>
      <c r="K333" s="17">
        <v>102.56</v>
      </c>
      <c r="L333" s="17">
        <v>92</v>
      </c>
      <c r="M333" s="329" t="s">
        <v>483</v>
      </c>
      <c r="N333" s="81">
        <f t="shared" si="29"/>
        <v>0</v>
      </c>
    </row>
    <row r="334" s="81" customFormat="1" customHeight="1" spans="1:14">
      <c r="A334" s="145">
        <v>2130207</v>
      </c>
      <c r="B334" s="141" t="s">
        <v>484</v>
      </c>
      <c r="C334" s="17">
        <f t="shared" si="26"/>
        <v>0</v>
      </c>
      <c r="D334" s="17">
        <v>0</v>
      </c>
      <c r="E334" s="17"/>
      <c r="F334" s="17">
        <v>-78</v>
      </c>
      <c r="G334" s="17"/>
      <c r="H334" s="17">
        <v>115</v>
      </c>
      <c r="I334" s="17">
        <f t="shared" si="27"/>
        <v>0</v>
      </c>
      <c r="J334" s="17">
        <f t="shared" si="28"/>
        <v>37</v>
      </c>
      <c r="K334" s="17">
        <v>37</v>
      </c>
      <c r="L334" s="17"/>
      <c r="M334" s="329" t="s">
        <v>485</v>
      </c>
      <c r="N334" s="81">
        <f t="shared" si="29"/>
        <v>0</v>
      </c>
    </row>
    <row r="335" s="81" customFormat="1" customHeight="1" spans="1:14">
      <c r="A335" s="155">
        <v>2130209</v>
      </c>
      <c r="B335" s="141" t="s">
        <v>486</v>
      </c>
      <c r="C335" s="17">
        <f t="shared" si="26"/>
        <v>230.16</v>
      </c>
      <c r="D335" s="17">
        <v>3.5</v>
      </c>
      <c r="E335" s="17">
        <v>226.66</v>
      </c>
      <c r="F335" s="17">
        <v>0</v>
      </c>
      <c r="G335" s="17">
        <v>0</v>
      </c>
      <c r="H335" s="17">
        <v>0</v>
      </c>
      <c r="I335" s="17">
        <f t="shared" si="27"/>
        <v>0</v>
      </c>
      <c r="J335" s="17">
        <f t="shared" si="28"/>
        <v>230.16</v>
      </c>
      <c r="K335" s="17">
        <v>3.5</v>
      </c>
      <c r="L335" s="17">
        <v>226.66</v>
      </c>
      <c r="M335" s="329">
        <v>0</v>
      </c>
      <c r="N335" s="81">
        <f t="shared" si="29"/>
        <v>0</v>
      </c>
    </row>
    <row r="336" s="81" customFormat="1" customHeight="1" spans="1:14">
      <c r="A336" s="155">
        <v>2130211</v>
      </c>
      <c r="B336" s="141" t="s">
        <v>487</v>
      </c>
      <c r="C336" s="17">
        <f t="shared" si="26"/>
        <v>0</v>
      </c>
      <c r="D336" s="17">
        <v>0</v>
      </c>
      <c r="E336" s="17">
        <v>0</v>
      </c>
      <c r="F336" s="17">
        <v>-0.31</v>
      </c>
      <c r="G336" s="17">
        <v>0</v>
      </c>
      <c r="H336" s="17">
        <v>15</v>
      </c>
      <c r="I336" s="17">
        <f t="shared" si="27"/>
        <v>0</v>
      </c>
      <c r="J336" s="17">
        <f t="shared" si="28"/>
        <v>14.69</v>
      </c>
      <c r="K336" s="17">
        <v>14.69</v>
      </c>
      <c r="L336" s="17"/>
      <c r="M336" s="329" t="s">
        <v>488</v>
      </c>
      <c r="N336" s="81">
        <f t="shared" si="29"/>
        <v>0</v>
      </c>
    </row>
    <row r="337" s="81" customFormat="1" customHeight="1" spans="1:14">
      <c r="A337" s="145">
        <v>2130234</v>
      </c>
      <c r="B337" s="141" t="s">
        <v>489</v>
      </c>
      <c r="C337" s="17">
        <f t="shared" si="26"/>
        <v>175.89</v>
      </c>
      <c r="D337" s="17">
        <v>94.4</v>
      </c>
      <c r="E337" s="17">
        <v>81.49</v>
      </c>
      <c r="F337" s="17">
        <v>-67.37</v>
      </c>
      <c r="G337" s="17"/>
      <c r="H337" s="17">
        <v>77.01</v>
      </c>
      <c r="I337" s="17">
        <f t="shared" si="27"/>
        <v>-11.49</v>
      </c>
      <c r="J337" s="17">
        <f t="shared" si="28"/>
        <v>174.04</v>
      </c>
      <c r="K337" s="17">
        <v>104.04</v>
      </c>
      <c r="L337" s="17">
        <v>70</v>
      </c>
      <c r="M337" s="281" t="s">
        <v>490</v>
      </c>
      <c r="N337" s="81">
        <f t="shared" si="29"/>
        <v>0</v>
      </c>
    </row>
    <row r="338" s="81" customFormat="1" customHeight="1" spans="1:14">
      <c r="A338" s="155">
        <v>2130299</v>
      </c>
      <c r="B338" s="141" t="s">
        <v>491</v>
      </c>
      <c r="C338" s="17">
        <f t="shared" si="26"/>
        <v>79.56</v>
      </c>
      <c r="D338" s="17">
        <v>9</v>
      </c>
      <c r="E338" s="17">
        <v>70.56</v>
      </c>
      <c r="F338" s="17">
        <v>-77</v>
      </c>
      <c r="G338" s="17">
        <v>0</v>
      </c>
      <c r="H338" s="17">
        <v>90</v>
      </c>
      <c r="I338" s="17">
        <f t="shared" si="27"/>
        <v>0</v>
      </c>
      <c r="J338" s="17">
        <f t="shared" si="28"/>
        <v>92.56</v>
      </c>
      <c r="K338" s="17">
        <v>22</v>
      </c>
      <c r="L338" s="17">
        <v>70.56</v>
      </c>
      <c r="M338" s="281" t="s">
        <v>492</v>
      </c>
      <c r="N338" s="81">
        <f t="shared" si="29"/>
        <v>0</v>
      </c>
    </row>
    <row r="339" s="81" customFormat="1" customHeight="1" spans="1:14">
      <c r="A339" s="155">
        <v>21303</v>
      </c>
      <c r="B339" s="141" t="s">
        <v>493</v>
      </c>
      <c r="C339" s="17">
        <f t="shared" si="26"/>
        <v>900.92</v>
      </c>
      <c r="D339" s="17">
        <v>296.92</v>
      </c>
      <c r="E339" s="17">
        <v>604</v>
      </c>
      <c r="F339" s="17">
        <v>516.54</v>
      </c>
      <c r="G339" s="17">
        <v>0</v>
      </c>
      <c r="H339" s="17">
        <v>125.24</v>
      </c>
      <c r="I339" s="17">
        <f t="shared" si="27"/>
        <v>-84.06272</v>
      </c>
      <c r="J339" s="17">
        <f t="shared" si="28"/>
        <v>1458.63728</v>
      </c>
      <c r="K339" s="17">
        <v>938.7</v>
      </c>
      <c r="L339" s="17">
        <v>519.93728</v>
      </c>
      <c r="M339" s="329"/>
      <c r="N339" s="81">
        <f t="shared" si="29"/>
        <v>0</v>
      </c>
    </row>
    <row r="340" s="81" customFormat="1" customHeight="1" spans="1:14">
      <c r="A340" s="155">
        <v>2130304</v>
      </c>
      <c r="B340" s="141" t="s">
        <v>494</v>
      </c>
      <c r="C340" s="17">
        <f t="shared" si="26"/>
        <v>5.75</v>
      </c>
      <c r="D340" s="17">
        <v>5.75</v>
      </c>
      <c r="E340" s="17">
        <v>0</v>
      </c>
      <c r="F340" s="17">
        <v>0</v>
      </c>
      <c r="G340" s="17">
        <v>0</v>
      </c>
      <c r="H340" s="17">
        <v>0.83</v>
      </c>
      <c r="I340" s="17">
        <f t="shared" si="27"/>
        <v>0</v>
      </c>
      <c r="J340" s="17">
        <f t="shared" si="28"/>
        <v>6.58</v>
      </c>
      <c r="K340" s="17">
        <v>6.58</v>
      </c>
      <c r="L340" s="17"/>
      <c r="M340" s="281" t="s">
        <v>495</v>
      </c>
      <c r="N340" s="81">
        <f t="shared" si="29"/>
        <v>0</v>
      </c>
    </row>
    <row r="341" s="81" customFormat="1" customHeight="1" spans="1:14">
      <c r="A341" s="155">
        <v>2130305</v>
      </c>
      <c r="B341" s="141" t="s">
        <v>496</v>
      </c>
      <c r="C341" s="17">
        <f t="shared" si="26"/>
        <v>555.07</v>
      </c>
      <c r="D341" s="17">
        <v>221.07</v>
      </c>
      <c r="E341" s="17">
        <v>334</v>
      </c>
      <c r="F341" s="17">
        <v>549.54</v>
      </c>
      <c r="G341" s="17">
        <v>0</v>
      </c>
      <c r="H341" s="17">
        <v>107.91</v>
      </c>
      <c r="I341" s="17">
        <f t="shared" si="27"/>
        <v>-56.31272</v>
      </c>
      <c r="J341" s="17">
        <f t="shared" si="28"/>
        <v>1156.20728</v>
      </c>
      <c r="K341" s="17">
        <v>878.52</v>
      </c>
      <c r="L341" s="17">
        <v>277.68728</v>
      </c>
      <c r="M341" s="329" t="s">
        <v>497</v>
      </c>
      <c r="N341" s="81">
        <f t="shared" si="29"/>
        <v>0</v>
      </c>
    </row>
    <row r="342" s="81" customFormat="1" customHeight="1" spans="1:14">
      <c r="A342" s="155">
        <v>2130306</v>
      </c>
      <c r="B342" s="141" t="s">
        <v>498</v>
      </c>
      <c r="C342" s="17">
        <f t="shared" si="26"/>
        <v>7</v>
      </c>
      <c r="D342" s="17">
        <v>7</v>
      </c>
      <c r="E342" s="17">
        <v>0</v>
      </c>
      <c r="F342" s="17">
        <v>0</v>
      </c>
      <c r="G342" s="17">
        <v>0</v>
      </c>
      <c r="H342" s="17">
        <v>0</v>
      </c>
      <c r="I342" s="17">
        <f t="shared" si="27"/>
        <v>0</v>
      </c>
      <c r="J342" s="17">
        <f t="shared" si="28"/>
        <v>7</v>
      </c>
      <c r="K342" s="17">
        <v>7</v>
      </c>
      <c r="L342" s="17"/>
      <c r="M342" s="329">
        <v>0</v>
      </c>
      <c r="N342" s="81">
        <f t="shared" si="29"/>
        <v>0</v>
      </c>
    </row>
    <row r="343" s="81" customFormat="1" customHeight="1" spans="1:14">
      <c r="A343" s="155">
        <v>2130311</v>
      </c>
      <c r="B343" s="141" t="s">
        <v>499</v>
      </c>
      <c r="C343" s="17">
        <f t="shared" si="26"/>
        <v>1</v>
      </c>
      <c r="D343" s="17">
        <v>1</v>
      </c>
      <c r="E343" s="17">
        <v>0</v>
      </c>
      <c r="F343" s="17">
        <v>0</v>
      </c>
      <c r="G343" s="17">
        <v>0</v>
      </c>
      <c r="H343" s="17">
        <v>0</v>
      </c>
      <c r="I343" s="17">
        <f t="shared" si="27"/>
        <v>0</v>
      </c>
      <c r="J343" s="17">
        <f t="shared" si="28"/>
        <v>1</v>
      </c>
      <c r="K343" s="17">
        <v>1</v>
      </c>
      <c r="L343" s="17"/>
      <c r="M343" s="281"/>
      <c r="N343" s="81">
        <f t="shared" si="29"/>
        <v>0</v>
      </c>
    </row>
    <row r="344" s="81" customFormat="1" customHeight="1" spans="1:14">
      <c r="A344" s="155">
        <v>2130314</v>
      </c>
      <c r="B344" s="141" t="s">
        <v>500</v>
      </c>
      <c r="C344" s="17">
        <f t="shared" si="26"/>
        <v>2</v>
      </c>
      <c r="D344" s="17">
        <v>2</v>
      </c>
      <c r="E344" s="17">
        <v>0</v>
      </c>
      <c r="F344" s="17">
        <v>0</v>
      </c>
      <c r="G344" s="17">
        <v>0</v>
      </c>
      <c r="H344" s="17">
        <v>1.5</v>
      </c>
      <c r="I344" s="17">
        <f t="shared" si="27"/>
        <v>0</v>
      </c>
      <c r="J344" s="17">
        <f t="shared" si="28"/>
        <v>3.5</v>
      </c>
      <c r="K344" s="17">
        <v>3.5</v>
      </c>
      <c r="L344" s="17">
        <v>0</v>
      </c>
      <c r="M344" s="281" t="s">
        <v>501</v>
      </c>
      <c r="N344" s="81">
        <f t="shared" si="29"/>
        <v>0</v>
      </c>
    </row>
    <row r="345" s="81" customFormat="1" customHeight="1" spans="1:14">
      <c r="A345" s="145">
        <v>2130315</v>
      </c>
      <c r="B345" s="141" t="s">
        <v>502</v>
      </c>
      <c r="C345" s="17">
        <f t="shared" si="26"/>
        <v>15</v>
      </c>
      <c r="D345" s="17">
        <v>15</v>
      </c>
      <c r="E345" s="17">
        <v>0</v>
      </c>
      <c r="F345" s="17"/>
      <c r="G345" s="17"/>
      <c r="H345" s="17"/>
      <c r="I345" s="17">
        <f t="shared" si="27"/>
        <v>0</v>
      </c>
      <c r="J345" s="17">
        <f t="shared" si="28"/>
        <v>15</v>
      </c>
      <c r="K345" s="17">
        <v>15</v>
      </c>
      <c r="L345" s="17"/>
      <c r="M345" s="281"/>
      <c r="N345" s="81">
        <f t="shared" si="29"/>
        <v>0</v>
      </c>
    </row>
    <row r="346" s="81" customFormat="1" customHeight="1" spans="1:14">
      <c r="A346" s="155">
        <v>2130317</v>
      </c>
      <c r="B346" s="141" t="s">
        <v>503</v>
      </c>
      <c r="C346" s="17">
        <f t="shared" si="26"/>
        <v>1</v>
      </c>
      <c r="D346" s="17">
        <v>1</v>
      </c>
      <c r="E346" s="17">
        <v>0</v>
      </c>
      <c r="F346" s="17">
        <v>0</v>
      </c>
      <c r="G346" s="17">
        <v>0</v>
      </c>
      <c r="H346" s="17">
        <v>0</v>
      </c>
      <c r="I346" s="17">
        <f t="shared" si="27"/>
        <v>0</v>
      </c>
      <c r="J346" s="17">
        <f t="shared" si="28"/>
        <v>1</v>
      </c>
      <c r="K346" s="17">
        <v>1</v>
      </c>
      <c r="L346" s="17"/>
      <c r="M346" s="281"/>
      <c r="N346" s="81">
        <f t="shared" si="29"/>
        <v>0</v>
      </c>
    </row>
    <row r="347" s="81" customFormat="1" customHeight="1" spans="1:14">
      <c r="A347" s="155">
        <v>2130399</v>
      </c>
      <c r="B347" s="141" t="s">
        <v>504</v>
      </c>
      <c r="C347" s="17">
        <f t="shared" si="26"/>
        <v>314.1</v>
      </c>
      <c r="D347" s="17">
        <v>44.1</v>
      </c>
      <c r="E347" s="17">
        <v>270</v>
      </c>
      <c r="F347" s="17">
        <v>-33</v>
      </c>
      <c r="G347" s="17">
        <v>0</v>
      </c>
      <c r="H347" s="17">
        <v>15</v>
      </c>
      <c r="I347" s="17">
        <f t="shared" si="27"/>
        <v>-27.75</v>
      </c>
      <c r="J347" s="17">
        <f t="shared" si="28"/>
        <v>268.35</v>
      </c>
      <c r="K347" s="17">
        <v>26.1</v>
      </c>
      <c r="L347" s="17">
        <v>242.25</v>
      </c>
      <c r="M347" s="329" t="s">
        <v>505</v>
      </c>
      <c r="N347" s="81">
        <f t="shared" si="29"/>
        <v>0</v>
      </c>
    </row>
    <row r="348" s="81" customFormat="1" customHeight="1" spans="1:14">
      <c r="A348" s="155">
        <v>21305</v>
      </c>
      <c r="B348" s="141" t="s">
        <v>506</v>
      </c>
      <c r="C348" s="17">
        <f t="shared" si="26"/>
        <v>32.9</v>
      </c>
      <c r="D348" s="17">
        <v>32.9</v>
      </c>
      <c r="E348" s="17">
        <v>0</v>
      </c>
      <c r="F348" s="17">
        <v>-8.457246</v>
      </c>
      <c r="G348" s="17">
        <v>0</v>
      </c>
      <c r="H348" s="17">
        <v>65.52064</v>
      </c>
      <c r="I348" s="17">
        <f t="shared" si="27"/>
        <v>0</v>
      </c>
      <c r="J348" s="17">
        <f t="shared" si="28"/>
        <v>89.963394</v>
      </c>
      <c r="K348" s="17">
        <v>89.963394</v>
      </c>
      <c r="L348" s="17"/>
      <c r="M348" s="329"/>
      <c r="N348" s="81">
        <f t="shared" si="29"/>
        <v>0</v>
      </c>
    </row>
    <row r="349" s="81" customFormat="1" customHeight="1" spans="1:14">
      <c r="A349" s="145">
        <v>2130504</v>
      </c>
      <c r="B349" s="141" t="s">
        <v>507</v>
      </c>
      <c r="C349" s="17">
        <f t="shared" si="26"/>
        <v>0</v>
      </c>
      <c r="D349" s="17">
        <v>0</v>
      </c>
      <c r="E349" s="17"/>
      <c r="F349" s="17">
        <v>-18.38</v>
      </c>
      <c r="G349" s="17"/>
      <c r="H349" s="17">
        <v>60.89</v>
      </c>
      <c r="I349" s="17">
        <f t="shared" si="27"/>
        <v>0</v>
      </c>
      <c r="J349" s="17">
        <f t="shared" si="28"/>
        <v>42.51</v>
      </c>
      <c r="K349" s="17">
        <v>42.51</v>
      </c>
      <c r="L349" s="17"/>
      <c r="M349" s="329" t="s">
        <v>508</v>
      </c>
      <c r="N349" s="81">
        <f t="shared" si="29"/>
        <v>0</v>
      </c>
    </row>
    <row r="350" s="81" customFormat="1" customHeight="1" spans="1:14">
      <c r="A350" s="155">
        <v>2130599</v>
      </c>
      <c r="B350" s="141" t="s">
        <v>509</v>
      </c>
      <c r="C350" s="17">
        <f t="shared" si="26"/>
        <v>32.9</v>
      </c>
      <c r="D350" s="17">
        <v>32.9</v>
      </c>
      <c r="E350" s="17">
        <v>0</v>
      </c>
      <c r="F350" s="17">
        <v>9.91936</v>
      </c>
      <c r="G350" s="17">
        <v>0</v>
      </c>
      <c r="H350" s="17">
        <v>4.63064</v>
      </c>
      <c r="I350" s="17">
        <f t="shared" si="27"/>
        <v>0</v>
      </c>
      <c r="J350" s="17">
        <f t="shared" si="28"/>
        <v>47.45</v>
      </c>
      <c r="K350" s="17">
        <v>47.45</v>
      </c>
      <c r="L350" s="17"/>
      <c r="M350" s="281" t="s">
        <v>510</v>
      </c>
      <c r="N350" s="81">
        <f t="shared" si="29"/>
        <v>0</v>
      </c>
    </row>
    <row r="351" s="81" customFormat="1" customHeight="1" spans="1:14">
      <c r="A351" s="155">
        <v>21307</v>
      </c>
      <c r="B351" s="141" t="s">
        <v>511</v>
      </c>
      <c r="C351" s="17">
        <f t="shared" si="26"/>
        <v>211.492</v>
      </c>
      <c r="D351" s="17">
        <v>77</v>
      </c>
      <c r="E351" s="17">
        <v>134.492</v>
      </c>
      <c r="F351" s="17">
        <v>-47</v>
      </c>
      <c r="G351" s="17">
        <v>0</v>
      </c>
      <c r="H351" s="17">
        <v>0</v>
      </c>
      <c r="I351" s="17">
        <f t="shared" si="27"/>
        <v>-32.492</v>
      </c>
      <c r="J351" s="17">
        <f t="shared" si="28"/>
        <v>132</v>
      </c>
      <c r="K351" s="17">
        <v>30</v>
      </c>
      <c r="L351" s="17">
        <v>102</v>
      </c>
      <c r="M351" s="281"/>
      <c r="N351" s="81">
        <f t="shared" si="29"/>
        <v>0</v>
      </c>
    </row>
    <row r="352" s="81" customFormat="1" customHeight="1" spans="1:14">
      <c r="A352" s="145">
        <v>2130701</v>
      </c>
      <c r="B352" s="141" t="s">
        <v>512</v>
      </c>
      <c r="C352" s="17">
        <f t="shared" si="26"/>
        <v>74</v>
      </c>
      <c r="D352" s="17">
        <v>42</v>
      </c>
      <c r="E352" s="17">
        <v>32</v>
      </c>
      <c r="F352" s="17">
        <v>-19</v>
      </c>
      <c r="G352" s="17"/>
      <c r="H352" s="17"/>
      <c r="I352" s="17">
        <f t="shared" si="27"/>
        <v>-32</v>
      </c>
      <c r="J352" s="17">
        <f t="shared" si="28"/>
        <v>23</v>
      </c>
      <c r="K352" s="17">
        <v>23</v>
      </c>
      <c r="L352" s="17"/>
      <c r="M352" s="329" t="s">
        <v>513</v>
      </c>
      <c r="N352" s="81">
        <f t="shared" si="29"/>
        <v>0</v>
      </c>
    </row>
    <row r="353" s="81" customFormat="1" customHeight="1" spans="1:14">
      <c r="A353" s="155">
        <v>2130705</v>
      </c>
      <c r="B353" s="141" t="s">
        <v>514</v>
      </c>
      <c r="C353" s="17">
        <f t="shared" si="26"/>
        <v>102.492</v>
      </c>
      <c r="D353" s="17"/>
      <c r="E353" s="17">
        <v>102.492</v>
      </c>
      <c r="F353" s="17"/>
      <c r="G353" s="17"/>
      <c r="H353" s="17"/>
      <c r="I353" s="17">
        <f t="shared" si="27"/>
        <v>-0.492000000000004</v>
      </c>
      <c r="J353" s="17">
        <f t="shared" si="28"/>
        <v>102</v>
      </c>
      <c r="K353" s="17">
        <v>0</v>
      </c>
      <c r="L353" s="17">
        <v>102</v>
      </c>
      <c r="M353" s="329"/>
      <c r="N353" s="81">
        <f t="shared" si="29"/>
        <v>0</v>
      </c>
    </row>
    <row r="354" s="81" customFormat="1" customHeight="1" spans="1:14">
      <c r="A354" s="155">
        <v>2130707</v>
      </c>
      <c r="B354" s="141" t="s">
        <v>515</v>
      </c>
      <c r="C354" s="17">
        <f t="shared" si="26"/>
        <v>35</v>
      </c>
      <c r="D354" s="17">
        <v>35</v>
      </c>
      <c r="E354" s="17">
        <v>0</v>
      </c>
      <c r="F354" s="17">
        <v>-28</v>
      </c>
      <c r="G354" s="17">
        <v>0</v>
      </c>
      <c r="H354" s="17">
        <v>0</v>
      </c>
      <c r="I354" s="17">
        <f t="shared" si="27"/>
        <v>0</v>
      </c>
      <c r="J354" s="17">
        <f t="shared" si="28"/>
        <v>7</v>
      </c>
      <c r="K354" s="17">
        <v>7</v>
      </c>
      <c r="L354" s="17"/>
      <c r="M354" s="281" t="s">
        <v>516</v>
      </c>
      <c r="N354" s="81">
        <f t="shared" si="29"/>
        <v>0</v>
      </c>
    </row>
    <row r="355" s="81" customFormat="1" customHeight="1" spans="1:14">
      <c r="A355" s="155">
        <v>21308</v>
      </c>
      <c r="B355" s="141" t="s">
        <v>517</v>
      </c>
      <c r="C355" s="17">
        <f t="shared" si="26"/>
        <v>101.13</v>
      </c>
      <c r="D355" s="17">
        <v>95.63</v>
      </c>
      <c r="E355" s="17">
        <v>5.5</v>
      </c>
      <c r="F355" s="17">
        <v>-17.52</v>
      </c>
      <c r="G355" s="17">
        <v>2</v>
      </c>
      <c r="H355" s="17">
        <v>0</v>
      </c>
      <c r="I355" s="17">
        <f t="shared" si="27"/>
        <v>-5.5</v>
      </c>
      <c r="J355" s="17">
        <f t="shared" si="28"/>
        <v>80.11</v>
      </c>
      <c r="K355" s="17">
        <v>80.11</v>
      </c>
      <c r="L355" s="17"/>
      <c r="M355" s="281"/>
      <c r="N355" s="81">
        <f t="shared" si="29"/>
        <v>0</v>
      </c>
    </row>
    <row r="356" s="81" customFormat="1" customHeight="1" spans="1:14">
      <c r="A356" s="155">
        <v>2130803</v>
      </c>
      <c r="B356" s="141" t="s">
        <v>518</v>
      </c>
      <c r="C356" s="17">
        <f t="shared" si="26"/>
        <v>93.58</v>
      </c>
      <c r="D356" s="17">
        <v>88.08</v>
      </c>
      <c r="E356" s="17">
        <v>5.5</v>
      </c>
      <c r="F356" s="17">
        <v>-22.43</v>
      </c>
      <c r="G356" s="17">
        <v>0</v>
      </c>
      <c r="H356" s="17">
        <v>0</v>
      </c>
      <c r="I356" s="17">
        <f t="shared" si="27"/>
        <v>-5.5</v>
      </c>
      <c r="J356" s="17">
        <f t="shared" si="28"/>
        <v>65.65</v>
      </c>
      <c r="K356" s="17">
        <v>65.65</v>
      </c>
      <c r="L356" s="17">
        <v>0</v>
      </c>
      <c r="M356" s="281" t="s">
        <v>519</v>
      </c>
      <c r="N356" s="81">
        <f t="shared" si="29"/>
        <v>0</v>
      </c>
    </row>
    <row r="357" s="81" customFormat="1" customHeight="1" spans="1:14">
      <c r="A357" s="155">
        <v>2130804</v>
      </c>
      <c r="B357" s="141" t="s">
        <v>520</v>
      </c>
      <c r="C357" s="17">
        <f t="shared" si="26"/>
        <v>7.55</v>
      </c>
      <c r="D357" s="17">
        <v>7.55</v>
      </c>
      <c r="E357" s="17">
        <v>0</v>
      </c>
      <c r="F357" s="17">
        <v>4.91</v>
      </c>
      <c r="G357" s="17">
        <v>2</v>
      </c>
      <c r="H357" s="17">
        <v>0</v>
      </c>
      <c r="I357" s="17">
        <f t="shared" si="27"/>
        <v>0</v>
      </c>
      <c r="J357" s="17">
        <f t="shared" si="28"/>
        <v>14.46</v>
      </c>
      <c r="K357" s="17">
        <v>14.46</v>
      </c>
      <c r="L357" s="17"/>
      <c r="M357" s="329" t="s">
        <v>521</v>
      </c>
      <c r="N357" s="81">
        <f t="shared" si="29"/>
        <v>0</v>
      </c>
    </row>
    <row r="358" s="81" customFormat="1" customHeight="1" spans="1:14">
      <c r="A358" s="155">
        <v>21399</v>
      </c>
      <c r="B358" s="141" t="s">
        <v>522</v>
      </c>
      <c r="C358" s="17">
        <f t="shared" si="26"/>
        <v>4890.2339281</v>
      </c>
      <c r="D358" s="17">
        <v>4875.2339281</v>
      </c>
      <c r="E358" s="17">
        <v>15</v>
      </c>
      <c r="F358" s="17">
        <v>-2598.9117481</v>
      </c>
      <c r="G358" s="17">
        <v>-44</v>
      </c>
      <c r="H358" s="17">
        <v>-1466.96052</v>
      </c>
      <c r="I358" s="17">
        <f t="shared" si="27"/>
        <v>2</v>
      </c>
      <c r="J358" s="17">
        <f t="shared" si="28"/>
        <v>782.36166</v>
      </c>
      <c r="K358" s="17">
        <v>765.36166</v>
      </c>
      <c r="L358" s="17">
        <v>17</v>
      </c>
      <c r="M358" s="281"/>
      <c r="N358" s="81">
        <f t="shared" si="29"/>
        <v>0</v>
      </c>
    </row>
    <row r="359" s="81" customFormat="1" customHeight="1" spans="1:14">
      <c r="A359" s="155">
        <v>2139999</v>
      </c>
      <c r="B359" s="141" t="s">
        <v>522</v>
      </c>
      <c r="C359" s="17">
        <f t="shared" si="26"/>
        <v>4890.2339281</v>
      </c>
      <c r="D359" s="17">
        <v>4875.2339281</v>
      </c>
      <c r="E359" s="17">
        <v>15</v>
      </c>
      <c r="F359" s="17">
        <v>-2598.9117481</v>
      </c>
      <c r="G359" s="17">
        <v>-44</v>
      </c>
      <c r="H359" s="17">
        <v>-1466.96052</v>
      </c>
      <c r="I359" s="17">
        <f t="shared" si="27"/>
        <v>2</v>
      </c>
      <c r="J359" s="17">
        <f t="shared" si="28"/>
        <v>782.36166</v>
      </c>
      <c r="K359" s="17">
        <v>765.36166</v>
      </c>
      <c r="L359" s="17">
        <v>17</v>
      </c>
      <c r="M359" s="281" t="s">
        <v>523</v>
      </c>
      <c r="N359" s="81">
        <f t="shared" si="29"/>
        <v>0</v>
      </c>
    </row>
    <row r="360" s="81" customFormat="1" customHeight="1" spans="1:14">
      <c r="A360" s="155">
        <v>214</v>
      </c>
      <c r="B360" s="141" t="s">
        <v>524</v>
      </c>
      <c r="C360" s="17">
        <f t="shared" si="26"/>
        <v>12839.4726</v>
      </c>
      <c r="D360" s="17">
        <v>9671.61</v>
      </c>
      <c r="E360" s="17">
        <v>3167.8626</v>
      </c>
      <c r="F360" s="17">
        <v>-7619.7452</v>
      </c>
      <c r="G360" s="17">
        <v>0</v>
      </c>
      <c r="H360" s="17">
        <v>0.04</v>
      </c>
      <c r="I360" s="17">
        <f t="shared" si="27"/>
        <v>0</v>
      </c>
      <c r="J360" s="17">
        <f t="shared" si="28"/>
        <v>5219.7674</v>
      </c>
      <c r="K360" s="17">
        <v>2051.9048</v>
      </c>
      <c r="L360" s="17">
        <v>3167.8626</v>
      </c>
      <c r="M360" s="329">
        <v>0</v>
      </c>
      <c r="N360" s="81">
        <f t="shared" si="29"/>
        <v>0</v>
      </c>
    </row>
    <row r="361" s="81" customFormat="1" customHeight="1" spans="1:14">
      <c r="A361" s="155">
        <v>21401</v>
      </c>
      <c r="B361" s="141" t="s">
        <v>525</v>
      </c>
      <c r="C361" s="17">
        <f t="shared" si="26"/>
        <v>12165.2826</v>
      </c>
      <c r="D361" s="17">
        <v>8997.42</v>
      </c>
      <c r="E361" s="17">
        <v>3167.8626</v>
      </c>
      <c r="F361" s="17">
        <v>-7619.7452</v>
      </c>
      <c r="G361" s="17">
        <v>0</v>
      </c>
      <c r="H361" s="17">
        <v>0.04</v>
      </c>
      <c r="I361" s="17">
        <f t="shared" si="27"/>
        <v>0</v>
      </c>
      <c r="J361" s="17">
        <f t="shared" si="28"/>
        <v>4545.5774</v>
      </c>
      <c r="K361" s="17">
        <v>1377.7148</v>
      </c>
      <c r="L361" s="17">
        <v>3167.8626</v>
      </c>
      <c r="M361" s="329">
        <v>0</v>
      </c>
      <c r="N361" s="81">
        <f t="shared" si="29"/>
        <v>0</v>
      </c>
    </row>
    <row r="362" s="81" customFormat="1" customHeight="1" spans="1:14">
      <c r="A362" s="155">
        <v>2140104</v>
      </c>
      <c r="B362" s="141" t="s">
        <v>526</v>
      </c>
      <c r="C362" s="17">
        <f t="shared" si="26"/>
        <v>8520</v>
      </c>
      <c r="D362" s="17">
        <v>8520</v>
      </c>
      <c r="E362" s="17">
        <v>0</v>
      </c>
      <c r="F362" s="17">
        <v>-7520</v>
      </c>
      <c r="G362" s="17">
        <v>0</v>
      </c>
      <c r="H362" s="17">
        <v>0</v>
      </c>
      <c r="I362" s="17">
        <f t="shared" si="27"/>
        <v>0</v>
      </c>
      <c r="J362" s="17">
        <f t="shared" si="28"/>
        <v>1000</v>
      </c>
      <c r="K362" s="17">
        <v>1000</v>
      </c>
      <c r="L362" s="17"/>
      <c r="M362" s="329" t="s">
        <v>527</v>
      </c>
      <c r="N362" s="81">
        <f t="shared" si="29"/>
        <v>0</v>
      </c>
    </row>
    <row r="363" s="81" customFormat="1" customHeight="1" spans="1:14">
      <c r="A363" s="145">
        <v>2140110</v>
      </c>
      <c r="B363" s="141" t="s">
        <v>528</v>
      </c>
      <c r="C363" s="17">
        <f t="shared" si="26"/>
        <v>272.93</v>
      </c>
      <c r="D363" s="17">
        <v>272.93</v>
      </c>
      <c r="E363" s="17">
        <v>0</v>
      </c>
      <c r="F363" s="17">
        <v>-27.9</v>
      </c>
      <c r="G363" s="17"/>
      <c r="H363" s="17"/>
      <c r="I363" s="17">
        <f t="shared" si="27"/>
        <v>0</v>
      </c>
      <c r="J363" s="17">
        <f t="shared" si="28"/>
        <v>245.03</v>
      </c>
      <c r="K363" s="17">
        <v>245.03</v>
      </c>
      <c r="L363" s="17"/>
      <c r="M363" s="329" t="s">
        <v>529</v>
      </c>
      <c r="N363" s="81">
        <f t="shared" si="29"/>
        <v>0</v>
      </c>
    </row>
    <row r="364" s="81" customFormat="1" customHeight="1" spans="1:14">
      <c r="A364" s="155">
        <v>2140199</v>
      </c>
      <c r="B364" s="141" t="s">
        <v>530</v>
      </c>
      <c r="C364" s="17">
        <f t="shared" si="26"/>
        <v>3372.3526</v>
      </c>
      <c r="D364" s="17">
        <v>204.49</v>
      </c>
      <c r="E364" s="17">
        <v>3167.8626</v>
      </c>
      <c r="F364" s="17">
        <v>-71.8452</v>
      </c>
      <c r="G364" s="17">
        <v>0</v>
      </c>
      <c r="H364" s="17">
        <v>0.04</v>
      </c>
      <c r="I364" s="17">
        <f t="shared" si="27"/>
        <v>0</v>
      </c>
      <c r="J364" s="17">
        <f t="shared" si="28"/>
        <v>3300.5474</v>
      </c>
      <c r="K364" s="17">
        <v>132.6848</v>
      </c>
      <c r="L364" s="17">
        <v>3167.8626</v>
      </c>
      <c r="M364" s="329" t="s">
        <v>531</v>
      </c>
      <c r="N364" s="81">
        <f t="shared" si="29"/>
        <v>0</v>
      </c>
    </row>
    <row r="365" s="81" customFormat="1" customHeight="1" spans="1:14">
      <c r="A365" s="155">
        <v>21406</v>
      </c>
      <c r="B365" s="141" t="s">
        <v>532</v>
      </c>
      <c r="C365" s="17">
        <f t="shared" si="26"/>
        <v>616.4</v>
      </c>
      <c r="D365" s="17">
        <v>616.4</v>
      </c>
      <c r="E365" s="17">
        <v>0</v>
      </c>
      <c r="F365" s="17">
        <v>0</v>
      </c>
      <c r="G365" s="17">
        <v>0</v>
      </c>
      <c r="H365" s="17">
        <v>0</v>
      </c>
      <c r="I365" s="17">
        <f t="shared" si="27"/>
        <v>0</v>
      </c>
      <c r="J365" s="17">
        <f t="shared" si="28"/>
        <v>616.4</v>
      </c>
      <c r="K365" s="17">
        <v>616.4</v>
      </c>
      <c r="L365" s="17"/>
      <c r="M365" s="329">
        <v>0</v>
      </c>
      <c r="N365" s="81">
        <f t="shared" si="29"/>
        <v>0</v>
      </c>
    </row>
    <row r="366" s="81" customFormat="1" customHeight="1" spans="1:14">
      <c r="A366" s="145">
        <v>2140601</v>
      </c>
      <c r="B366" s="141" t="s">
        <v>533</v>
      </c>
      <c r="C366" s="17">
        <f t="shared" si="26"/>
        <v>616.4</v>
      </c>
      <c r="D366" s="17">
        <v>616.4</v>
      </c>
      <c r="E366" s="17">
        <v>0</v>
      </c>
      <c r="F366" s="17"/>
      <c r="G366" s="17"/>
      <c r="H366" s="17"/>
      <c r="I366" s="17">
        <f t="shared" si="27"/>
        <v>0</v>
      </c>
      <c r="J366" s="17">
        <f t="shared" si="28"/>
        <v>616.4</v>
      </c>
      <c r="K366" s="17">
        <v>616.4</v>
      </c>
      <c r="L366" s="17"/>
      <c r="M366" s="329">
        <v>0</v>
      </c>
      <c r="N366" s="81">
        <f t="shared" si="29"/>
        <v>0</v>
      </c>
    </row>
    <row r="367" s="81" customFormat="1" customHeight="1" spans="1:14">
      <c r="A367" s="155">
        <v>21499</v>
      </c>
      <c r="B367" s="141" t="s">
        <v>534</v>
      </c>
      <c r="C367" s="17">
        <f t="shared" si="26"/>
        <v>57.79</v>
      </c>
      <c r="D367" s="17">
        <v>57.79</v>
      </c>
      <c r="E367" s="17">
        <v>0</v>
      </c>
      <c r="F367" s="17">
        <v>0</v>
      </c>
      <c r="G367" s="17">
        <v>0</v>
      </c>
      <c r="H367" s="17">
        <v>0</v>
      </c>
      <c r="I367" s="17">
        <f t="shared" si="27"/>
        <v>0</v>
      </c>
      <c r="J367" s="17">
        <f t="shared" si="28"/>
        <v>57.79</v>
      </c>
      <c r="K367" s="17">
        <v>57.79</v>
      </c>
      <c r="L367" s="17"/>
      <c r="M367" s="329">
        <v>0</v>
      </c>
      <c r="N367" s="81">
        <f t="shared" si="29"/>
        <v>0</v>
      </c>
    </row>
    <row r="368" s="81" customFormat="1" customHeight="1" spans="1:14">
      <c r="A368" s="145">
        <v>2149901</v>
      </c>
      <c r="B368" s="141" t="s">
        <v>535</v>
      </c>
      <c r="C368" s="17">
        <f t="shared" si="26"/>
        <v>55.79</v>
      </c>
      <c r="D368" s="17">
        <v>55.79</v>
      </c>
      <c r="E368" s="17">
        <v>0</v>
      </c>
      <c r="F368" s="17"/>
      <c r="G368" s="17"/>
      <c r="H368" s="17"/>
      <c r="I368" s="17">
        <f t="shared" si="27"/>
        <v>0</v>
      </c>
      <c r="J368" s="17">
        <f t="shared" si="28"/>
        <v>55.79</v>
      </c>
      <c r="K368" s="17">
        <v>55.79</v>
      </c>
      <c r="L368" s="17"/>
      <c r="M368" s="329">
        <v>0</v>
      </c>
      <c r="N368" s="81">
        <f t="shared" si="29"/>
        <v>0</v>
      </c>
    </row>
    <row r="369" s="81" customFormat="1" customHeight="1" spans="1:14">
      <c r="A369" s="155">
        <v>2149999</v>
      </c>
      <c r="B369" s="141" t="s">
        <v>534</v>
      </c>
      <c r="C369" s="17">
        <f t="shared" si="26"/>
        <v>2</v>
      </c>
      <c r="D369" s="17">
        <v>2</v>
      </c>
      <c r="E369" s="17">
        <v>0</v>
      </c>
      <c r="F369" s="17">
        <v>0</v>
      </c>
      <c r="G369" s="17">
        <v>0</v>
      </c>
      <c r="H369" s="17">
        <v>0</v>
      </c>
      <c r="I369" s="17">
        <f t="shared" si="27"/>
        <v>0</v>
      </c>
      <c r="J369" s="17">
        <f t="shared" si="28"/>
        <v>2</v>
      </c>
      <c r="K369" s="17">
        <v>2</v>
      </c>
      <c r="L369" s="17"/>
      <c r="M369" s="329">
        <v>0</v>
      </c>
      <c r="N369" s="81">
        <f t="shared" si="29"/>
        <v>0</v>
      </c>
    </row>
    <row r="370" s="81" customFormat="1" customHeight="1" spans="1:14">
      <c r="A370" s="155">
        <v>215</v>
      </c>
      <c r="B370" s="141" t="s">
        <v>536</v>
      </c>
      <c r="C370" s="17">
        <f t="shared" si="26"/>
        <v>873.8</v>
      </c>
      <c r="D370" s="17">
        <v>653.8</v>
      </c>
      <c r="E370" s="17">
        <v>220</v>
      </c>
      <c r="F370" s="17">
        <v>-108.15</v>
      </c>
      <c r="G370" s="17">
        <v>-120</v>
      </c>
      <c r="H370" s="17">
        <v>10.49</v>
      </c>
      <c r="I370" s="17">
        <f t="shared" si="27"/>
        <v>314.96</v>
      </c>
      <c r="J370" s="17">
        <f t="shared" si="28"/>
        <v>971.1</v>
      </c>
      <c r="K370" s="17">
        <v>436.14</v>
      </c>
      <c r="L370" s="17">
        <v>534.96</v>
      </c>
      <c r="M370" s="329"/>
      <c r="N370" s="81">
        <f t="shared" si="29"/>
        <v>0</v>
      </c>
    </row>
    <row r="371" s="81" customFormat="1" customHeight="1" spans="1:14">
      <c r="A371" s="155">
        <v>21505</v>
      </c>
      <c r="B371" s="141" t="s">
        <v>537</v>
      </c>
      <c r="C371" s="17">
        <f t="shared" si="26"/>
        <v>388.25</v>
      </c>
      <c r="D371" s="17">
        <v>388.25</v>
      </c>
      <c r="E371" s="17">
        <v>0</v>
      </c>
      <c r="F371" s="17">
        <v>-108.15</v>
      </c>
      <c r="G371" s="17">
        <v>0</v>
      </c>
      <c r="H371" s="17">
        <v>10.49</v>
      </c>
      <c r="I371" s="17">
        <f t="shared" si="27"/>
        <v>150</v>
      </c>
      <c r="J371" s="17">
        <f t="shared" si="28"/>
        <v>440.59</v>
      </c>
      <c r="K371" s="17">
        <v>290.59</v>
      </c>
      <c r="L371" s="17">
        <v>150</v>
      </c>
      <c r="M371" s="329"/>
      <c r="N371" s="81">
        <f t="shared" si="29"/>
        <v>0</v>
      </c>
    </row>
    <row r="372" s="81" customFormat="1" customHeight="1" spans="1:14">
      <c r="A372" s="155">
        <v>2150501</v>
      </c>
      <c r="B372" s="141" t="s">
        <v>102</v>
      </c>
      <c r="C372" s="17">
        <f t="shared" si="26"/>
        <v>123.39</v>
      </c>
      <c r="D372" s="17">
        <v>123.39</v>
      </c>
      <c r="E372" s="17">
        <v>0</v>
      </c>
      <c r="F372" s="17">
        <v>-11.26</v>
      </c>
      <c r="G372" s="17">
        <v>0</v>
      </c>
      <c r="H372" s="17">
        <v>0.34</v>
      </c>
      <c r="I372" s="17">
        <f t="shared" si="27"/>
        <v>0</v>
      </c>
      <c r="J372" s="17">
        <f t="shared" si="28"/>
        <v>112.47</v>
      </c>
      <c r="K372" s="17">
        <v>112.47</v>
      </c>
      <c r="L372" s="17"/>
      <c r="M372" s="281" t="s">
        <v>143</v>
      </c>
      <c r="N372" s="81">
        <f t="shared" si="29"/>
        <v>0</v>
      </c>
    </row>
    <row r="373" s="81" customFormat="1" customHeight="1" spans="1:14">
      <c r="A373" s="155">
        <v>2150550</v>
      </c>
      <c r="B373" s="141" t="s">
        <v>129</v>
      </c>
      <c r="C373" s="17">
        <f t="shared" si="26"/>
        <v>123.16</v>
      </c>
      <c r="D373" s="17">
        <v>123.16</v>
      </c>
      <c r="E373" s="17">
        <v>0</v>
      </c>
      <c r="F373" s="17">
        <v>-1.19</v>
      </c>
      <c r="G373" s="17">
        <v>0</v>
      </c>
      <c r="H373" s="17">
        <v>10.15</v>
      </c>
      <c r="I373" s="17">
        <f t="shared" si="27"/>
        <v>0</v>
      </c>
      <c r="J373" s="17">
        <f t="shared" si="28"/>
        <v>132.12</v>
      </c>
      <c r="K373" s="17">
        <v>132.12</v>
      </c>
      <c r="L373" s="17"/>
      <c r="M373" s="329" t="s">
        <v>143</v>
      </c>
      <c r="N373" s="81">
        <f t="shared" si="29"/>
        <v>0</v>
      </c>
    </row>
    <row r="374" s="81" customFormat="1" customHeight="1" spans="1:14">
      <c r="A374" s="155">
        <v>2150599</v>
      </c>
      <c r="B374" s="141" t="s">
        <v>538</v>
      </c>
      <c r="C374" s="17">
        <f t="shared" si="26"/>
        <v>141.7</v>
      </c>
      <c r="D374" s="17">
        <v>141.7</v>
      </c>
      <c r="E374" s="17">
        <v>0</v>
      </c>
      <c r="F374" s="17">
        <v>-95.7</v>
      </c>
      <c r="G374" s="17">
        <v>0</v>
      </c>
      <c r="H374" s="17">
        <v>0</v>
      </c>
      <c r="I374" s="17">
        <f t="shared" si="27"/>
        <v>150</v>
      </c>
      <c r="J374" s="17">
        <f t="shared" si="28"/>
        <v>196</v>
      </c>
      <c r="K374" s="17">
        <v>46</v>
      </c>
      <c r="L374" s="17">
        <v>150</v>
      </c>
      <c r="M374" s="329" t="s">
        <v>539</v>
      </c>
      <c r="N374" s="81">
        <f t="shared" si="29"/>
        <v>0</v>
      </c>
    </row>
    <row r="375" s="81" customFormat="1" customHeight="1" spans="1:14">
      <c r="A375" s="155">
        <v>21508</v>
      </c>
      <c r="B375" s="141" t="s">
        <v>540</v>
      </c>
      <c r="C375" s="17">
        <f t="shared" ref="C375:C422" si="30">D375+E375</f>
        <v>485.55</v>
      </c>
      <c r="D375" s="17">
        <v>265.55</v>
      </c>
      <c r="E375" s="17">
        <v>220</v>
      </c>
      <c r="F375" s="17">
        <v>0</v>
      </c>
      <c r="G375" s="17">
        <v>-120</v>
      </c>
      <c r="H375" s="17">
        <v>0</v>
      </c>
      <c r="I375" s="17">
        <f t="shared" si="27"/>
        <v>164.96</v>
      </c>
      <c r="J375" s="17">
        <f t="shared" ref="J375:J422" si="31">K375+L375</f>
        <v>530.51</v>
      </c>
      <c r="K375" s="17">
        <v>145.55</v>
      </c>
      <c r="L375" s="17">
        <v>384.96</v>
      </c>
      <c r="M375" s="329">
        <v>0</v>
      </c>
      <c r="N375" s="81">
        <f t="shared" si="29"/>
        <v>0</v>
      </c>
    </row>
    <row r="376" s="81" customFormat="1" customHeight="1" spans="1:14">
      <c r="A376" s="155">
        <v>2150805</v>
      </c>
      <c r="B376" s="141" t="s">
        <v>541</v>
      </c>
      <c r="C376" s="17">
        <f t="shared" si="30"/>
        <v>485.55</v>
      </c>
      <c r="D376" s="17">
        <v>265.55</v>
      </c>
      <c r="E376" s="17">
        <v>220</v>
      </c>
      <c r="F376" s="17">
        <v>0</v>
      </c>
      <c r="G376" s="17">
        <v>-120</v>
      </c>
      <c r="H376" s="17">
        <v>0</v>
      </c>
      <c r="I376" s="17">
        <f t="shared" ref="I376:I422" si="32">L376-E376</f>
        <v>-148.94</v>
      </c>
      <c r="J376" s="17">
        <f t="shared" si="31"/>
        <v>216.61</v>
      </c>
      <c r="K376" s="17">
        <v>145.55</v>
      </c>
      <c r="L376" s="17">
        <v>71.06</v>
      </c>
      <c r="M376" s="329" t="s">
        <v>542</v>
      </c>
      <c r="N376" s="81">
        <f t="shared" si="29"/>
        <v>0</v>
      </c>
    </row>
    <row r="377" s="81" customFormat="1" customHeight="1" spans="1:14">
      <c r="A377" s="155">
        <v>216</v>
      </c>
      <c r="B377" s="141" t="s">
        <v>543</v>
      </c>
      <c r="C377" s="17">
        <f t="shared" si="30"/>
        <v>427.6878</v>
      </c>
      <c r="D377" s="17">
        <v>404.07</v>
      </c>
      <c r="E377" s="17">
        <v>23.6178</v>
      </c>
      <c r="F377" s="17">
        <v>-0.0086</v>
      </c>
      <c r="G377" s="17">
        <v>0</v>
      </c>
      <c r="H377" s="17">
        <v>0.19</v>
      </c>
      <c r="I377" s="17">
        <f t="shared" si="32"/>
        <v>27</v>
      </c>
      <c r="J377" s="17">
        <f t="shared" si="31"/>
        <v>454.8692</v>
      </c>
      <c r="K377" s="17">
        <v>404.2514</v>
      </c>
      <c r="L377" s="17">
        <v>50.6178</v>
      </c>
      <c r="M377" s="329">
        <v>0</v>
      </c>
      <c r="N377" s="81">
        <f t="shared" si="29"/>
        <v>0</v>
      </c>
    </row>
    <row r="378" s="81" customFormat="1" customHeight="1" spans="1:14">
      <c r="A378" s="155">
        <v>21602</v>
      </c>
      <c r="B378" s="141" t="s">
        <v>544</v>
      </c>
      <c r="C378" s="17">
        <f t="shared" si="30"/>
        <v>125.35</v>
      </c>
      <c r="D378" s="17">
        <v>125.35</v>
      </c>
      <c r="E378" s="17">
        <v>0</v>
      </c>
      <c r="F378" s="17">
        <v>-0.0086</v>
      </c>
      <c r="G378" s="17">
        <v>0</v>
      </c>
      <c r="H378" s="17">
        <v>0.19</v>
      </c>
      <c r="I378" s="17">
        <f t="shared" si="32"/>
        <v>0</v>
      </c>
      <c r="J378" s="17">
        <f t="shared" si="31"/>
        <v>125.5314</v>
      </c>
      <c r="K378" s="17">
        <v>125.5314</v>
      </c>
      <c r="L378" s="17"/>
      <c r="M378" s="281"/>
      <c r="N378" s="81">
        <f t="shared" si="29"/>
        <v>0</v>
      </c>
    </row>
    <row r="379" s="81" customFormat="1" customHeight="1" spans="1:14">
      <c r="A379" s="155">
        <v>2160299</v>
      </c>
      <c r="B379" s="141" t="s">
        <v>545</v>
      </c>
      <c r="C379" s="17">
        <f t="shared" si="30"/>
        <v>125.35</v>
      </c>
      <c r="D379" s="17">
        <v>125.35</v>
      </c>
      <c r="E379" s="17">
        <v>0</v>
      </c>
      <c r="F379" s="17">
        <v>-0.0086</v>
      </c>
      <c r="G379" s="17">
        <v>0</v>
      </c>
      <c r="H379" s="17">
        <v>0.19</v>
      </c>
      <c r="I379" s="17">
        <f t="shared" si="32"/>
        <v>0</v>
      </c>
      <c r="J379" s="17">
        <f t="shared" si="31"/>
        <v>125.5314</v>
      </c>
      <c r="K379" s="17">
        <v>125.5314</v>
      </c>
      <c r="L379" s="17"/>
      <c r="M379" s="281" t="s">
        <v>103</v>
      </c>
      <c r="N379" s="81">
        <f t="shared" si="29"/>
        <v>0</v>
      </c>
    </row>
    <row r="380" s="81" customFormat="1" customHeight="1" spans="1:14">
      <c r="A380" s="155">
        <v>21606</v>
      </c>
      <c r="B380" s="141" t="s">
        <v>546</v>
      </c>
      <c r="C380" s="17">
        <f t="shared" si="30"/>
        <v>256.02</v>
      </c>
      <c r="D380" s="17">
        <v>256.02</v>
      </c>
      <c r="E380" s="17">
        <v>0</v>
      </c>
      <c r="F380" s="17">
        <v>0</v>
      </c>
      <c r="G380" s="17">
        <v>0</v>
      </c>
      <c r="H380" s="17">
        <v>0</v>
      </c>
      <c r="I380" s="17">
        <f t="shared" si="32"/>
        <v>27</v>
      </c>
      <c r="J380" s="17">
        <f t="shared" si="31"/>
        <v>283.02</v>
      </c>
      <c r="K380" s="17">
        <v>256.02</v>
      </c>
      <c r="L380" s="17">
        <v>27</v>
      </c>
      <c r="M380" s="281"/>
      <c r="N380" s="81">
        <f t="shared" si="29"/>
        <v>0</v>
      </c>
    </row>
    <row r="381" s="81" customFormat="1" customHeight="1" spans="1:14">
      <c r="A381" s="155">
        <v>2160699</v>
      </c>
      <c r="B381" s="141" t="s">
        <v>547</v>
      </c>
      <c r="C381" s="17">
        <f t="shared" si="30"/>
        <v>256.02</v>
      </c>
      <c r="D381" s="17">
        <v>256.02</v>
      </c>
      <c r="E381" s="17">
        <v>0</v>
      </c>
      <c r="F381" s="17">
        <v>0</v>
      </c>
      <c r="G381" s="17">
        <v>0</v>
      </c>
      <c r="H381" s="17">
        <v>0</v>
      </c>
      <c r="I381" s="17">
        <f t="shared" si="32"/>
        <v>27</v>
      </c>
      <c r="J381" s="17">
        <f t="shared" si="31"/>
        <v>283.02</v>
      </c>
      <c r="K381" s="17">
        <v>256.02</v>
      </c>
      <c r="L381" s="17">
        <v>27</v>
      </c>
      <c r="M381" s="329"/>
      <c r="N381" s="81">
        <f t="shared" si="29"/>
        <v>0</v>
      </c>
    </row>
    <row r="382" s="81" customFormat="1" customHeight="1" spans="1:14">
      <c r="A382" s="155">
        <v>21699</v>
      </c>
      <c r="B382" s="141" t="s">
        <v>548</v>
      </c>
      <c r="C382" s="17">
        <f t="shared" si="30"/>
        <v>46.3178</v>
      </c>
      <c r="D382" s="17">
        <v>22.7</v>
      </c>
      <c r="E382" s="17">
        <v>23.6178</v>
      </c>
      <c r="F382" s="17">
        <v>0</v>
      </c>
      <c r="G382" s="17">
        <v>0</v>
      </c>
      <c r="H382" s="17">
        <v>0</v>
      </c>
      <c r="I382" s="17">
        <f t="shared" si="32"/>
        <v>0</v>
      </c>
      <c r="J382" s="17">
        <f t="shared" si="31"/>
        <v>46.3178</v>
      </c>
      <c r="K382" s="17">
        <v>22.7</v>
      </c>
      <c r="L382" s="17">
        <v>23.6178</v>
      </c>
      <c r="M382" s="281"/>
      <c r="N382" s="81">
        <f t="shared" si="29"/>
        <v>0</v>
      </c>
    </row>
    <row r="383" s="81" customFormat="1" customHeight="1" spans="1:14">
      <c r="A383" s="155">
        <v>2169999</v>
      </c>
      <c r="B383" s="141" t="s">
        <v>548</v>
      </c>
      <c r="C383" s="17">
        <f t="shared" si="30"/>
        <v>46.3178</v>
      </c>
      <c r="D383" s="17">
        <v>22.7</v>
      </c>
      <c r="E383" s="17">
        <v>23.6178</v>
      </c>
      <c r="F383" s="17">
        <v>0</v>
      </c>
      <c r="G383" s="17">
        <v>0</v>
      </c>
      <c r="H383" s="17">
        <v>0</v>
      </c>
      <c r="I383" s="17">
        <f t="shared" si="32"/>
        <v>0</v>
      </c>
      <c r="J383" s="17">
        <f t="shared" si="31"/>
        <v>46.3178</v>
      </c>
      <c r="K383" s="17">
        <v>22.7</v>
      </c>
      <c r="L383" s="17">
        <v>23.6178</v>
      </c>
      <c r="M383" s="281"/>
      <c r="N383" s="81">
        <f t="shared" si="29"/>
        <v>0</v>
      </c>
    </row>
    <row r="384" s="81" customFormat="1" customHeight="1" spans="1:14">
      <c r="A384" s="155">
        <v>217</v>
      </c>
      <c r="B384" s="141" t="s">
        <v>549</v>
      </c>
      <c r="C384" s="17">
        <f t="shared" si="30"/>
        <v>110</v>
      </c>
      <c r="D384" s="17">
        <v>105</v>
      </c>
      <c r="E384" s="17">
        <v>5</v>
      </c>
      <c r="F384" s="17">
        <v>-30</v>
      </c>
      <c r="G384" s="17">
        <v>0</v>
      </c>
      <c r="H384" s="17">
        <v>0</v>
      </c>
      <c r="I384" s="17">
        <f t="shared" si="32"/>
        <v>0</v>
      </c>
      <c r="J384" s="17">
        <f t="shared" si="31"/>
        <v>80</v>
      </c>
      <c r="K384" s="17">
        <v>75</v>
      </c>
      <c r="L384" s="17">
        <v>5</v>
      </c>
      <c r="M384" s="329"/>
      <c r="N384" s="81">
        <f t="shared" si="29"/>
        <v>0</v>
      </c>
    </row>
    <row r="385" s="81" customFormat="1" customHeight="1" spans="1:14">
      <c r="A385" s="155">
        <v>21702</v>
      </c>
      <c r="B385" s="141" t="s">
        <v>550</v>
      </c>
      <c r="C385" s="17">
        <f t="shared" si="30"/>
        <v>100</v>
      </c>
      <c r="D385" s="17">
        <v>100</v>
      </c>
      <c r="E385" s="17">
        <v>0</v>
      </c>
      <c r="F385" s="17">
        <v>-30</v>
      </c>
      <c r="G385" s="17">
        <v>0</v>
      </c>
      <c r="H385" s="17">
        <v>0</v>
      </c>
      <c r="I385" s="17">
        <f t="shared" si="32"/>
        <v>0</v>
      </c>
      <c r="J385" s="17">
        <f t="shared" si="31"/>
        <v>70</v>
      </c>
      <c r="K385" s="17">
        <v>70</v>
      </c>
      <c r="L385" s="17"/>
      <c r="M385" s="329"/>
      <c r="N385" s="81">
        <f t="shared" si="29"/>
        <v>0</v>
      </c>
    </row>
    <row r="386" s="81" customFormat="1" customHeight="1" spans="1:14">
      <c r="A386" s="155">
        <v>2170299</v>
      </c>
      <c r="B386" s="141" t="s">
        <v>551</v>
      </c>
      <c r="C386" s="17">
        <f t="shared" si="30"/>
        <v>100</v>
      </c>
      <c r="D386" s="17">
        <v>100</v>
      </c>
      <c r="E386" s="17">
        <v>0</v>
      </c>
      <c r="F386" s="17">
        <v>-30</v>
      </c>
      <c r="G386" s="17">
        <v>0</v>
      </c>
      <c r="H386" s="17">
        <v>0</v>
      </c>
      <c r="I386" s="17">
        <f t="shared" si="32"/>
        <v>0</v>
      </c>
      <c r="J386" s="17">
        <f t="shared" si="31"/>
        <v>70</v>
      </c>
      <c r="K386" s="17">
        <v>70</v>
      </c>
      <c r="L386" s="17"/>
      <c r="M386" s="329" t="s">
        <v>552</v>
      </c>
      <c r="N386" s="81">
        <f t="shared" si="29"/>
        <v>0</v>
      </c>
    </row>
    <row r="387" s="81" customFormat="1" customHeight="1" spans="1:14">
      <c r="A387" s="155">
        <v>21799</v>
      </c>
      <c r="B387" s="141" t="s">
        <v>553</v>
      </c>
      <c r="C387" s="17">
        <f t="shared" si="30"/>
        <v>10</v>
      </c>
      <c r="D387" s="17">
        <v>5</v>
      </c>
      <c r="E387" s="17">
        <v>5</v>
      </c>
      <c r="F387" s="17">
        <v>0</v>
      </c>
      <c r="G387" s="17">
        <v>0</v>
      </c>
      <c r="H387" s="17">
        <v>0</v>
      </c>
      <c r="I387" s="17">
        <f t="shared" si="32"/>
        <v>0</v>
      </c>
      <c r="J387" s="17">
        <f t="shared" si="31"/>
        <v>10</v>
      </c>
      <c r="K387" s="17">
        <v>5</v>
      </c>
      <c r="L387" s="17">
        <v>5</v>
      </c>
      <c r="M387" s="281"/>
      <c r="N387" s="81">
        <f t="shared" si="29"/>
        <v>0</v>
      </c>
    </row>
    <row r="388" s="81" customFormat="1" customHeight="1" spans="1:14">
      <c r="A388" s="155">
        <v>2179999</v>
      </c>
      <c r="B388" s="141" t="s">
        <v>553</v>
      </c>
      <c r="C388" s="17">
        <f t="shared" si="30"/>
        <v>10</v>
      </c>
      <c r="D388" s="17">
        <v>5</v>
      </c>
      <c r="E388" s="17">
        <v>5</v>
      </c>
      <c r="F388" s="17">
        <v>0</v>
      </c>
      <c r="G388" s="17">
        <v>0</v>
      </c>
      <c r="H388" s="17">
        <v>0</v>
      </c>
      <c r="I388" s="17">
        <f t="shared" si="32"/>
        <v>0</v>
      </c>
      <c r="J388" s="17">
        <f t="shared" si="31"/>
        <v>10</v>
      </c>
      <c r="K388" s="17">
        <v>5</v>
      </c>
      <c r="L388" s="17">
        <v>5</v>
      </c>
      <c r="M388" s="281"/>
      <c r="N388" s="81">
        <f t="shared" si="29"/>
        <v>0</v>
      </c>
    </row>
    <row r="389" s="81" customFormat="1" customHeight="1" spans="1:14">
      <c r="A389" s="155">
        <v>220</v>
      </c>
      <c r="B389" s="141" t="s">
        <v>554</v>
      </c>
      <c r="C389" s="17">
        <f t="shared" si="30"/>
        <v>1873.21</v>
      </c>
      <c r="D389" s="17">
        <v>1873.21</v>
      </c>
      <c r="E389" s="17">
        <v>0</v>
      </c>
      <c r="F389" s="17">
        <v>-50.5</v>
      </c>
      <c r="G389" s="17">
        <v>44</v>
      </c>
      <c r="H389" s="17">
        <v>22.39</v>
      </c>
      <c r="I389" s="17">
        <f t="shared" si="32"/>
        <v>0</v>
      </c>
      <c r="J389" s="17">
        <f t="shared" si="31"/>
        <v>1889.1</v>
      </c>
      <c r="K389" s="17">
        <v>1889.1</v>
      </c>
      <c r="L389" s="17"/>
      <c r="M389" s="329"/>
      <c r="N389" s="81">
        <f t="shared" si="29"/>
        <v>0</v>
      </c>
    </row>
    <row r="390" s="81" customFormat="1" customHeight="1" spans="1:14">
      <c r="A390" s="155">
        <v>22001</v>
      </c>
      <c r="B390" s="141" t="s">
        <v>555</v>
      </c>
      <c r="C390" s="17">
        <f t="shared" si="30"/>
        <v>1873.21</v>
      </c>
      <c r="D390" s="17">
        <v>1873.21</v>
      </c>
      <c r="E390" s="17">
        <v>0</v>
      </c>
      <c r="F390" s="17">
        <v>-50.5</v>
      </c>
      <c r="G390" s="17">
        <v>44</v>
      </c>
      <c r="H390" s="17">
        <v>22.39</v>
      </c>
      <c r="I390" s="17">
        <f t="shared" si="32"/>
        <v>0</v>
      </c>
      <c r="J390" s="17">
        <f t="shared" si="31"/>
        <v>1889.1</v>
      </c>
      <c r="K390" s="17">
        <v>1889.1</v>
      </c>
      <c r="L390" s="17"/>
      <c r="M390" s="329"/>
      <c r="N390" s="81">
        <f t="shared" si="29"/>
        <v>0</v>
      </c>
    </row>
    <row r="391" s="81" customFormat="1" customHeight="1" spans="1:14">
      <c r="A391" s="155">
        <v>2200101</v>
      </c>
      <c r="B391" s="141" t="s">
        <v>102</v>
      </c>
      <c r="C391" s="17">
        <f t="shared" si="30"/>
        <v>513.54</v>
      </c>
      <c r="D391" s="17">
        <v>513.54</v>
      </c>
      <c r="E391" s="17">
        <v>0</v>
      </c>
      <c r="F391" s="17">
        <v>0</v>
      </c>
      <c r="G391" s="17">
        <v>0</v>
      </c>
      <c r="H391" s="17">
        <v>0</v>
      </c>
      <c r="I391" s="17">
        <f t="shared" si="32"/>
        <v>0</v>
      </c>
      <c r="J391" s="17">
        <f t="shared" si="31"/>
        <v>513.54</v>
      </c>
      <c r="K391" s="17">
        <v>513.54</v>
      </c>
      <c r="L391" s="17"/>
      <c r="M391" s="329"/>
      <c r="N391" s="81">
        <f t="shared" ref="N391:N438" si="33">E391+I391-L391</f>
        <v>0</v>
      </c>
    </row>
    <row r="392" s="81" customFormat="1" customHeight="1" spans="1:14">
      <c r="A392" s="155">
        <v>2200106</v>
      </c>
      <c r="B392" s="141" t="s">
        <v>556</v>
      </c>
      <c r="C392" s="17">
        <f t="shared" si="30"/>
        <v>146.8</v>
      </c>
      <c r="D392" s="17">
        <v>146.8</v>
      </c>
      <c r="E392" s="17">
        <v>0</v>
      </c>
      <c r="F392" s="17">
        <v>127</v>
      </c>
      <c r="G392" s="17">
        <v>44</v>
      </c>
      <c r="H392" s="17">
        <v>0</v>
      </c>
      <c r="I392" s="17">
        <f t="shared" si="32"/>
        <v>0</v>
      </c>
      <c r="J392" s="17">
        <f t="shared" si="31"/>
        <v>317.8</v>
      </c>
      <c r="K392" s="17">
        <v>317.8</v>
      </c>
      <c r="L392" s="17"/>
      <c r="M392" s="329" t="s">
        <v>557</v>
      </c>
      <c r="N392" s="81">
        <f t="shared" si="33"/>
        <v>0</v>
      </c>
    </row>
    <row r="393" s="81" customFormat="1" customHeight="1" spans="1:14">
      <c r="A393" s="155">
        <v>2200120</v>
      </c>
      <c r="B393" s="141" t="s">
        <v>558</v>
      </c>
      <c r="C393" s="17">
        <f t="shared" si="30"/>
        <v>5</v>
      </c>
      <c r="D393" s="17">
        <v>5</v>
      </c>
      <c r="E393" s="17">
        <v>0</v>
      </c>
      <c r="F393" s="17">
        <v>-5</v>
      </c>
      <c r="G393" s="17">
        <v>0</v>
      </c>
      <c r="H393" s="17">
        <v>0</v>
      </c>
      <c r="I393" s="17">
        <f t="shared" si="32"/>
        <v>0</v>
      </c>
      <c r="J393" s="17">
        <f t="shared" si="31"/>
        <v>0</v>
      </c>
      <c r="K393" s="17">
        <v>0</v>
      </c>
      <c r="L393" s="17"/>
      <c r="M393" s="281" t="s">
        <v>559</v>
      </c>
      <c r="N393" s="81">
        <f t="shared" si="33"/>
        <v>0</v>
      </c>
    </row>
    <row r="394" s="81" customFormat="1" customHeight="1" spans="1:14">
      <c r="A394" s="155">
        <v>2200150</v>
      </c>
      <c r="B394" s="141" t="s">
        <v>129</v>
      </c>
      <c r="C394" s="17">
        <f t="shared" si="30"/>
        <v>641.87</v>
      </c>
      <c r="D394" s="17">
        <v>641.87</v>
      </c>
      <c r="E394" s="17">
        <v>0</v>
      </c>
      <c r="F394" s="17">
        <v>0</v>
      </c>
      <c r="G394" s="17">
        <v>0</v>
      </c>
      <c r="H394" s="17">
        <v>22.39</v>
      </c>
      <c r="I394" s="17">
        <f t="shared" si="32"/>
        <v>0</v>
      </c>
      <c r="J394" s="17">
        <f t="shared" si="31"/>
        <v>664.26</v>
      </c>
      <c r="K394" s="17">
        <v>664.26</v>
      </c>
      <c r="L394" s="17"/>
      <c r="M394" s="329"/>
      <c r="N394" s="81">
        <f t="shared" si="33"/>
        <v>0</v>
      </c>
    </row>
    <row r="395" s="81" customFormat="1" customHeight="1" spans="1:14">
      <c r="A395" s="155">
        <v>2200199</v>
      </c>
      <c r="B395" s="141" t="s">
        <v>560</v>
      </c>
      <c r="C395" s="17">
        <f t="shared" si="30"/>
        <v>566</v>
      </c>
      <c r="D395" s="17">
        <v>566</v>
      </c>
      <c r="E395" s="17">
        <v>0</v>
      </c>
      <c r="F395" s="17">
        <v>-172.5</v>
      </c>
      <c r="G395" s="17">
        <v>0</v>
      </c>
      <c r="H395" s="17">
        <v>0</v>
      </c>
      <c r="I395" s="17">
        <f t="shared" si="32"/>
        <v>0</v>
      </c>
      <c r="J395" s="17">
        <f t="shared" si="31"/>
        <v>393.5</v>
      </c>
      <c r="K395" s="17">
        <v>393.5</v>
      </c>
      <c r="L395" s="17"/>
      <c r="M395" s="281" t="s">
        <v>561</v>
      </c>
      <c r="N395" s="81">
        <f t="shared" si="33"/>
        <v>0</v>
      </c>
    </row>
    <row r="396" s="81" customFormat="1" customHeight="1" spans="1:14">
      <c r="A396" s="155">
        <v>221</v>
      </c>
      <c r="B396" s="141" t="s">
        <v>562</v>
      </c>
      <c r="C396" s="17">
        <f t="shared" si="30"/>
        <v>5467.32</v>
      </c>
      <c r="D396" s="17">
        <v>5467.32</v>
      </c>
      <c r="E396" s="17">
        <v>0</v>
      </c>
      <c r="F396" s="17">
        <f>-1528.37+2.3058</f>
        <v>-1526.0642</v>
      </c>
      <c r="G396" s="17">
        <v>0</v>
      </c>
      <c r="H396" s="17">
        <v>26.36</v>
      </c>
      <c r="I396" s="17">
        <f t="shared" si="32"/>
        <v>79.315458</v>
      </c>
      <c r="J396" s="17">
        <f t="shared" si="31"/>
        <v>4046.931258</v>
      </c>
      <c r="K396" s="17">
        <v>3967.6158</v>
      </c>
      <c r="L396" s="17">
        <v>79.315458</v>
      </c>
      <c r="M396" s="329"/>
      <c r="N396" s="81">
        <f t="shared" si="33"/>
        <v>0</v>
      </c>
    </row>
    <row r="397" s="81" customFormat="1" customHeight="1" spans="1:14">
      <c r="A397" s="155">
        <v>22101</v>
      </c>
      <c r="B397" s="141" t="s">
        <v>563</v>
      </c>
      <c r="C397" s="17">
        <f t="shared" si="30"/>
        <v>2042.71</v>
      </c>
      <c r="D397" s="17">
        <v>2042.71</v>
      </c>
      <c r="E397" s="17">
        <v>0</v>
      </c>
      <c r="F397" s="17">
        <f>-1414.36+2.3058</f>
        <v>-1412.0542</v>
      </c>
      <c r="G397" s="17">
        <v>0</v>
      </c>
      <c r="H397" s="17">
        <v>2</v>
      </c>
      <c r="I397" s="17">
        <f t="shared" si="32"/>
        <v>79</v>
      </c>
      <c r="J397" s="17">
        <f t="shared" si="31"/>
        <v>711.6558</v>
      </c>
      <c r="K397" s="17">
        <v>632.6558</v>
      </c>
      <c r="L397" s="17">
        <v>79</v>
      </c>
      <c r="M397" s="329"/>
      <c r="N397" s="81">
        <f t="shared" si="33"/>
        <v>0</v>
      </c>
    </row>
    <row r="398" s="81" customFormat="1" customHeight="1" spans="1:14">
      <c r="A398" s="155">
        <v>2210105</v>
      </c>
      <c r="B398" s="141" t="s">
        <v>564</v>
      </c>
      <c r="C398" s="17">
        <f t="shared" si="30"/>
        <v>32.28</v>
      </c>
      <c r="D398" s="17">
        <v>32.28</v>
      </c>
      <c r="E398" s="17">
        <v>0</v>
      </c>
      <c r="F398" s="17">
        <f>-29.9742</f>
        <v>-29.9742</v>
      </c>
      <c r="G398" s="17"/>
      <c r="H398" s="17">
        <v>2</v>
      </c>
      <c r="I398" s="17">
        <f t="shared" si="32"/>
        <v>3</v>
      </c>
      <c r="J398" s="17">
        <f t="shared" si="31"/>
        <v>7.3058</v>
      </c>
      <c r="K398" s="17">
        <v>4.3058</v>
      </c>
      <c r="L398" s="17">
        <v>3</v>
      </c>
      <c r="M398" s="329"/>
      <c r="N398" s="81">
        <f t="shared" si="33"/>
        <v>0</v>
      </c>
    </row>
    <row r="399" s="81" customFormat="1" customHeight="1" spans="1:14">
      <c r="A399" s="145">
        <v>2210107</v>
      </c>
      <c r="B399" s="141" t="s">
        <v>565</v>
      </c>
      <c r="C399" s="17">
        <f t="shared" si="30"/>
        <v>103.9</v>
      </c>
      <c r="D399" s="17">
        <v>103.9</v>
      </c>
      <c r="E399" s="17">
        <v>0</v>
      </c>
      <c r="F399" s="17"/>
      <c r="G399" s="17"/>
      <c r="H399" s="17"/>
      <c r="I399" s="17">
        <f t="shared" si="32"/>
        <v>0</v>
      </c>
      <c r="J399" s="17">
        <f t="shared" si="31"/>
        <v>103.9</v>
      </c>
      <c r="K399" s="17">
        <v>103.9</v>
      </c>
      <c r="L399" s="17"/>
      <c r="M399" s="329"/>
      <c r="N399" s="81">
        <f t="shared" si="33"/>
        <v>0</v>
      </c>
    </row>
    <row r="400" s="81" customFormat="1" customHeight="1" spans="1:14">
      <c r="A400" s="155">
        <v>2210108</v>
      </c>
      <c r="B400" s="141" t="s">
        <v>566</v>
      </c>
      <c r="C400" s="17">
        <f t="shared" si="30"/>
        <v>1630.21</v>
      </c>
      <c r="D400" s="17">
        <v>1630.21</v>
      </c>
      <c r="E400" s="17">
        <v>0</v>
      </c>
      <c r="F400" s="17">
        <v>-1175.58</v>
      </c>
      <c r="G400" s="17">
        <v>0</v>
      </c>
      <c r="H400" s="17">
        <v>0</v>
      </c>
      <c r="I400" s="17">
        <f t="shared" si="32"/>
        <v>15</v>
      </c>
      <c r="J400" s="17">
        <f t="shared" si="31"/>
        <v>469.63</v>
      </c>
      <c r="K400" s="17">
        <v>454.63</v>
      </c>
      <c r="L400" s="17">
        <v>15</v>
      </c>
      <c r="M400" s="329" t="s">
        <v>567</v>
      </c>
      <c r="N400" s="81">
        <f t="shared" si="33"/>
        <v>0</v>
      </c>
    </row>
    <row r="401" s="81" customFormat="1" customHeight="1" spans="1:14">
      <c r="A401" s="155">
        <v>2210110</v>
      </c>
      <c r="B401" s="141" t="s">
        <v>568</v>
      </c>
      <c r="C401" s="17">
        <f t="shared" si="30"/>
        <v>0</v>
      </c>
      <c r="D401" s="17"/>
      <c r="E401" s="17"/>
      <c r="F401" s="17"/>
      <c r="G401" s="17"/>
      <c r="H401" s="17"/>
      <c r="I401" s="17">
        <f t="shared" si="32"/>
        <v>61</v>
      </c>
      <c r="J401" s="17">
        <f t="shared" si="31"/>
        <v>61</v>
      </c>
      <c r="K401" s="17">
        <v>0</v>
      </c>
      <c r="L401" s="17">
        <v>61</v>
      </c>
      <c r="M401" s="329"/>
      <c r="N401" s="81">
        <f t="shared" si="33"/>
        <v>0</v>
      </c>
    </row>
    <row r="402" s="81" customFormat="1" customHeight="1" spans="1:14">
      <c r="A402" s="145">
        <v>2210199</v>
      </c>
      <c r="B402" s="141" t="s">
        <v>569</v>
      </c>
      <c r="C402" s="17">
        <f t="shared" si="30"/>
        <v>276.3</v>
      </c>
      <c r="D402" s="17">
        <v>276.3</v>
      </c>
      <c r="E402" s="17">
        <v>0</v>
      </c>
      <c r="F402" s="17">
        <v>-206.5</v>
      </c>
      <c r="G402" s="17"/>
      <c r="H402" s="17"/>
      <c r="I402" s="17">
        <f t="shared" si="32"/>
        <v>0</v>
      </c>
      <c r="J402" s="17">
        <f t="shared" si="31"/>
        <v>69.8</v>
      </c>
      <c r="K402" s="17">
        <v>69.8</v>
      </c>
      <c r="L402" s="17"/>
      <c r="M402" s="329" t="s">
        <v>570</v>
      </c>
      <c r="N402" s="81">
        <f t="shared" si="33"/>
        <v>0</v>
      </c>
    </row>
    <row r="403" s="81" customFormat="1" customHeight="1" spans="1:14">
      <c r="A403" s="155">
        <v>22102</v>
      </c>
      <c r="B403" s="141" t="s">
        <v>571</v>
      </c>
      <c r="C403" s="17">
        <f t="shared" si="30"/>
        <v>3424.61</v>
      </c>
      <c r="D403" s="17">
        <v>3424.61</v>
      </c>
      <c r="E403" s="17">
        <v>0</v>
      </c>
      <c r="F403" s="17">
        <v>-114.01</v>
      </c>
      <c r="G403" s="17">
        <v>0</v>
      </c>
      <c r="H403" s="17">
        <v>24.36</v>
      </c>
      <c r="I403" s="17">
        <f t="shared" si="32"/>
        <v>0</v>
      </c>
      <c r="J403" s="17">
        <f t="shared" si="31"/>
        <v>3334.96</v>
      </c>
      <c r="K403" s="17">
        <v>3334.96</v>
      </c>
      <c r="L403" s="17"/>
      <c r="M403" s="281"/>
      <c r="N403" s="81">
        <f t="shared" si="33"/>
        <v>0</v>
      </c>
    </row>
    <row r="404" s="81" customFormat="1" customHeight="1" spans="1:14">
      <c r="A404" s="155">
        <v>2210201</v>
      </c>
      <c r="B404" s="141" t="s">
        <v>572</v>
      </c>
      <c r="C404" s="17">
        <f t="shared" si="30"/>
        <v>3424.61</v>
      </c>
      <c r="D404" s="17">
        <v>3424.61</v>
      </c>
      <c r="E404" s="17">
        <v>0</v>
      </c>
      <c r="F404" s="17">
        <v>-114.01</v>
      </c>
      <c r="G404" s="17">
        <v>0</v>
      </c>
      <c r="H404" s="17">
        <v>24.36</v>
      </c>
      <c r="I404" s="17">
        <f t="shared" si="32"/>
        <v>0</v>
      </c>
      <c r="J404" s="17">
        <f t="shared" si="31"/>
        <v>3334.96</v>
      </c>
      <c r="K404" s="17">
        <v>3334.96</v>
      </c>
      <c r="L404" s="17"/>
      <c r="M404" s="329" t="s">
        <v>143</v>
      </c>
      <c r="N404" s="81">
        <f t="shared" si="33"/>
        <v>0</v>
      </c>
    </row>
    <row r="405" s="81" customFormat="1" customHeight="1" spans="1:14">
      <c r="A405" s="155">
        <v>222</v>
      </c>
      <c r="B405" s="141" t="s">
        <v>573</v>
      </c>
      <c r="C405" s="17">
        <f t="shared" si="30"/>
        <v>509.06</v>
      </c>
      <c r="D405" s="17">
        <v>509.06</v>
      </c>
      <c r="E405" s="17">
        <v>0</v>
      </c>
      <c r="F405" s="17">
        <v>1</v>
      </c>
      <c r="G405" s="17">
        <v>0</v>
      </c>
      <c r="H405" s="17">
        <v>0</v>
      </c>
      <c r="I405" s="17">
        <f t="shared" si="32"/>
        <v>0</v>
      </c>
      <c r="J405" s="17">
        <f t="shared" si="31"/>
        <v>510.06</v>
      </c>
      <c r="K405" s="17">
        <v>510.06</v>
      </c>
      <c r="L405" s="17"/>
      <c r="M405" s="329"/>
      <c r="N405" s="81">
        <f t="shared" si="33"/>
        <v>0</v>
      </c>
    </row>
    <row r="406" s="81" customFormat="1" customHeight="1" spans="1:14">
      <c r="A406" s="155">
        <v>22201</v>
      </c>
      <c r="B406" s="141" t="s">
        <v>574</v>
      </c>
      <c r="C406" s="17">
        <f t="shared" si="30"/>
        <v>509.06</v>
      </c>
      <c r="D406" s="17">
        <v>509.06</v>
      </c>
      <c r="E406" s="17">
        <v>0</v>
      </c>
      <c r="F406" s="17">
        <v>1</v>
      </c>
      <c r="G406" s="17">
        <v>0</v>
      </c>
      <c r="H406" s="17">
        <v>0</v>
      </c>
      <c r="I406" s="17">
        <f t="shared" si="32"/>
        <v>0</v>
      </c>
      <c r="J406" s="17">
        <f t="shared" si="31"/>
        <v>510.06</v>
      </c>
      <c r="K406" s="17">
        <v>510.06</v>
      </c>
      <c r="L406" s="17"/>
      <c r="M406" s="329"/>
      <c r="N406" s="81">
        <f t="shared" si="33"/>
        <v>0</v>
      </c>
    </row>
    <row r="407" s="81" customFormat="1" customHeight="1" spans="1:14">
      <c r="A407" s="155">
        <v>2220115</v>
      </c>
      <c r="B407" s="141" t="s">
        <v>575</v>
      </c>
      <c r="C407" s="17">
        <f t="shared" si="30"/>
        <v>434</v>
      </c>
      <c r="D407" s="17">
        <v>434</v>
      </c>
      <c r="E407" s="17">
        <v>0</v>
      </c>
      <c r="F407" s="17">
        <v>0</v>
      </c>
      <c r="G407" s="17">
        <v>0</v>
      </c>
      <c r="H407" s="17">
        <v>0</v>
      </c>
      <c r="I407" s="17">
        <f t="shared" si="32"/>
        <v>0</v>
      </c>
      <c r="J407" s="17">
        <f t="shared" si="31"/>
        <v>434</v>
      </c>
      <c r="K407" s="17">
        <v>434</v>
      </c>
      <c r="L407" s="17"/>
      <c r="M407" s="329"/>
      <c r="N407" s="81">
        <f t="shared" si="33"/>
        <v>0</v>
      </c>
    </row>
    <row r="408" s="81" customFormat="1" customHeight="1" spans="1:14">
      <c r="A408" s="155">
        <v>2220199</v>
      </c>
      <c r="B408" s="141" t="s">
        <v>576</v>
      </c>
      <c r="C408" s="17">
        <f t="shared" si="30"/>
        <v>75.06</v>
      </c>
      <c r="D408" s="17">
        <v>75.06</v>
      </c>
      <c r="E408" s="17">
        <v>0</v>
      </c>
      <c r="F408" s="17">
        <v>1</v>
      </c>
      <c r="G408" s="17">
        <v>0</v>
      </c>
      <c r="H408" s="17">
        <v>0</v>
      </c>
      <c r="I408" s="17">
        <f t="shared" si="32"/>
        <v>0</v>
      </c>
      <c r="J408" s="17">
        <f t="shared" si="31"/>
        <v>76.06</v>
      </c>
      <c r="K408" s="17">
        <v>76.06</v>
      </c>
      <c r="L408" s="17"/>
      <c r="M408" s="329" t="s">
        <v>577</v>
      </c>
      <c r="N408" s="81">
        <f t="shared" si="33"/>
        <v>0</v>
      </c>
    </row>
    <row r="409" s="81" customFormat="1" customHeight="1" spans="1:14">
      <c r="A409" s="155">
        <v>224</v>
      </c>
      <c r="B409" s="141" t="s">
        <v>578</v>
      </c>
      <c r="C409" s="17">
        <f t="shared" si="30"/>
        <v>2271.99</v>
      </c>
      <c r="D409" s="17">
        <v>2271.99</v>
      </c>
      <c r="E409" s="17">
        <v>0</v>
      </c>
      <c r="F409" s="17">
        <v>-143.8185</v>
      </c>
      <c r="G409" s="17">
        <v>0</v>
      </c>
      <c r="H409" s="17">
        <v>6.75</v>
      </c>
      <c r="I409" s="17">
        <f t="shared" si="32"/>
        <v>10</v>
      </c>
      <c r="J409" s="17">
        <f t="shared" si="31"/>
        <v>2144.9215</v>
      </c>
      <c r="K409" s="17">
        <v>2134.9215</v>
      </c>
      <c r="L409" s="17">
        <v>10</v>
      </c>
      <c r="M409" s="329"/>
      <c r="N409" s="81">
        <f t="shared" si="33"/>
        <v>0</v>
      </c>
    </row>
    <row r="410" s="81" customFormat="1" customHeight="1" spans="1:14">
      <c r="A410" s="155">
        <v>22401</v>
      </c>
      <c r="B410" s="141" t="s">
        <v>579</v>
      </c>
      <c r="C410" s="17">
        <f t="shared" si="30"/>
        <v>1365.36</v>
      </c>
      <c r="D410" s="17">
        <v>1365.36</v>
      </c>
      <c r="E410" s="17">
        <v>0</v>
      </c>
      <c r="F410" s="17">
        <v>-13.8185</v>
      </c>
      <c r="G410" s="17">
        <v>0</v>
      </c>
      <c r="H410" s="17">
        <v>0.75</v>
      </c>
      <c r="I410" s="17">
        <f t="shared" si="32"/>
        <v>0</v>
      </c>
      <c r="J410" s="17">
        <f t="shared" si="31"/>
        <v>1352.2915</v>
      </c>
      <c r="K410" s="17">
        <v>1352.2915</v>
      </c>
      <c r="L410" s="17"/>
      <c r="M410" s="329"/>
      <c r="N410" s="81">
        <f t="shared" si="33"/>
        <v>0</v>
      </c>
    </row>
    <row r="411" s="81" customFormat="1" customHeight="1" spans="1:14">
      <c r="A411" s="155">
        <v>2240101</v>
      </c>
      <c r="B411" s="141" t="s">
        <v>102</v>
      </c>
      <c r="C411" s="17">
        <f t="shared" si="30"/>
        <v>314.15</v>
      </c>
      <c r="D411" s="17">
        <v>314.15</v>
      </c>
      <c r="E411" s="17">
        <v>0</v>
      </c>
      <c r="F411" s="17">
        <v>-2.12</v>
      </c>
      <c r="G411" s="17">
        <v>0</v>
      </c>
      <c r="H411" s="17">
        <v>0.53</v>
      </c>
      <c r="I411" s="17">
        <f t="shared" si="32"/>
        <v>0</v>
      </c>
      <c r="J411" s="17">
        <f t="shared" si="31"/>
        <v>312.56</v>
      </c>
      <c r="K411" s="17">
        <v>312.56</v>
      </c>
      <c r="L411" s="17"/>
      <c r="M411" s="329" t="s">
        <v>306</v>
      </c>
      <c r="N411" s="81">
        <f t="shared" si="33"/>
        <v>0</v>
      </c>
    </row>
    <row r="412" s="81" customFormat="1" customHeight="1" spans="1:14">
      <c r="A412" s="155">
        <v>2240106</v>
      </c>
      <c r="B412" s="141" t="s">
        <v>580</v>
      </c>
      <c r="C412" s="17">
        <f t="shared" si="30"/>
        <v>146.48</v>
      </c>
      <c r="D412" s="17">
        <v>146.48</v>
      </c>
      <c r="E412" s="17">
        <v>0</v>
      </c>
      <c r="F412" s="17">
        <v>0</v>
      </c>
      <c r="G412" s="17">
        <v>0</v>
      </c>
      <c r="H412" s="17">
        <v>0</v>
      </c>
      <c r="I412" s="17">
        <f t="shared" si="32"/>
        <v>0</v>
      </c>
      <c r="J412" s="17">
        <f t="shared" si="31"/>
        <v>146.48</v>
      </c>
      <c r="K412" s="17">
        <v>146.48</v>
      </c>
      <c r="L412" s="17"/>
      <c r="M412" s="329"/>
      <c r="N412" s="81">
        <f t="shared" si="33"/>
        <v>0</v>
      </c>
    </row>
    <row r="413" s="81" customFormat="1" customHeight="1" spans="1:14">
      <c r="A413" s="145">
        <v>2240109</v>
      </c>
      <c r="B413" s="141" t="s">
        <v>581</v>
      </c>
      <c r="C413" s="17">
        <f t="shared" si="30"/>
        <v>73</v>
      </c>
      <c r="D413" s="17">
        <v>73</v>
      </c>
      <c r="E413" s="17">
        <v>0</v>
      </c>
      <c r="F413" s="17"/>
      <c r="G413" s="17"/>
      <c r="H413" s="17"/>
      <c r="I413" s="17">
        <f t="shared" si="32"/>
        <v>0</v>
      </c>
      <c r="J413" s="17">
        <f t="shared" si="31"/>
        <v>73</v>
      </c>
      <c r="K413" s="17">
        <v>73</v>
      </c>
      <c r="L413" s="17"/>
      <c r="M413" s="329">
        <v>0</v>
      </c>
      <c r="N413" s="81">
        <f t="shared" si="33"/>
        <v>0</v>
      </c>
    </row>
    <row r="414" s="81" customFormat="1" customHeight="1" spans="1:14">
      <c r="A414" s="155">
        <v>2240150</v>
      </c>
      <c r="B414" s="141" t="s">
        <v>129</v>
      </c>
      <c r="C414" s="17">
        <f t="shared" si="30"/>
        <v>114.3</v>
      </c>
      <c r="D414" s="17">
        <v>114.3</v>
      </c>
      <c r="E414" s="17">
        <v>0</v>
      </c>
      <c r="F414" s="17">
        <v>-3.1485</v>
      </c>
      <c r="G414" s="17">
        <v>0</v>
      </c>
      <c r="H414" s="17">
        <v>0.22</v>
      </c>
      <c r="I414" s="17">
        <f t="shared" si="32"/>
        <v>0</v>
      </c>
      <c r="J414" s="17">
        <f t="shared" si="31"/>
        <v>111.3715</v>
      </c>
      <c r="K414" s="17">
        <v>111.3715</v>
      </c>
      <c r="L414" s="17"/>
      <c r="M414" s="329" t="s">
        <v>306</v>
      </c>
      <c r="N414" s="81">
        <f t="shared" si="33"/>
        <v>0</v>
      </c>
    </row>
    <row r="415" s="81" customFormat="1" customHeight="1" spans="1:14">
      <c r="A415" s="155">
        <v>2240199</v>
      </c>
      <c r="B415" s="141" t="s">
        <v>582</v>
      </c>
      <c r="C415" s="17">
        <f t="shared" si="30"/>
        <v>717.43</v>
      </c>
      <c r="D415" s="17">
        <v>717.43</v>
      </c>
      <c r="E415" s="17">
        <v>0</v>
      </c>
      <c r="F415" s="17">
        <v>-8.55</v>
      </c>
      <c r="G415" s="17">
        <v>0</v>
      </c>
      <c r="H415" s="17">
        <v>0</v>
      </c>
      <c r="I415" s="17">
        <f t="shared" si="32"/>
        <v>0</v>
      </c>
      <c r="J415" s="17">
        <f t="shared" si="31"/>
        <v>708.88</v>
      </c>
      <c r="K415" s="17">
        <v>708.88</v>
      </c>
      <c r="L415" s="17"/>
      <c r="M415" s="329" t="s">
        <v>583</v>
      </c>
      <c r="N415" s="81">
        <f t="shared" si="33"/>
        <v>0</v>
      </c>
    </row>
    <row r="416" s="81" customFormat="1" customHeight="1" spans="1:14">
      <c r="A416" s="155">
        <v>22402</v>
      </c>
      <c r="B416" s="141" t="s">
        <v>584</v>
      </c>
      <c r="C416" s="17">
        <f t="shared" si="30"/>
        <v>781.98</v>
      </c>
      <c r="D416" s="17">
        <v>781.98</v>
      </c>
      <c r="E416" s="17">
        <v>0</v>
      </c>
      <c r="F416" s="17">
        <v>-90</v>
      </c>
      <c r="G416" s="17">
        <v>0</v>
      </c>
      <c r="H416" s="17">
        <v>6</v>
      </c>
      <c r="I416" s="17">
        <f t="shared" si="32"/>
        <v>10</v>
      </c>
      <c r="J416" s="17">
        <f t="shared" si="31"/>
        <v>707.98</v>
      </c>
      <c r="K416" s="17">
        <v>697.98</v>
      </c>
      <c r="L416" s="17">
        <v>10</v>
      </c>
      <c r="M416" s="329"/>
      <c r="N416" s="81">
        <f t="shared" si="33"/>
        <v>0</v>
      </c>
    </row>
    <row r="417" s="81" customFormat="1" customHeight="1" spans="1:14">
      <c r="A417" s="155">
        <v>2240204</v>
      </c>
      <c r="B417" s="141" t="s">
        <v>585</v>
      </c>
      <c r="C417" s="17">
        <f t="shared" si="30"/>
        <v>0.22</v>
      </c>
      <c r="D417" s="17">
        <v>0.22</v>
      </c>
      <c r="E417" s="17">
        <v>0</v>
      </c>
      <c r="F417" s="17">
        <v>0</v>
      </c>
      <c r="G417" s="17">
        <v>0</v>
      </c>
      <c r="H417" s="17">
        <v>0</v>
      </c>
      <c r="I417" s="17">
        <f t="shared" si="32"/>
        <v>10</v>
      </c>
      <c r="J417" s="17">
        <f t="shared" si="31"/>
        <v>10.22</v>
      </c>
      <c r="K417" s="17">
        <v>0.22</v>
      </c>
      <c r="L417" s="17">
        <v>10</v>
      </c>
      <c r="M417" s="329"/>
      <c r="N417" s="81">
        <f t="shared" si="33"/>
        <v>0</v>
      </c>
    </row>
    <row r="418" s="81" customFormat="1" customHeight="1" spans="1:14">
      <c r="A418" s="155">
        <v>2240299</v>
      </c>
      <c r="B418" s="141" t="s">
        <v>586</v>
      </c>
      <c r="C418" s="17">
        <f t="shared" si="30"/>
        <v>781.76</v>
      </c>
      <c r="D418" s="17">
        <v>781.76</v>
      </c>
      <c r="E418" s="17">
        <v>0</v>
      </c>
      <c r="F418" s="17">
        <v>-90</v>
      </c>
      <c r="G418" s="17">
        <v>0</v>
      </c>
      <c r="H418" s="17">
        <v>6</v>
      </c>
      <c r="I418" s="17">
        <f t="shared" si="32"/>
        <v>0</v>
      </c>
      <c r="J418" s="17">
        <f t="shared" si="31"/>
        <v>697.76</v>
      </c>
      <c r="K418" s="17">
        <v>697.76</v>
      </c>
      <c r="L418" s="17"/>
      <c r="M418" s="329" t="s">
        <v>587</v>
      </c>
      <c r="N418" s="81">
        <f t="shared" si="33"/>
        <v>0</v>
      </c>
    </row>
    <row r="419" s="81" customFormat="1" customHeight="1" spans="1:14">
      <c r="A419" s="155">
        <v>22405</v>
      </c>
      <c r="B419" s="141" t="s">
        <v>588</v>
      </c>
      <c r="C419" s="17">
        <f t="shared" si="30"/>
        <v>2</v>
      </c>
      <c r="D419" s="17">
        <v>2</v>
      </c>
      <c r="E419" s="17">
        <v>0</v>
      </c>
      <c r="F419" s="17">
        <v>0</v>
      </c>
      <c r="G419" s="17">
        <v>0</v>
      </c>
      <c r="H419" s="17">
        <v>0</v>
      </c>
      <c r="I419" s="17">
        <f t="shared" si="32"/>
        <v>0</v>
      </c>
      <c r="J419" s="17">
        <f t="shared" si="31"/>
        <v>2</v>
      </c>
      <c r="K419" s="17">
        <v>2</v>
      </c>
      <c r="L419" s="17"/>
      <c r="M419" s="329"/>
      <c r="N419" s="81">
        <f t="shared" si="33"/>
        <v>0</v>
      </c>
    </row>
    <row r="420" s="81" customFormat="1" customHeight="1" spans="1:14">
      <c r="A420" s="155">
        <v>2240599</v>
      </c>
      <c r="B420" s="141" t="s">
        <v>589</v>
      </c>
      <c r="C420" s="17">
        <f t="shared" si="30"/>
        <v>2</v>
      </c>
      <c r="D420" s="17">
        <v>2</v>
      </c>
      <c r="E420" s="17">
        <v>0</v>
      </c>
      <c r="F420" s="17">
        <v>0</v>
      </c>
      <c r="G420" s="17">
        <v>0</v>
      </c>
      <c r="H420" s="17">
        <v>0</v>
      </c>
      <c r="I420" s="17">
        <f t="shared" si="32"/>
        <v>0</v>
      </c>
      <c r="J420" s="17">
        <f t="shared" si="31"/>
        <v>2</v>
      </c>
      <c r="K420" s="17">
        <v>2</v>
      </c>
      <c r="L420" s="17"/>
      <c r="M420" s="329">
        <v>0</v>
      </c>
      <c r="N420" s="81">
        <f t="shared" si="33"/>
        <v>0</v>
      </c>
    </row>
    <row r="421" s="81" customFormat="1" customHeight="1" spans="1:14">
      <c r="A421" s="155">
        <v>22406</v>
      </c>
      <c r="B421" s="141" t="s">
        <v>590</v>
      </c>
      <c r="C421" s="17">
        <f t="shared" si="30"/>
        <v>122.65</v>
      </c>
      <c r="D421" s="17">
        <v>122.65</v>
      </c>
      <c r="E421" s="17">
        <v>0</v>
      </c>
      <c r="F421" s="17">
        <v>-40</v>
      </c>
      <c r="G421" s="17">
        <v>0</v>
      </c>
      <c r="H421" s="17">
        <v>0</v>
      </c>
      <c r="I421" s="17">
        <f t="shared" si="32"/>
        <v>0</v>
      </c>
      <c r="J421" s="17">
        <f t="shared" si="31"/>
        <v>82.65</v>
      </c>
      <c r="K421" s="17">
        <v>82.65</v>
      </c>
      <c r="L421" s="17"/>
      <c r="M421" s="329"/>
      <c r="N421" s="81">
        <f t="shared" si="33"/>
        <v>0</v>
      </c>
    </row>
    <row r="422" s="81" customFormat="1" customHeight="1" spans="1:14">
      <c r="A422" s="155">
        <v>2240601</v>
      </c>
      <c r="B422" s="141" t="s">
        <v>591</v>
      </c>
      <c r="C422" s="17">
        <f t="shared" si="30"/>
        <v>122.65</v>
      </c>
      <c r="D422" s="17">
        <v>122.65</v>
      </c>
      <c r="E422" s="17">
        <v>0</v>
      </c>
      <c r="F422" s="17">
        <v>-40</v>
      </c>
      <c r="G422" s="17">
        <v>0</v>
      </c>
      <c r="H422" s="17">
        <v>0</v>
      </c>
      <c r="I422" s="17">
        <f t="shared" si="32"/>
        <v>0</v>
      </c>
      <c r="J422" s="17">
        <f t="shared" si="31"/>
        <v>82.65</v>
      </c>
      <c r="K422" s="17">
        <v>82.65</v>
      </c>
      <c r="L422" s="17"/>
      <c r="M422" s="329" t="s">
        <v>592</v>
      </c>
      <c r="N422" s="81">
        <f t="shared" si="33"/>
        <v>0</v>
      </c>
    </row>
    <row r="423" s="81" customFormat="1" customHeight="1" spans="1:14">
      <c r="A423" s="155">
        <v>227</v>
      </c>
      <c r="B423" s="141" t="s">
        <v>593</v>
      </c>
      <c r="C423" s="17">
        <f t="shared" ref="C423:C437" si="34">D423+E423</f>
        <v>2400</v>
      </c>
      <c r="D423" s="17">
        <v>2400</v>
      </c>
      <c r="E423" s="17">
        <v>0</v>
      </c>
      <c r="F423" s="17">
        <v>-2400</v>
      </c>
      <c r="G423" s="17"/>
      <c r="H423" s="17"/>
      <c r="I423" s="17">
        <f t="shared" ref="I423:I437" si="35">L423-E423</f>
        <v>0</v>
      </c>
      <c r="J423" s="17">
        <f t="shared" ref="J423:J437" si="36">K423+L423</f>
        <v>0</v>
      </c>
      <c r="K423" s="17">
        <v>0</v>
      </c>
      <c r="L423" s="17"/>
      <c r="M423" s="329">
        <v>0</v>
      </c>
      <c r="N423" s="81">
        <f t="shared" si="33"/>
        <v>0</v>
      </c>
    </row>
    <row r="424" s="81" customFormat="1" customHeight="1" spans="1:14">
      <c r="A424" s="155">
        <v>229</v>
      </c>
      <c r="B424" s="141" t="s">
        <v>594</v>
      </c>
      <c r="C424" s="17">
        <f t="shared" si="34"/>
        <v>11079.54</v>
      </c>
      <c r="D424" s="17">
        <v>11069.54</v>
      </c>
      <c r="E424" s="17">
        <v>10</v>
      </c>
      <c r="F424" s="17">
        <v>-3484.91</v>
      </c>
      <c r="G424" s="17">
        <v>0</v>
      </c>
      <c r="H424" s="17">
        <v>-1670.192</v>
      </c>
      <c r="I424" s="17">
        <f t="shared" si="35"/>
        <v>0</v>
      </c>
      <c r="J424" s="17">
        <f t="shared" si="36"/>
        <v>5924.438</v>
      </c>
      <c r="K424" s="17">
        <v>5914.438</v>
      </c>
      <c r="L424" s="17">
        <v>10</v>
      </c>
      <c r="M424" s="329">
        <v>0</v>
      </c>
      <c r="N424" s="81">
        <f t="shared" si="33"/>
        <v>0</v>
      </c>
    </row>
    <row r="425" s="81" customFormat="1" customHeight="1" spans="1:14">
      <c r="A425" s="155">
        <v>22999</v>
      </c>
      <c r="B425" s="141" t="s">
        <v>594</v>
      </c>
      <c r="C425" s="17">
        <f t="shared" si="34"/>
        <v>11079.54</v>
      </c>
      <c r="D425" s="17">
        <v>11069.54</v>
      </c>
      <c r="E425" s="17">
        <v>10</v>
      </c>
      <c r="F425" s="17">
        <v>-3484.91</v>
      </c>
      <c r="G425" s="17">
        <v>0</v>
      </c>
      <c r="H425" s="17">
        <v>-1670.192</v>
      </c>
      <c r="I425" s="17">
        <f t="shared" si="35"/>
        <v>0</v>
      </c>
      <c r="J425" s="17">
        <f t="shared" si="36"/>
        <v>5924.438</v>
      </c>
      <c r="K425" s="17">
        <v>5914.438</v>
      </c>
      <c r="L425" s="17">
        <v>10</v>
      </c>
      <c r="M425" s="329"/>
      <c r="N425" s="81">
        <f t="shared" si="33"/>
        <v>0</v>
      </c>
    </row>
    <row r="426" s="81" customFormat="1" customHeight="1" spans="1:14">
      <c r="A426" s="155">
        <v>2299999</v>
      </c>
      <c r="B426" s="141" t="s">
        <v>594</v>
      </c>
      <c r="C426" s="17">
        <f t="shared" si="34"/>
        <v>11079.54</v>
      </c>
      <c r="D426" s="17">
        <v>11069.54</v>
      </c>
      <c r="E426" s="17">
        <v>10</v>
      </c>
      <c r="F426" s="17">
        <v>-3484.91</v>
      </c>
      <c r="G426" s="17">
        <v>0</v>
      </c>
      <c r="H426" s="17">
        <v>-1670.192</v>
      </c>
      <c r="I426" s="17">
        <f t="shared" si="35"/>
        <v>0</v>
      </c>
      <c r="J426" s="17">
        <f t="shared" si="36"/>
        <v>5924.438</v>
      </c>
      <c r="K426" s="17">
        <v>5914.438</v>
      </c>
      <c r="L426" s="17">
        <v>10</v>
      </c>
      <c r="M426" s="329" t="s">
        <v>439</v>
      </c>
      <c r="N426" s="81">
        <f t="shared" si="33"/>
        <v>0</v>
      </c>
    </row>
    <row r="427" s="81" customFormat="1" customHeight="1" spans="1:14">
      <c r="A427" s="155">
        <v>230</v>
      </c>
      <c r="B427" s="141" t="s">
        <v>595</v>
      </c>
      <c r="C427" s="17">
        <f t="shared" si="34"/>
        <v>9017.06</v>
      </c>
      <c r="D427" s="17">
        <v>9017.06</v>
      </c>
      <c r="E427" s="17">
        <v>0</v>
      </c>
      <c r="F427" s="17">
        <v>40.926475</v>
      </c>
      <c r="G427" s="17">
        <v>0</v>
      </c>
      <c r="H427" s="17">
        <v>0</v>
      </c>
      <c r="I427" s="17">
        <f t="shared" si="35"/>
        <v>0</v>
      </c>
      <c r="J427" s="17">
        <f t="shared" si="36"/>
        <v>9057.986475</v>
      </c>
      <c r="K427" s="17">
        <v>9057.986475</v>
      </c>
      <c r="L427" s="17"/>
      <c r="M427" s="329">
        <v>0</v>
      </c>
      <c r="N427" s="81">
        <f t="shared" si="33"/>
        <v>0</v>
      </c>
    </row>
    <row r="428" s="81" customFormat="1" customHeight="1" spans="1:14">
      <c r="A428" s="155">
        <v>23006</v>
      </c>
      <c r="B428" s="141" t="s">
        <v>596</v>
      </c>
      <c r="C428" s="17">
        <f t="shared" si="34"/>
        <v>9017.06</v>
      </c>
      <c r="D428" s="17">
        <v>9017.06</v>
      </c>
      <c r="E428" s="17">
        <v>0</v>
      </c>
      <c r="F428" s="17">
        <v>40.926475</v>
      </c>
      <c r="G428" s="17">
        <v>0</v>
      </c>
      <c r="H428" s="17">
        <v>0</v>
      </c>
      <c r="I428" s="17">
        <f t="shared" si="35"/>
        <v>0</v>
      </c>
      <c r="J428" s="17">
        <f t="shared" si="36"/>
        <v>9057.986475</v>
      </c>
      <c r="K428" s="17">
        <v>9057.986475</v>
      </c>
      <c r="L428" s="17"/>
      <c r="M428" s="329"/>
      <c r="N428" s="81">
        <f t="shared" si="33"/>
        <v>0</v>
      </c>
    </row>
    <row r="429" s="81" customFormat="1" customHeight="1" spans="1:14">
      <c r="A429" s="155">
        <v>2300602</v>
      </c>
      <c r="B429" s="141" t="s">
        <v>597</v>
      </c>
      <c r="C429" s="17">
        <f t="shared" si="34"/>
        <v>9017.06</v>
      </c>
      <c r="D429" s="17">
        <v>9017.06</v>
      </c>
      <c r="E429" s="17">
        <v>0</v>
      </c>
      <c r="F429" s="17">
        <v>40.926475</v>
      </c>
      <c r="G429" s="17">
        <v>0</v>
      </c>
      <c r="H429" s="17">
        <v>0</v>
      </c>
      <c r="I429" s="17">
        <f t="shared" si="35"/>
        <v>0</v>
      </c>
      <c r="J429" s="17">
        <f t="shared" si="36"/>
        <v>9057.986475</v>
      </c>
      <c r="K429" s="17">
        <v>9057.986475</v>
      </c>
      <c r="L429" s="17"/>
      <c r="M429" s="329" t="s">
        <v>598</v>
      </c>
      <c r="N429" s="81">
        <f t="shared" si="33"/>
        <v>0</v>
      </c>
    </row>
    <row r="430" s="81" customFormat="1" customHeight="1" spans="1:14">
      <c r="A430" s="155">
        <v>231</v>
      </c>
      <c r="B430" s="141" t="s">
        <v>599</v>
      </c>
      <c r="C430" s="17">
        <f t="shared" si="34"/>
        <v>9200</v>
      </c>
      <c r="D430" s="17">
        <v>9200</v>
      </c>
      <c r="E430" s="17">
        <v>0</v>
      </c>
      <c r="F430" s="17">
        <v>0</v>
      </c>
      <c r="G430" s="17">
        <v>0</v>
      </c>
      <c r="H430" s="17">
        <v>0</v>
      </c>
      <c r="I430" s="17">
        <f t="shared" si="35"/>
        <v>0</v>
      </c>
      <c r="J430" s="17">
        <f t="shared" si="36"/>
        <v>9200</v>
      </c>
      <c r="K430" s="17">
        <v>9200</v>
      </c>
      <c r="L430" s="17"/>
      <c r="M430" s="329">
        <v>0</v>
      </c>
      <c r="N430" s="81">
        <f t="shared" si="33"/>
        <v>0</v>
      </c>
    </row>
    <row r="431" s="81" customFormat="1" customHeight="1" spans="1:14">
      <c r="A431" s="155">
        <v>23103</v>
      </c>
      <c r="B431" s="141" t="s">
        <v>600</v>
      </c>
      <c r="C431" s="17">
        <f t="shared" si="34"/>
        <v>9200</v>
      </c>
      <c r="D431" s="17">
        <v>9200</v>
      </c>
      <c r="E431" s="17">
        <v>0</v>
      </c>
      <c r="F431" s="17">
        <v>0</v>
      </c>
      <c r="G431" s="17">
        <v>0</v>
      </c>
      <c r="H431" s="17">
        <v>0</v>
      </c>
      <c r="I431" s="17">
        <f t="shared" si="35"/>
        <v>0</v>
      </c>
      <c r="J431" s="17">
        <f t="shared" si="36"/>
        <v>9200</v>
      </c>
      <c r="K431" s="17">
        <v>9200</v>
      </c>
      <c r="L431" s="17"/>
      <c r="M431" s="329"/>
      <c r="N431" s="81">
        <f t="shared" si="33"/>
        <v>0</v>
      </c>
    </row>
    <row r="432" s="81" customFormat="1" customHeight="1" spans="1:14">
      <c r="A432" s="155">
        <v>2310301</v>
      </c>
      <c r="B432" s="141" t="s">
        <v>601</v>
      </c>
      <c r="C432" s="17">
        <f t="shared" si="34"/>
        <v>9200</v>
      </c>
      <c r="D432" s="17">
        <v>9200</v>
      </c>
      <c r="E432" s="17">
        <v>0</v>
      </c>
      <c r="F432" s="17">
        <v>0</v>
      </c>
      <c r="G432" s="17">
        <v>0</v>
      </c>
      <c r="H432" s="17">
        <v>0</v>
      </c>
      <c r="I432" s="17">
        <f t="shared" si="35"/>
        <v>0</v>
      </c>
      <c r="J432" s="17">
        <f t="shared" si="36"/>
        <v>9200</v>
      </c>
      <c r="K432" s="17">
        <v>9200</v>
      </c>
      <c r="L432" s="17"/>
      <c r="M432" s="329">
        <v>0</v>
      </c>
      <c r="N432" s="81">
        <f t="shared" si="33"/>
        <v>0</v>
      </c>
    </row>
    <row r="433" s="81" customFormat="1" customHeight="1" spans="1:14">
      <c r="A433" s="155">
        <v>232</v>
      </c>
      <c r="B433" s="141" t="s">
        <v>602</v>
      </c>
      <c r="C433" s="17">
        <f t="shared" si="34"/>
        <v>4041.35</v>
      </c>
      <c r="D433" s="17">
        <v>4041.35</v>
      </c>
      <c r="E433" s="17">
        <v>0</v>
      </c>
      <c r="F433" s="17">
        <v>163.92378</v>
      </c>
      <c r="G433" s="17">
        <v>0</v>
      </c>
      <c r="H433" s="17">
        <v>0</v>
      </c>
      <c r="I433" s="17">
        <f t="shared" si="35"/>
        <v>0</v>
      </c>
      <c r="J433" s="17">
        <f t="shared" si="36"/>
        <v>4205.27378</v>
      </c>
      <c r="K433" s="17">
        <v>4205.27378</v>
      </c>
      <c r="L433" s="17"/>
      <c r="M433" s="329">
        <v>0</v>
      </c>
      <c r="N433" s="81">
        <f t="shared" si="33"/>
        <v>0</v>
      </c>
    </row>
    <row r="434" s="81" customFormat="1" customHeight="1" spans="1:14">
      <c r="A434" s="155">
        <v>23203</v>
      </c>
      <c r="B434" s="141" t="s">
        <v>603</v>
      </c>
      <c r="C434" s="17">
        <f t="shared" si="34"/>
        <v>4041.35</v>
      </c>
      <c r="D434" s="17">
        <v>4041.35</v>
      </c>
      <c r="E434" s="17">
        <v>0</v>
      </c>
      <c r="F434" s="17">
        <v>163.92378</v>
      </c>
      <c r="G434" s="17">
        <v>0</v>
      </c>
      <c r="H434" s="17">
        <v>0</v>
      </c>
      <c r="I434" s="17">
        <f t="shared" si="35"/>
        <v>0</v>
      </c>
      <c r="J434" s="17">
        <f t="shared" si="36"/>
        <v>4205.27378</v>
      </c>
      <c r="K434" s="17">
        <v>4205.27378</v>
      </c>
      <c r="L434" s="17"/>
      <c r="M434" s="329"/>
      <c r="N434" s="81">
        <f t="shared" si="33"/>
        <v>0</v>
      </c>
    </row>
    <row r="435" s="81" customFormat="1" customHeight="1" spans="1:14">
      <c r="A435" s="155">
        <v>2320301</v>
      </c>
      <c r="B435" s="141" t="s">
        <v>604</v>
      </c>
      <c r="C435" s="17">
        <f t="shared" si="34"/>
        <v>4041.35</v>
      </c>
      <c r="D435" s="17">
        <v>4041.35</v>
      </c>
      <c r="E435" s="17">
        <v>0</v>
      </c>
      <c r="F435" s="17">
        <v>163.92378</v>
      </c>
      <c r="G435" s="17">
        <v>0</v>
      </c>
      <c r="H435" s="17">
        <v>0</v>
      </c>
      <c r="I435" s="17">
        <f t="shared" si="35"/>
        <v>0</v>
      </c>
      <c r="J435" s="17">
        <f t="shared" si="36"/>
        <v>4205.27378</v>
      </c>
      <c r="K435" s="17">
        <v>4205.27378</v>
      </c>
      <c r="L435" s="17"/>
      <c r="M435" s="329" t="s">
        <v>605</v>
      </c>
      <c r="N435" s="81">
        <f t="shared" si="33"/>
        <v>0</v>
      </c>
    </row>
    <row r="436" s="81" customFormat="1" customHeight="1" spans="1:14">
      <c r="A436" s="155">
        <v>233</v>
      </c>
      <c r="B436" s="141" t="s">
        <v>606</v>
      </c>
      <c r="C436" s="17">
        <f t="shared" si="34"/>
        <v>100</v>
      </c>
      <c r="D436" s="17">
        <v>100</v>
      </c>
      <c r="E436" s="17">
        <v>0</v>
      </c>
      <c r="F436" s="17">
        <v>-83.138907</v>
      </c>
      <c r="G436" s="17"/>
      <c r="H436" s="17"/>
      <c r="I436" s="17">
        <f t="shared" si="35"/>
        <v>0</v>
      </c>
      <c r="J436" s="17">
        <f t="shared" si="36"/>
        <v>16.861093</v>
      </c>
      <c r="K436" s="17">
        <v>16.861093</v>
      </c>
      <c r="L436" s="17"/>
      <c r="M436" s="329">
        <v>0</v>
      </c>
      <c r="N436" s="81">
        <f t="shared" si="33"/>
        <v>0</v>
      </c>
    </row>
    <row r="437" s="81" customFormat="1" customHeight="1" spans="1:14">
      <c r="A437" s="155">
        <v>23303</v>
      </c>
      <c r="B437" s="141" t="s">
        <v>607</v>
      </c>
      <c r="C437" s="17">
        <f t="shared" si="34"/>
        <v>100</v>
      </c>
      <c r="D437" s="17">
        <v>100</v>
      </c>
      <c r="E437" s="17">
        <v>0</v>
      </c>
      <c r="F437" s="17">
        <v>-83.138907</v>
      </c>
      <c r="G437" s="17"/>
      <c r="H437" s="17"/>
      <c r="I437" s="17">
        <f t="shared" si="35"/>
        <v>0</v>
      </c>
      <c r="J437" s="17">
        <f t="shared" si="36"/>
        <v>16.861093</v>
      </c>
      <c r="K437" s="17">
        <v>16.861093</v>
      </c>
      <c r="L437" s="17"/>
      <c r="M437" s="329" t="s">
        <v>608</v>
      </c>
      <c r="N437" s="81">
        <f t="shared" si="33"/>
        <v>0</v>
      </c>
    </row>
    <row r="438" s="81" customFormat="1" customHeight="1" spans="1:14">
      <c r="A438" s="333" t="s">
        <v>94</v>
      </c>
      <c r="B438" s="334"/>
      <c r="C438" s="64">
        <f>C6+C97+C104+C125+C147+C154+C172+C248+C289+C305+C317+C360+C370+C377+C384+C389+C396+C405+C409+C423+C424+C427+C430+C433+C436</f>
        <v>287374.2135271</v>
      </c>
      <c r="D438" s="64">
        <f t="shared" ref="C438:L438" si="37">D6+D97+D104+D125+D147+D154+D172+D248+D289+D305+D317+D360+D370+D377+D384+D389+D396+D405+D409+D423+D424+D427+D430+D433+D436</f>
        <v>240428.2259271</v>
      </c>
      <c r="E438" s="64">
        <f t="shared" si="37"/>
        <v>46945.9876</v>
      </c>
      <c r="F438" s="64">
        <f t="shared" si="37"/>
        <v>-42537.9236811</v>
      </c>
      <c r="G438" s="64">
        <f t="shared" si="37"/>
        <v>-456.67</v>
      </c>
      <c r="H438" s="64">
        <f t="shared" si="37"/>
        <v>-0.00908800000001975</v>
      </c>
      <c r="I438" s="64">
        <f t="shared" si="37"/>
        <v>1876.144399</v>
      </c>
      <c r="J438" s="64">
        <f t="shared" si="37"/>
        <v>246255.755157</v>
      </c>
      <c r="K438" s="64">
        <f t="shared" si="37"/>
        <v>197433.623158</v>
      </c>
      <c r="L438" s="64">
        <f t="shared" si="37"/>
        <v>48822.131999</v>
      </c>
      <c r="M438" s="335"/>
      <c r="N438" s="81">
        <f t="shared" si="33"/>
        <v>0</v>
      </c>
    </row>
  </sheetData>
  <autoFilter xmlns:etc="http://www.wps.cn/officeDocument/2017/etCustomData" ref="A5:M438" etc:filterBottomFollowUsedRange="0">
    <extLst/>
  </autoFilter>
  <mergeCells count="8">
    <mergeCell ref="A2:M2"/>
    <mergeCell ref="C4:E4"/>
    <mergeCell ref="F4:I4"/>
    <mergeCell ref="J4:L4"/>
    <mergeCell ref="A438:B438"/>
    <mergeCell ref="A4:A5"/>
    <mergeCell ref="B4:B5"/>
    <mergeCell ref="M4:M5"/>
  </mergeCells>
  <printOptions horizontalCentered="1"/>
  <pageMargins left="0.393055555555556" right="0.393055555555556" top="0.590277777777778" bottom="0.590277777777778" header="0.196527777777778" footer="0.196527777777778"/>
  <pageSetup paperSize="9" scale="5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8"/>
  <sheetViews>
    <sheetView view="pageBreakPreview" zoomScaleNormal="85" topLeftCell="A441" workbookViewId="0">
      <selection activeCell="A449" sqref="$A449:$XFD454"/>
    </sheetView>
  </sheetViews>
  <sheetFormatPr defaultColWidth="9" defaultRowHeight="30" customHeight="1" outlineLevelCol="7"/>
  <cols>
    <col min="1" max="1" width="8.625" style="303" customWidth="1"/>
    <col min="2" max="2" width="10.625" style="302" hidden="1" customWidth="1"/>
    <col min="3" max="3" width="20.625" style="302" customWidth="1"/>
    <col min="4" max="4" width="50.625" style="304" customWidth="1"/>
    <col min="5" max="5" width="15.625" style="303" customWidth="1"/>
    <col min="6" max="6" width="15.625" style="131" customWidth="1"/>
    <col min="7" max="7" width="15.625" style="303" customWidth="1"/>
    <col min="8" max="8" width="60.625" style="304" customWidth="1"/>
    <col min="9" max="10" width="12.625" style="303"/>
    <col min="11" max="16384" width="9" style="303"/>
  </cols>
  <sheetData>
    <row r="1" ht="20" customHeight="1" spans="1:3">
      <c r="A1" s="269" t="s">
        <v>609</v>
      </c>
      <c r="B1" s="269"/>
      <c r="C1" s="269"/>
    </row>
    <row r="2" customHeight="1" spans="1:8">
      <c r="A2" s="27" t="s">
        <v>610</v>
      </c>
      <c r="B2" s="27"/>
      <c r="C2" s="27"/>
      <c r="D2" s="27"/>
      <c r="E2" s="27"/>
      <c r="F2" s="27"/>
      <c r="G2" s="27"/>
      <c r="H2" s="27"/>
    </row>
    <row r="3" ht="20" customHeight="1" spans="8:8">
      <c r="H3" s="305" t="s">
        <v>27</v>
      </c>
    </row>
    <row r="4" s="302" customFormat="1" customHeight="1" spans="1:8">
      <c r="A4" s="30" t="s">
        <v>611</v>
      </c>
      <c r="B4" s="30" t="s">
        <v>612</v>
      </c>
      <c r="C4" s="30" t="s">
        <v>613</v>
      </c>
      <c r="D4" s="30" t="s">
        <v>614</v>
      </c>
      <c r="E4" s="30" t="s">
        <v>29</v>
      </c>
      <c r="F4" s="30" t="s">
        <v>31</v>
      </c>
      <c r="G4" s="30" t="s">
        <v>32</v>
      </c>
      <c r="H4" s="30" t="s">
        <v>34</v>
      </c>
    </row>
    <row r="5" customHeight="1" spans="1:8">
      <c r="A5" s="306" t="s">
        <v>94</v>
      </c>
      <c r="B5" s="307"/>
      <c r="C5" s="307"/>
      <c r="D5" s="308"/>
      <c r="E5" s="309">
        <f>E6+E7+E8+E9</f>
        <v>240428.2162731</v>
      </c>
      <c r="F5" s="309">
        <f>F6+F7+F8+F9</f>
        <v>-42994.343854</v>
      </c>
      <c r="G5" s="309">
        <f t="shared" ref="G5:G68" si="0">E5+F5</f>
        <v>197433.8724191</v>
      </c>
      <c r="H5" s="310"/>
    </row>
    <row r="6" customHeight="1" spans="1:8">
      <c r="A6" s="306" t="s">
        <v>615</v>
      </c>
      <c r="B6" s="307"/>
      <c r="C6" s="307"/>
      <c r="D6" s="308"/>
      <c r="E6" s="309">
        <v>107681.9443</v>
      </c>
      <c r="F6" s="309">
        <v>-2507.012</v>
      </c>
      <c r="G6" s="309">
        <f t="shared" si="0"/>
        <v>105174.9323</v>
      </c>
      <c r="H6" s="310"/>
    </row>
    <row r="7" customHeight="1" spans="1:8">
      <c r="A7" s="306" t="s">
        <v>616</v>
      </c>
      <c r="B7" s="307"/>
      <c r="C7" s="307"/>
      <c r="D7" s="308"/>
      <c r="E7" s="309">
        <v>31076</v>
      </c>
      <c r="F7" s="309">
        <f>-13792.38-1.39</f>
        <v>-13793.77</v>
      </c>
      <c r="G7" s="309">
        <f t="shared" si="0"/>
        <v>17282.23</v>
      </c>
      <c r="H7" s="310"/>
    </row>
    <row r="8" customHeight="1" spans="1:8">
      <c r="A8" s="306" t="s">
        <v>617</v>
      </c>
      <c r="B8" s="307"/>
      <c r="C8" s="307"/>
      <c r="D8" s="308"/>
      <c r="E8" s="309">
        <v>4200</v>
      </c>
      <c r="F8" s="309">
        <v>3100</v>
      </c>
      <c r="G8" s="309">
        <f t="shared" si="0"/>
        <v>7300</v>
      </c>
      <c r="H8" s="310"/>
    </row>
    <row r="9" customHeight="1" spans="1:8">
      <c r="A9" s="306" t="s">
        <v>618</v>
      </c>
      <c r="B9" s="307"/>
      <c r="C9" s="307"/>
      <c r="D9" s="308"/>
      <c r="E9" s="309">
        <f>E10+E11</f>
        <v>97470.2719731</v>
      </c>
      <c r="F9" s="309">
        <f>F10+F11</f>
        <v>-29793.561854</v>
      </c>
      <c r="G9" s="309">
        <f t="shared" si="0"/>
        <v>67676.7101191</v>
      </c>
      <c r="H9" s="310"/>
    </row>
    <row r="10" s="303" customFormat="1" customHeight="1" spans="1:8">
      <c r="A10" s="306" t="s">
        <v>619</v>
      </c>
      <c r="B10" s="307"/>
      <c r="C10" s="307"/>
      <c r="D10" s="308"/>
      <c r="E10" s="309">
        <v>35838.381315</v>
      </c>
      <c r="F10" s="309">
        <v>0</v>
      </c>
      <c r="G10" s="309">
        <f t="shared" si="0"/>
        <v>35838.381315</v>
      </c>
      <c r="H10" s="310"/>
    </row>
    <row r="11" s="303" customFormat="1" customHeight="1" spans="1:8">
      <c r="A11" s="306" t="s">
        <v>620</v>
      </c>
      <c r="B11" s="307"/>
      <c r="C11" s="307"/>
      <c r="D11" s="308"/>
      <c r="E11" s="309">
        <f>SUM(E12:E448)</f>
        <v>61631.8906581</v>
      </c>
      <c r="F11" s="309">
        <f>SUM(F12:F448)+5.22</f>
        <v>-29793.561854</v>
      </c>
      <c r="G11" s="309">
        <f t="shared" si="0"/>
        <v>31838.3288041</v>
      </c>
      <c r="H11" s="310"/>
    </row>
    <row r="12" s="131" customFormat="1" customHeight="1" spans="1:8">
      <c r="A12" s="78">
        <v>1</v>
      </c>
      <c r="B12" s="78" t="s">
        <v>621</v>
      </c>
      <c r="C12" s="142" t="s">
        <v>622</v>
      </c>
      <c r="D12" s="141" t="s">
        <v>623</v>
      </c>
      <c r="E12" s="228">
        <v>195.764909</v>
      </c>
      <c r="F12" s="228">
        <v>-11.13</v>
      </c>
      <c r="G12" s="228">
        <f t="shared" si="0"/>
        <v>184.634909</v>
      </c>
      <c r="H12" s="311"/>
    </row>
    <row r="13" s="131" customFormat="1" customHeight="1" spans="1:8">
      <c r="A13" s="78">
        <v>2</v>
      </c>
      <c r="B13" s="78" t="s">
        <v>624</v>
      </c>
      <c r="C13" s="70" t="s">
        <v>622</v>
      </c>
      <c r="D13" s="141" t="s">
        <v>625</v>
      </c>
      <c r="E13" s="228">
        <v>36</v>
      </c>
      <c r="F13" s="228">
        <v>-16</v>
      </c>
      <c r="G13" s="228">
        <f t="shared" si="0"/>
        <v>20</v>
      </c>
      <c r="H13" s="311"/>
    </row>
    <row r="14" s="131" customFormat="1" customHeight="1" spans="1:8">
      <c r="A14" s="78">
        <v>3</v>
      </c>
      <c r="B14" s="78" t="s">
        <v>626</v>
      </c>
      <c r="C14" s="142" t="s">
        <v>622</v>
      </c>
      <c r="D14" s="141" t="s">
        <v>627</v>
      </c>
      <c r="E14" s="228">
        <v>1.5</v>
      </c>
      <c r="F14" s="228">
        <v>-1.5</v>
      </c>
      <c r="G14" s="228">
        <f t="shared" si="0"/>
        <v>0</v>
      </c>
      <c r="H14" s="311"/>
    </row>
    <row r="15" s="131" customFormat="1" customHeight="1" spans="1:8">
      <c r="A15" s="78">
        <v>4</v>
      </c>
      <c r="B15" s="78" t="s">
        <v>626</v>
      </c>
      <c r="C15" s="142" t="s">
        <v>622</v>
      </c>
      <c r="D15" s="141" t="s">
        <v>628</v>
      </c>
      <c r="E15" s="228">
        <v>3</v>
      </c>
      <c r="F15" s="228">
        <v>-3</v>
      </c>
      <c r="G15" s="228">
        <f t="shared" si="0"/>
        <v>0</v>
      </c>
      <c r="H15" s="311"/>
    </row>
    <row r="16" s="131" customFormat="1" customHeight="1" spans="1:8">
      <c r="A16" s="78">
        <v>5</v>
      </c>
      <c r="B16" s="78" t="s">
        <v>626</v>
      </c>
      <c r="C16" s="142" t="s">
        <v>622</v>
      </c>
      <c r="D16" s="141" t="s">
        <v>629</v>
      </c>
      <c r="E16" s="228">
        <v>1.4637</v>
      </c>
      <c r="F16" s="228">
        <v>-1.46</v>
      </c>
      <c r="G16" s="228">
        <f t="shared" si="0"/>
        <v>0.00370000000000004</v>
      </c>
      <c r="H16" s="311"/>
    </row>
    <row r="17" s="131" customFormat="1" customHeight="1" spans="1:8">
      <c r="A17" s="78">
        <v>6</v>
      </c>
      <c r="B17" s="78" t="s">
        <v>630</v>
      </c>
      <c r="C17" s="142" t="s">
        <v>622</v>
      </c>
      <c r="D17" s="141" t="s">
        <v>631</v>
      </c>
      <c r="E17" s="228">
        <v>100</v>
      </c>
      <c r="F17" s="228">
        <v>-17</v>
      </c>
      <c r="G17" s="228">
        <f t="shared" si="0"/>
        <v>83</v>
      </c>
      <c r="H17" s="311" t="s">
        <v>632</v>
      </c>
    </row>
    <row r="18" s="131" customFormat="1" customHeight="1" spans="1:8">
      <c r="A18" s="78">
        <v>7</v>
      </c>
      <c r="B18" s="78" t="s">
        <v>630</v>
      </c>
      <c r="C18" s="142" t="s">
        <v>633</v>
      </c>
      <c r="D18" s="141" t="s">
        <v>634</v>
      </c>
      <c r="E18" s="228">
        <v>8</v>
      </c>
      <c r="F18" s="228">
        <v>-8</v>
      </c>
      <c r="G18" s="228">
        <f t="shared" si="0"/>
        <v>0</v>
      </c>
      <c r="H18" s="311"/>
    </row>
    <row r="19" s="131" customFormat="1" customHeight="1" spans="1:8">
      <c r="A19" s="78">
        <v>8</v>
      </c>
      <c r="B19" s="78" t="s">
        <v>624</v>
      </c>
      <c r="C19" s="142" t="s">
        <v>635</v>
      </c>
      <c r="D19" s="141" t="s">
        <v>636</v>
      </c>
      <c r="E19" s="228">
        <v>155.151</v>
      </c>
      <c r="F19" s="228">
        <v>-140.15</v>
      </c>
      <c r="G19" s="228">
        <f t="shared" si="0"/>
        <v>15.001</v>
      </c>
      <c r="H19" s="311"/>
    </row>
    <row r="20" s="131" customFormat="1" customHeight="1" spans="1:8">
      <c r="A20" s="78">
        <v>9</v>
      </c>
      <c r="B20" s="78" t="s">
        <v>626</v>
      </c>
      <c r="C20" s="70" t="s">
        <v>637</v>
      </c>
      <c r="D20" s="70" t="s">
        <v>638</v>
      </c>
      <c r="E20" s="228">
        <v>0.1375</v>
      </c>
      <c r="F20" s="312">
        <v>-0.1375</v>
      </c>
      <c r="G20" s="228">
        <f t="shared" si="0"/>
        <v>0</v>
      </c>
      <c r="H20" s="311"/>
    </row>
    <row r="21" s="131" customFormat="1" customHeight="1" spans="1:8">
      <c r="A21" s="78">
        <v>10</v>
      </c>
      <c r="B21" s="78" t="s">
        <v>626</v>
      </c>
      <c r="C21" s="142" t="s">
        <v>639</v>
      </c>
      <c r="D21" s="141" t="s">
        <v>640</v>
      </c>
      <c r="E21" s="228">
        <v>0.2</v>
      </c>
      <c r="F21" s="312">
        <v>-0.2</v>
      </c>
      <c r="G21" s="228">
        <f t="shared" si="0"/>
        <v>0</v>
      </c>
      <c r="H21" s="311"/>
    </row>
    <row r="22" s="131" customFormat="1" customHeight="1" spans="1:8">
      <c r="A22" s="78">
        <v>11</v>
      </c>
      <c r="B22" s="78" t="s">
        <v>621</v>
      </c>
      <c r="C22" s="142" t="s">
        <v>641</v>
      </c>
      <c r="D22" s="141" t="s">
        <v>642</v>
      </c>
      <c r="E22" s="228">
        <v>175</v>
      </c>
      <c r="F22" s="228">
        <v>-170</v>
      </c>
      <c r="G22" s="228">
        <f t="shared" si="0"/>
        <v>5</v>
      </c>
      <c r="H22" s="311"/>
    </row>
    <row r="23" s="131" customFormat="1" customHeight="1" spans="1:8">
      <c r="A23" s="78">
        <v>12</v>
      </c>
      <c r="B23" s="78" t="s">
        <v>624</v>
      </c>
      <c r="C23" s="70" t="s">
        <v>641</v>
      </c>
      <c r="D23" s="141" t="s">
        <v>643</v>
      </c>
      <c r="E23" s="228">
        <v>0</v>
      </c>
      <c r="F23" s="228">
        <v>10</v>
      </c>
      <c r="G23" s="228">
        <f t="shared" si="0"/>
        <v>10</v>
      </c>
      <c r="H23" s="311" t="s">
        <v>644</v>
      </c>
    </row>
    <row r="24" s="131" customFormat="1" customHeight="1" spans="1:8">
      <c r="A24" s="78">
        <v>13</v>
      </c>
      <c r="B24" s="78" t="s">
        <v>626</v>
      </c>
      <c r="C24" s="142" t="s">
        <v>641</v>
      </c>
      <c r="D24" s="141" t="s">
        <v>645</v>
      </c>
      <c r="E24" s="228">
        <v>2.1927</v>
      </c>
      <c r="F24" s="312">
        <v>-0.18</v>
      </c>
      <c r="G24" s="228">
        <f t="shared" si="0"/>
        <v>2.0127</v>
      </c>
      <c r="H24" s="311"/>
    </row>
    <row r="25" s="131" customFormat="1" customHeight="1" spans="1:8">
      <c r="A25" s="78">
        <v>14</v>
      </c>
      <c r="B25" s="78" t="s">
        <v>646</v>
      </c>
      <c r="C25" s="142" t="s">
        <v>647</v>
      </c>
      <c r="D25" s="141" t="s">
        <v>648</v>
      </c>
      <c r="E25" s="228">
        <v>200</v>
      </c>
      <c r="F25" s="228">
        <v>-50</v>
      </c>
      <c r="G25" s="228">
        <f t="shared" si="0"/>
        <v>150</v>
      </c>
      <c r="H25" s="311"/>
    </row>
    <row r="26" s="131" customFormat="1" customHeight="1" spans="1:8">
      <c r="A26" s="78">
        <v>15</v>
      </c>
      <c r="B26" s="78" t="s">
        <v>626</v>
      </c>
      <c r="C26" s="142" t="s">
        <v>647</v>
      </c>
      <c r="D26" s="141" t="s">
        <v>649</v>
      </c>
      <c r="E26" s="228">
        <v>21</v>
      </c>
      <c r="F26" s="228">
        <v>-12</v>
      </c>
      <c r="G26" s="228">
        <f t="shared" si="0"/>
        <v>9</v>
      </c>
      <c r="H26" s="311" t="s">
        <v>650</v>
      </c>
    </row>
    <row r="27" s="131" customFormat="1" customHeight="1" spans="1:8">
      <c r="A27" s="78">
        <v>16</v>
      </c>
      <c r="B27" s="78" t="s">
        <v>626</v>
      </c>
      <c r="C27" s="142" t="s">
        <v>647</v>
      </c>
      <c r="D27" s="141" t="s">
        <v>651</v>
      </c>
      <c r="E27" s="228">
        <v>22.54</v>
      </c>
      <c r="F27" s="228">
        <v>-12.5</v>
      </c>
      <c r="G27" s="228">
        <f t="shared" si="0"/>
        <v>10.04</v>
      </c>
      <c r="H27" s="311" t="s">
        <v>652</v>
      </c>
    </row>
    <row r="28" s="131" customFormat="1" customHeight="1" spans="1:8">
      <c r="A28" s="78">
        <v>17</v>
      </c>
      <c r="B28" s="78" t="s">
        <v>626</v>
      </c>
      <c r="C28" s="142" t="s">
        <v>647</v>
      </c>
      <c r="D28" s="141" t="s">
        <v>653</v>
      </c>
      <c r="E28" s="228">
        <v>43</v>
      </c>
      <c r="F28" s="228">
        <v>-6</v>
      </c>
      <c r="G28" s="228">
        <f t="shared" si="0"/>
        <v>37</v>
      </c>
      <c r="H28" s="311" t="s">
        <v>654</v>
      </c>
    </row>
    <row r="29" s="131" customFormat="1" customHeight="1" spans="1:8">
      <c r="A29" s="78">
        <v>18</v>
      </c>
      <c r="B29" s="78" t="s">
        <v>630</v>
      </c>
      <c r="C29" s="70" t="s">
        <v>647</v>
      </c>
      <c r="D29" s="141" t="s">
        <v>655</v>
      </c>
      <c r="E29" s="228">
        <v>1440.84</v>
      </c>
      <c r="F29" s="228">
        <v>-587.163</v>
      </c>
      <c r="G29" s="228">
        <f t="shared" si="0"/>
        <v>853.677</v>
      </c>
      <c r="H29" s="311"/>
    </row>
    <row r="30" s="131" customFormat="1" customHeight="1" spans="1:8">
      <c r="A30" s="78">
        <v>19</v>
      </c>
      <c r="B30" s="78" t="s">
        <v>630</v>
      </c>
      <c r="C30" s="70" t="s">
        <v>647</v>
      </c>
      <c r="D30" s="141" t="s">
        <v>656</v>
      </c>
      <c r="E30" s="228">
        <v>202</v>
      </c>
      <c r="F30" s="228">
        <v>-128.945046</v>
      </c>
      <c r="G30" s="228">
        <f t="shared" si="0"/>
        <v>73.054954</v>
      </c>
      <c r="H30" s="311"/>
    </row>
    <row r="31" s="131" customFormat="1" customHeight="1" spans="1:8">
      <c r="A31" s="78">
        <v>20</v>
      </c>
      <c r="B31" s="78" t="s">
        <v>630</v>
      </c>
      <c r="C31" s="70" t="s">
        <v>647</v>
      </c>
      <c r="D31" s="141" t="s">
        <v>657</v>
      </c>
      <c r="E31" s="228">
        <v>203</v>
      </c>
      <c r="F31" s="228">
        <v>-106.209104</v>
      </c>
      <c r="G31" s="228">
        <f t="shared" si="0"/>
        <v>96.790896</v>
      </c>
      <c r="H31" s="311"/>
    </row>
    <row r="32" s="131" customFormat="1" customHeight="1" spans="1:8">
      <c r="A32" s="78">
        <v>21</v>
      </c>
      <c r="B32" s="78" t="s">
        <v>630</v>
      </c>
      <c r="C32" s="70" t="s">
        <v>647</v>
      </c>
      <c r="D32" s="141" t="s">
        <v>658</v>
      </c>
      <c r="E32" s="228">
        <v>166</v>
      </c>
      <c r="F32" s="228">
        <v>-77.66</v>
      </c>
      <c r="G32" s="228">
        <f t="shared" si="0"/>
        <v>88.34</v>
      </c>
      <c r="H32" s="311"/>
    </row>
    <row r="33" s="131" customFormat="1" customHeight="1" spans="1:8">
      <c r="A33" s="78">
        <v>22</v>
      </c>
      <c r="B33" s="78" t="s">
        <v>630</v>
      </c>
      <c r="C33" s="70" t="s">
        <v>647</v>
      </c>
      <c r="D33" s="141" t="s">
        <v>659</v>
      </c>
      <c r="E33" s="228">
        <v>152</v>
      </c>
      <c r="F33" s="228">
        <v>-21.469988</v>
      </c>
      <c r="G33" s="228">
        <f t="shared" si="0"/>
        <v>130.530012</v>
      </c>
      <c r="H33" s="311"/>
    </row>
    <row r="34" s="131" customFormat="1" customHeight="1" spans="1:8">
      <c r="A34" s="78">
        <v>23</v>
      </c>
      <c r="B34" s="78" t="s">
        <v>630</v>
      </c>
      <c r="C34" s="142" t="s">
        <v>647</v>
      </c>
      <c r="D34" s="141" t="s">
        <v>660</v>
      </c>
      <c r="E34" s="228">
        <v>1393.2</v>
      </c>
      <c r="F34" s="228">
        <v>-962.88</v>
      </c>
      <c r="G34" s="228">
        <f t="shared" si="0"/>
        <v>430.32</v>
      </c>
      <c r="H34" s="311" t="s">
        <v>661</v>
      </c>
    </row>
    <row r="35" s="131" customFormat="1" customHeight="1" spans="1:8">
      <c r="A35" s="78">
        <v>24</v>
      </c>
      <c r="B35" s="78" t="s">
        <v>630</v>
      </c>
      <c r="C35" s="142" t="s">
        <v>647</v>
      </c>
      <c r="D35" s="141" t="s">
        <v>662</v>
      </c>
      <c r="E35" s="228">
        <v>88.8</v>
      </c>
      <c r="F35" s="228">
        <v>-3</v>
      </c>
      <c r="G35" s="228">
        <f t="shared" si="0"/>
        <v>85.8</v>
      </c>
      <c r="H35" s="311" t="s">
        <v>663</v>
      </c>
    </row>
    <row r="36" s="131" customFormat="1" customHeight="1" spans="1:8">
      <c r="A36" s="78">
        <v>25</v>
      </c>
      <c r="B36" s="78" t="s">
        <v>630</v>
      </c>
      <c r="C36" s="142" t="s">
        <v>647</v>
      </c>
      <c r="D36" s="141" t="s">
        <v>664</v>
      </c>
      <c r="E36" s="228">
        <v>148</v>
      </c>
      <c r="F36" s="228">
        <v>-39</v>
      </c>
      <c r="G36" s="228">
        <f t="shared" si="0"/>
        <v>109</v>
      </c>
      <c r="H36" s="311" t="s">
        <v>665</v>
      </c>
    </row>
    <row r="37" s="131" customFormat="1" customHeight="1" spans="1:8">
      <c r="A37" s="78">
        <v>26</v>
      </c>
      <c r="B37" s="78" t="s">
        <v>630</v>
      </c>
      <c r="C37" s="142" t="s">
        <v>647</v>
      </c>
      <c r="D37" s="70" t="s">
        <v>666</v>
      </c>
      <c r="E37" s="228">
        <v>36.6</v>
      </c>
      <c r="F37" s="228">
        <v>-1.8</v>
      </c>
      <c r="G37" s="228">
        <f t="shared" si="0"/>
        <v>34.8</v>
      </c>
      <c r="H37" s="311" t="s">
        <v>663</v>
      </c>
    </row>
    <row r="38" s="131" customFormat="1" customHeight="1" spans="1:8">
      <c r="A38" s="78">
        <v>27</v>
      </c>
      <c r="B38" s="78" t="s">
        <v>630</v>
      </c>
      <c r="C38" s="142" t="s">
        <v>647</v>
      </c>
      <c r="D38" s="70" t="s">
        <v>667</v>
      </c>
      <c r="E38" s="228">
        <v>21.72</v>
      </c>
      <c r="F38" s="228">
        <v>-3.1256</v>
      </c>
      <c r="G38" s="228">
        <f t="shared" si="0"/>
        <v>18.5944</v>
      </c>
      <c r="H38" s="311" t="s">
        <v>668</v>
      </c>
    </row>
    <row r="39" s="131" customFormat="1" customHeight="1" spans="1:8">
      <c r="A39" s="78">
        <v>28</v>
      </c>
      <c r="B39" s="78" t="s">
        <v>630</v>
      </c>
      <c r="C39" s="142" t="s">
        <v>647</v>
      </c>
      <c r="D39" s="141" t="s">
        <v>669</v>
      </c>
      <c r="E39" s="228">
        <v>35</v>
      </c>
      <c r="F39" s="228">
        <v>-35</v>
      </c>
      <c r="G39" s="228">
        <f t="shared" si="0"/>
        <v>0</v>
      </c>
      <c r="H39" s="311"/>
    </row>
    <row r="40" s="131" customFormat="1" customHeight="1" spans="1:8">
      <c r="A40" s="78">
        <v>29</v>
      </c>
      <c r="B40" s="78" t="s">
        <v>630</v>
      </c>
      <c r="C40" s="142" t="s">
        <v>647</v>
      </c>
      <c r="D40" s="141" t="s">
        <v>670</v>
      </c>
      <c r="E40" s="228">
        <v>242.81</v>
      </c>
      <c r="F40" s="228">
        <v>-242.81</v>
      </c>
      <c r="G40" s="228">
        <f t="shared" si="0"/>
        <v>0</v>
      </c>
      <c r="H40" s="311"/>
    </row>
    <row r="41" s="131" customFormat="1" customHeight="1" spans="1:8">
      <c r="A41" s="78">
        <v>30</v>
      </c>
      <c r="B41" s="78" t="s">
        <v>630</v>
      </c>
      <c r="C41" s="142" t="s">
        <v>647</v>
      </c>
      <c r="D41" s="141" t="s">
        <v>671</v>
      </c>
      <c r="E41" s="228">
        <v>245.928</v>
      </c>
      <c r="F41" s="312">
        <v>0.1</v>
      </c>
      <c r="G41" s="228">
        <f t="shared" si="0"/>
        <v>246.028</v>
      </c>
      <c r="H41" s="311" t="s">
        <v>672</v>
      </c>
    </row>
    <row r="42" s="131" customFormat="1" customHeight="1" spans="1:8">
      <c r="A42" s="78">
        <v>31</v>
      </c>
      <c r="B42" s="78" t="s">
        <v>630</v>
      </c>
      <c r="C42" s="142" t="s">
        <v>647</v>
      </c>
      <c r="D42" s="141" t="s">
        <v>673</v>
      </c>
      <c r="E42" s="228">
        <v>35</v>
      </c>
      <c r="F42" s="228">
        <v>-35</v>
      </c>
      <c r="G42" s="228">
        <f t="shared" si="0"/>
        <v>0</v>
      </c>
      <c r="H42" s="311"/>
    </row>
    <row r="43" s="131" customFormat="1" customHeight="1" spans="1:8">
      <c r="A43" s="78">
        <v>32</v>
      </c>
      <c r="B43" s="78" t="s">
        <v>674</v>
      </c>
      <c r="C43" s="142" t="s">
        <v>675</v>
      </c>
      <c r="D43" s="141" t="s">
        <v>676</v>
      </c>
      <c r="E43" s="228">
        <v>25</v>
      </c>
      <c r="F43" s="228">
        <v>-7.01</v>
      </c>
      <c r="G43" s="228">
        <f t="shared" si="0"/>
        <v>17.99</v>
      </c>
      <c r="H43" s="311"/>
    </row>
    <row r="44" s="131" customFormat="1" customHeight="1" spans="1:8">
      <c r="A44" s="78">
        <v>33</v>
      </c>
      <c r="B44" s="78" t="s">
        <v>621</v>
      </c>
      <c r="C44" s="142" t="s">
        <v>675</v>
      </c>
      <c r="D44" s="141" t="s">
        <v>677</v>
      </c>
      <c r="E44" s="228">
        <v>50</v>
      </c>
      <c r="F44" s="228">
        <v>-50</v>
      </c>
      <c r="G44" s="228">
        <f t="shared" si="0"/>
        <v>0</v>
      </c>
      <c r="H44" s="311"/>
    </row>
    <row r="45" s="131" customFormat="1" customHeight="1" spans="1:8">
      <c r="A45" s="78">
        <v>34</v>
      </c>
      <c r="B45" s="78" t="s">
        <v>621</v>
      </c>
      <c r="C45" s="142" t="s">
        <v>675</v>
      </c>
      <c r="D45" s="141" t="s">
        <v>678</v>
      </c>
      <c r="E45" s="228">
        <v>30</v>
      </c>
      <c r="F45" s="228">
        <v>-30</v>
      </c>
      <c r="G45" s="228">
        <f t="shared" si="0"/>
        <v>0</v>
      </c>
      <c r="H45" s="311"/>
    </row>
    <row r="46" s="131" customFormat="1" customHeight="1" spans="1:8">
      <c r="A46" s="78">
        <v>35</v>
      </c>
      <c r="B46" s="78" t="s">
        <v>621</v>
      </c>
      <c r="C46" s="142" t="s">
        <v>675</v>
      </c>
      <c r="D46" s="141" t="s">
        <v>679</v>
      </c>
      <c r="E46" s="228">
        <v>80</v>
      </c>
      <c r="F46" s="228">
        <v>80</v>
      </c>
      <c r="G46" s="228">
        <f t="shared" si="0"/>
        <v>160</v>
      </c>
      <c r="H46" s="311"/>
    </row>
    <row r="47" s="131" customFormat="1" customHeight="1" spans="1:8">
      <c r="A47" s="78">
        <v>36</v>
      </c>
      <c r="B47" s="78" t="s">
        <v>626</v>
      </c>
      <c r="C47" s="142" t="s">
        <v>675</v>
      </c>
      <c r="D47" s="141" t="s">
        <v>680</v>
      </c>
      <c r="E47" s="228">
        <v>3</v>
      </c>
      <c r="F47" s="228">
        <v>-1</v>
      </c>
      <c r="G47" s="228">
        <f t="shared" si="0"/>
        <v>2</v>
      </c>
      <c r="H47" s="311"/>
    </row>
    <row r="48" s="131" customFormat="1" customHeight="1" spans="1:8">
      <c r="A48" s="78">
        <v>37</v>
      </c>
      <c r="B48" s="78" t="s">
        <v>626</v>
      </c>
      <c r="C48" s="142" t="s">
        <v>675</v>
      </c>
      <c r="D48" s="141" t="s">
        <v>681</v>
      </c>
      <c r="E48" s="228">
        <v>5</v>
      </c>
      <c r="F48" s="228">
        <v>-2</v>
      </c>
      <c r="G48" s="228">
        <f t="shared" si="0"/>
        <v>3</v>
      </c>
      <c r="H48" s="311"/>
    </row>
    <row r="49" s="131" customFormat="1" customHeight="1" spans="1:8">
      <c r="A49" s="78">
        <v>38</v>
      </c>
      <c r="B49" s="78" t="s">
        <v>626</v>
      </c>
      <c r="C49" s="142" t="s">
        <v>675</v>
      </c>
      <c r="D49" s="141" t="s">
        <v>682</v>
      </c>
      <c r="E49" s="228">
        <v>15.18</v>
      </c>
      <c r="F49" s="228">
        <v>-10</v>
      </c>
      <c r="G49" s="228">
        <f t="shared" si="0"/>
        <v>5.18</v>
      </c>
      <c r="H49" s="311"/>
    </row>
    <row r="50" s="131" customFormat="1" customHeight="1" spans="1:8">
      <c r="A50" s="78">
        <v>39</v>
      </c>
      <c r="B50" s="78" t="s">
        <v>626</v>
      </c>
      <c r="C50" s="142" t="s">
        <v>675</v>
      </c>
      <c r="D50" s="141" t="s">
        <v>683</v>
      </c>
      <c r="E50" s="228">
        <v>10</v>
      </c>
      <c r="F50" s="228">
        <v>-5</v>
      </c>
      <c r="G50" s="228">
        <f t="shared" si="0"/>
        <v>5</v>
      </c>
      <c r="H50" s="311"/>
    </row>
    <row r="51" s="131" customFormat="1" customHeight="1" spans="1:8">
      <c r="A51" s="78">
        <v>40</v>
      </c>
      <c r="B51" s="78" t="s">
        <v>626</v>
      </c>
      <c r="C51" s="142" t="s">
        <v>675</v>
      </c>
      <c r="D51" s="141" t="s">
        <v>684</v>
      </c>
      <c r="E51" s="228">
        <v>60</v>
      </c>
      <c r="F51" s="228">
        <v>-10</v>
      </c>
      <c r="G51" s="228">
        <f t="shared" si="0"/>
        <v>50</v>
      </c>
      <c r="H51" s="311"/>
    </row>
    <row r="52" s="131" customFormat="1" customHeight="1" spans="1:8">
      <c r="A52" s="78">
        <v>41</v>
      </c>
      <c r="B52" s="78" t="s">
        <v>626</v>
      </c>
      <c r="C52" s="142" t="s">
        <v>675</v>
      </c>
      <c r="D52" s="141" t="s">
        <v>685</v>
      </c>
      <c r="E52" s="228">
        <v>10</v>
      </c>
      <c r="F52" s="228">
        <v>-5</v>
      </c>
      <c r="G52" s="228">
        <f t="shared" si="0"/>
        <v>5</v>
      </c>
      <c r="H52" s="311"/>
    </row>
    <row r="53" s="131" customFormat="1" customHeight="1" spans="1:8">
      <c r="A53" s="78">
        <v>42</v>
      </c>
      <c r="B53" s="78" t="s">
        <v>626</v>
      </c>
      <c r="C53" s="142" t="s">
        <v>675</v>
      </c>
      <c r="D53" s="141" t="s">
        <v>686</v>
      </c>
      <c r="E53" s="228">
        <v>23</v>
      </c>
      <c r="F53" s="228">
        <v>-5</v>
      </c>
      <c r="G53" s="228">
        <f t="shared" si="0"/>
        <v>18</v>
      </c>
      <c r="H53" s="311"/>
    </row>
    <row r="54" s="131" customFormat="1" customHeight="1" spans="1:8">
      <c r="A54" s="78">
        <v>43</v>
      </c>
      <c r="B54" s="78" t="s">
        <v>626</v>
      </c>
      <c r="C54" s="142" t="s">
        <v>675</v>
      </c>
      <c r="D54" s="141" t="s">
        <v>687</v>
      </c>
      <c r="E54" s="228">
        <v>0</v>
      </c>
      <c r="F54" s="228">
        <v>49.2</v>
      </c>
      <c r="G54" s="228">
        <f t="shared" si="0"/>
        <v>49.2</v>
      </c>
      <c r="H54" s="311" t="s">
        <v>688</v>
      </c>
    </row>
    <row r="55" s="131" customFormat="1" customHeight="1" spans="1:8">
      <c r="A55" s="78">
        <v>44</v>
      </c>
      <c r="B55" s="78" t="s">
        <v>626</v>
      </c>
      <c r="C55" s="70" t="s">
        <v>675</v>
      </c>
      <c r="D55" s="70" t="s">
        <v>689</v>
      </c>
      <c r="E55" s="228">
        <v>2</v>
      </c>
      <c r="F55" s="228">
        <v>-2</v>
      </c>
      <c r="G55" s="228">
        <f t="shared" si="0"/>
        <v>0</v>
      </c>
      <c r="H55" s="311"/>
    </row>
    <row r="56" s="131" customFormat="1" customHeight="1" spans="1:8">
      <c r="A56" s="78">
        <v>45</v>
      </c>
      <c r="B56" s="78" t="s">
        <v>626</v>
      </c>
      <c r="C56" s="142" t="s">
        <v>675</v>
      </c>
      <c r="D56" s="141" t="s">
        <v>690</v>
      </c>
      <c r="E56" s="228">
        <v>48.5</v>
      </c>
      <c r="F56" s="228">
        <v>-47.2</v>
      </c>
      <c r="G56" s="228">
        <f t="shared" si="0"/>
        <v>1.3</v>
      </c>
      <c r="H56" s="311"/>
    </row>
    <row r="57" s="131" customFormat="1" customHeight="1" spans="1:8">
      <c r="A57" s="78">
        <v>46</v>
      </c>
      <c r="B57" s="78" t="s">
        <v>626</v>
      </c>
      <c r="C57" s="142" t="s">
        <v>675</v>
      </c>
      <c r="D57" s="141" t="s">
        <v>691</v>
      </c>
      <c r="E57" s="228">
        <v>20</v>
      </c>
      <c r="F57" s="228">
        <v>-20</v>
      </c>
      <c r="G57" s="228">
        <f t="shared" si="0"/>
        <v>0</v>
      </c>
      <c r="H57" s="311"/>
    </row>
    <row r="58" s="131" customFormat="1" customHeight="1" spans="1:8">
      <c r="A58" s="78">
        <v>47</v>
      </c>
      <c r="B58" s="78" t="s">
        <v>626</v>
      </c>
      <c r="C58" s="142" t="s">
        <v>675</v>
      </c>
      <c r="D58" s="141" t="s">
        <v>692</v>
      </c>
      <c r="E58" s="228">
        <v>10</v>
      </c>
      <c r="F58" s="228">
        <v>-10</v>
      </c>
      <c r="G58" s="228">
        <f t="shared" si="0"/>
        <v>0</v>
      </c>
      <c r="H58" s="311"/>
    </row>
    <row r="59" s="131" customFormat="1" customHeight="1" spans="1:8">
      <c r="A59" s="78">
        <v>48</v>
      </c>
      <c r="B59" s="78" t="s">
        <v>626</v>
      </c>
      <c r="C59" s="142" t="s">
        <v>675</v>
      </c>
      <c r="D59" s="141" t="s">
        <v>693</v>
      </c>
      <c r="E59" s="228">
        <v>100</v>
      </c>
      <c r="F59" s="228">
        <v>-13.6</v>
      </c>
      <c r="G59" s="228">
        <f t="shared" si="0"/>
        <v>86.4</v>
      </c>
      <c r="H59" s="311"/>
    </row>
    <row r="60" s="131" customFormat="1" customHeight="1" spans="1:8">
      <c r="A60" s="78">
        <v>49</v>
      </c>
      <c r="B60" s="78" t="s">
        <v>626</v>
      </c>
      <c r="C60" s="142" t="s">
        <v>675</v>
      </c>
      <c r="D60" s="141" t="s">
        <v>694</v>
      </c>
      <c r="E60" s="228">
        <v>3</v>
      </c>
      <c r="F60" s="228">
        <v>-2</v>
      </c>
      <c r="G60" s="228">
        <f t="shared" si="0"/>
        <v>1</v>
      </c>
      <c r="H60" s="311"/>
    </row>
    <row r="61" s="131" customFormat="1" customHeight="1" spans="1:8">
      <c r="A61" s="78">
        <v>50</v>
      </c>
      <c r="B61" s="78" t="s">
        <v>626</v>
      </c>
      <c r="C61" s="142" t="s">
        <v>675</v>
      </c>
      <c r="D61" s="141" t="s">
        <v>695</v>
      </c>
      <c r="E61" s="228">
        <v>6.3</v>
      </c>
      <c r="F61" s="228">
        <v>-2.3</v>
      </c>
      <c r="G61" s="228">
        <f t="shared" si="0"/>
        <v>4</v>
      </c>
      <c r="H61" s="311"/>
    </row>
    <row r="62" s="131" customFormat="1" customHeight="1" spans="1:8">
      <c r="A62" s="78">
        <v>51</v>
      </c>
      <c r="B62" s="78" t="s">
        <v>626</v>
      </c>
      <c r="C62" s="142" t="s">
        <v>675</v>
      </c>
      <c r="D62" s="141" t="s">
        <v>696</v>
      </c>
      <c r="E62" s="228">
        <v>6</v>
      </c>
      <c r="F62" s="228">
        <v>-6</v>
      </c>
      <c r="G62" s="228">
        <f t="shared" si="0"/>
        <v>0</v>
      </c>
      <c r="H62" s="311"/>
    </row>
    <row r="63" s="131" customFormat="1" customHeight="1" spans="1:8">
      <c r="A63" s="78">
        <v>52</v>
      </c>
      <c r="B63" s="78" t="s">
        <v>626</v>
      </c>
      <c r="C63" s="142" t="s">
        <v>675</v>
      </c>
      <c r="D63" s="141" t="s">
        <v>697</v>
      </c>
      <c r="E63" s="228">
        <v>20</v>
      </c>
      <c r="F63" s="228">
        <v>-20</v>
      </c>
      <c r="G63" s="228">
        <f t="shared" si="0"/>
        <v>0</v>
      </c>
      <c r="H63" s="311"/>
    </row>
    <row r="64" s="131" customFormat="1" customHeight="1" spans="1:8">
      <c r="A64" s="78">
        <v>53</v>
      </c>
      <c r="B64" s="78" t="s">
        <v>626</v>
      </c>
      <c r="C64" s="142" t="s">
        <v>675</v>
      </c>
      <c r="D64" s="141" t="s">
        <v>698</v>
      </c>
      <c r="E64" s="228">
        <v>78.5416</v>
      </c>
      <c r="F64" s="228">
        <v>-50</v>
      </c>
      <c r="G64" s="228">
        <f t="shared" si="0"/>
        <v>28.5416</v>
      </c>
      <c r="H64" s="311"/>
    </row>
    <row r="65" s="131" customFormat="1" customHeight="1" spans="1:8">
      <c r="A65" s="78">
        <v>54</v>
      </c>
      <c r="B65" s="78" t="s">
        <v>626</v>
      </c>
      <c r="C65" s="142" t="s">
        <v>675</v>
      </c>
      <c r="D65" s="141" t="s">
        <v>699</v>
      </c>
      <c r="E65" s="228">
        <v>0</v>
      </c>
      <c r="F65" s="228">
        <v>6</v>
      </c>
      <c r="G65" s="228">
        <f t="shared" si="0"/>
        <v>6</v>
      </c>
      <c r="H65" s="311" t="s">
        <v>688</v>
      </c>
    </row>
    <row r="66" s="131" customFormat="1" customHeight="1" spans="1:8">
      <c r="A66" s="78">
        <v>55</v>
      </c>
      <c r="B66" s="78" t="s">
        <v>626</v>
      </c>
      <c r="C66" s="142" t="s">
        <v>700</v>
      </c>
      <c r="D66" s="141" t="s">
        <v>701</v>
      </c>
      <c r="E66" s="228">
        <v>0.28</v>
      </c>
      <c r="F66" s="312">
        <v>-0.28</v>
      </c>
      <c r="G66" s="228">
        <f t="shared" si="0"/>
        <v>0</v>
      </c>
      <c r="H66" s="311"/>
    </row>
    <row r="67" s="131" customFormat="1" customHeight="1" spans="1:8">
      <c r="A67" s="78">
        <v>56</v>
      </c>
      <c r="B67" s="78" t="s">
        <v>626</v>
      </c>
      <c r="C67" s="142" t="s">
        <v>700</v>
      </c>
      <c r="D67" s="141" t="s">
        <v>702</v>
      </c>
      <c r="E67" s="228">
        <v>7</v>
      </c>
      <c r="F67" s="228">
        <v>-7</v>
      </c>
      <c r="G67" s="228">
        <f t="shared" si="0"/>
        <v>0</v>
      </c>
      <c r="H67" s="311"/>
    </row>
    <row r="68" s="131" customFormat="1" customHeight="1" spans="1:8">
      <c r="A68" s="78">
        <v>57</v>
      </c>
      <c r="B68" s="78" t="s">
        <v>674</v>
      </c>
      <c r="C68" s="142" t="s">
        <v>703</v>
      </c>
      <c r="D68" s="141" t="s">
        <v>704</v>
      </c>
      <c r="E68" s="228">
        <v>18</v>
      </c>
      <c r="F68" s="228">
        <v>-2.456283</v>
      </c>
      <c r="G68" s="228">
        <f t="shared" si="0"/>
        <v>15.543717</v>
      </c>
      <c r="H68" s="311"/>
    </row>
    <row r="69" s="131" customFormat="1" customHeight="1" spans="1:8">
      <c r="A69" s="78">
        <v>58</v>
      </c>
      <c r="B69" s="78" t="s">
        <v>626</v>
      </c>
      <c r="C69" s="142" t="s">
        <v>703</v>
      </c>
      <c r="D69" s="141" t="s">
        <v>705</v>
      </c>
      <c r="E69" s="228">
        <v>20</v>
      </c>
      <c r="F69" s="228">
        <v>-4</v>
      </c>
      <c r="G69" s="228">
        <f t="shared" ref="G69:G132" si="1">E69+F69</f>
        <v>16</v>
      </c>
      <c r="H69" s="311"/>
    </row>
    <row r="70" s="131" customFormat="1" customHeight="1" spans="1:8">
      <c r="A70" s="78">
        <v>59</v>
      </c>
      <c r="B70" s="78" t="s">
        <v>626</v>
      </c>
      <c r="C70" s="142" t="s">
        <v>703</v>
      </c>
      <c r="D70" s="141" t="s">
        <v>706</v>
      </c>
      <c r="E70" s="228">
        <v>47.5</v>
      </c>
      <c r="F70" s="228">
        <v>-6.5</v>
      </c>
      <c r="G70" s="228">
        <f t="shared" si="1"/>
        <v>41</v>
      </c>
      <c r="H70" s="311"/>
    </row>
    <row r="71" s="131" customFormat="1" customHeight="1" spans="1:8">
      <c r="A71" s="78">
        <v>60</v>
      </c>
      <c r="B71" s="78" t="s">
        <v>626</v>
      </c>
      <c r="C71" s="142" t="s">
        <v>703</v>
      </c>
      <c r="D71" s="141" t="s">
        <v>707</v>
      </c>
      <c r="E71" s="228">
        <v>5</v>
      </c>
      <c r="F71" s="228">
        <v>4</v>
      </c>
      <c r="G71" s="228">
        <f t="shared" si="1"/>
        <v>9</v>
      </c>
      <c r="H71" s="311" t="s">
        <v>688</v>
      </c>
    </row>
    <row r="72" s="131" customFormat="1" customHeight="1" spans="1:8">
      <c r="A72" s="78">
        <v>61</v>
      </c>
      <c r="B72" s="78" t="s">
        <v>626</v>
      </c>
      <c r="C72" s="142" t="s">
        <v>703</v>
      </c>
      <c r="D72" s="141" t="s">
        <v>708</v>
      </c>
      <c r="E72" s="228">
        <v>10</v>
      </c>
      <c r="F72" s="228">
        <v>-5</v>
      </c>
      <c r="G72" s="228">
        <f t="shared" si="1"/>
        <v>5</v>
      </c>
      <c r="H72" s="311"/>
    </row>
    <row r="73" s="131" customFormat="1" customHeight="1" spans="1:8">
      <c r="A73" s="78">
        <v>62</v>
      </c>
      <c r="B73" s="78" t="s">
        <v>626</v>
      </c>
      <c r="C73" s="142" t="s">
        <v>703</v>
      </c>
      <c r="D73" s="141" t="s">
        <v>709</v>
      </c>
      <c r="E73" s="228">
        <v>29</v>
      </c>
      <c r="F73" s="228">
        <v>2.5</v>
      </c>
      <c r="G73" s="228">
        <f t="shared" si="1"/>
        <v>31.5</v>
      </c>
      <c r="H73" s="311" t="s">
        <v>688</v>
      </c>
    </row>
    <row r="74" s="131" customFormat="1" customHeight="1" spans="1:8">
      <c r="A74" s="78">
        <v>63</v>
      </c>
      <c r="B74" s="78" t="s">
        <v>626</v>
      </c>
      <c r="C74" s="70" t="s">
        <v>710</v>
      </c>
      <c r="D74" s="70" t="s">
        <v>711</v>
      </c>
      <c r="E74" s="228">
        <v>25</v>
      </c>
      <c r="F74" s="228">
        <v>-15</v>
      </c>
      <c r="G74" s="228">
        <f t="shared" si="1"/>
        <v>10</v>
      </c>
      <c r="H74" s="311"/>
    </row>
    <row r="75" s="131" customFormat="1" customHeight="1" spans="1:8">
      <c r="A75" s="78">
        <v>64</v>
      </c>
      <c r="B75" s="78" t="s">
        <v>626</v>
      </c>
      <c r="C75" s="142" t="s">
        <v>710</v>
      </c>
      <c r="D75" s="141" t="s">
        <v>712</v>
      </c>
      <c r="E75" s="228">
        <v>80</v>
      </c>
      <c r="F75" s="228">
        <v>-5.65</v>
      </c>
      <c r="G75" s="228">
        <f t="shared" si="1"/>
        <v>74.35</v>
      </c>
      <c r="H75" s="311"/>
    </row>
    <row r="76" s="131" customFormat="1" customHeight="1" spans="1:8">
      <c r="A76" s="78">
        <v>65</v>
      </c>
      <c r="B76" s="78" t="s">
        <v>626</v>
      </c>
      <c r="C76" s="142" t="s">
        <v>710</v>
      </c>
      <c r="D76" s="141" t="s">
        <v>713</v>
      </c>
      <c r="E76" s="228">
        <v>100</v>
      </c>
      <c r="F76" s="228">
        <v>-50</v>
      </c>
      <c r="G76" s="228">
        <f t="shared" si="1"/>
        <v>50</v>
      </c>
      <c r="H76" s="311"/>
    </row>
    <row r="77" s="131" customFormat="1" customHeight="1" spans="1:8">
      <c r="A77" s="78">
        <v>66</v>
      </c>
      <c r="B77" s="78" t="s">
        <v>626</v>
      </c>
      <c r="C77" s="142" t="s">
        <v>710</v>
      </c>
      <c r="D77" s="141" t="s">
        <v>714</v>
      </c>
      <c r="E77" s="228">
        <v>6.96</v>
      </c>
      <c r="F77" s="228">
        <v>-6.96</v>
      </c>
      <c r="G77" s="228">
        <f t="shared" si="1"/>
        <v>0</v>
      </c>
      <c r="H77" s="311"/>
    </row>
    <row r="78" s="131" customFormat="1" customHeight="1" spans="1:8">
      <c r="A78" s="78">
        <v>67</v>
      </c>
      <c r="B78" s="78" t="s">
        <v>626</v>
      </c>
      <c r="C78" s="142" t="s">
        <v>710</v>
      </c>
      <c r="D78" s="141" t="s">
        <v>715</v>
      </c>
      <c r="E78" s="228">
        <v>50</v>
      </c>
      <c r="F78" s="228">
        <v>-20</v>
      </c>
      <c r="G78" s="228">
        <f t="shared" si="1"/>
        <v>30</v>
      </c>
      <c r="H78" s="311"/>
    </row>
    <row r="79" s="131" customFormat="1" customHeight="1" spans="1:8">
      <c r="A79" s="78">
        <v>68</v>
      </c>
      <c r="B79" s="78" t="s">
        <v>626</v>
      </c>
      <c r="C79" s="142" t="s">
        <v>710</v>
      </c>
      <c r="D79" s="141" t="s">
        <v>716</v>
      </c>
      <c r="E79" s="228">
        <v>50</v>
      </c>
      <c r="F79" s="228">
        <v>-30</v>
      </c>
      <c r="G79" s="228">
        <f t="shared" si="1"/>
        <v>20</v>
      </c>
      <c r="H79" s="311"/>
    </row>
    <row r="80" s="131" customFormat="1" customHeight="1" spans="1:8">
      <c r="A80" s="78">
        <v>69</v>
      </c>
      <c r="B80" s="78" t="s">
        <v>626</v>
      </c>
      <c r="C80" s="142" t="s">
        <v>710</v>
      </c>
      <c r="D80" s="141" t="s">
        <v>717</v>
      </c>
      <c r="E80" s="228">
        <v>15</v>
      </c>
      <c r="F80" s="228">
        <v>-15</v>
      </c>
      <c r="G80" s="228">
        <f t="shared" si="1"/>
        <v>0</v>
      </c>
      <c r="H80" s="311"/>
    </row>
    <row r="81" s="131" customFormat="1" customHeight="1" spans="1:8">
      <c r="A81" s="78">
        <v>70</v>
      </c>
      <c r="B81" s="78" t="s">
        <v>626</v>
      </c>
      <c r="C81" s="142" t="s">
        <v>710</v>
      </c>
      <c r="D81" s="141" t="s">
        <v>718</v>
      </c>
      <c r="E81" s="228">
        <v>18.4</v>
      </c>
      <c r="F81" s="228">
        <v>-0.8</v>
      </c>
      <c r="G81" s="228">
        <f t="shared" si="1"/>
        <v>17.6</v>
      </c>
      <c r="H81" s="311"/>
    </row>
    <row r="82" s="131" customFormat="1" customHeight="1" spans="1:8">
      <c r="A82" s="78">
        <v>71</v>
      </c>
      <c r="B82" s="78" t="s">
        <v>626</v>
      </c>
      <c r="C82" s="142" t="s">
        <v>710</v>
      </c>
      <c r="D82" s="141" t="s">
        <v>719</v>
      </c>
      <c r="E82" s="228">
        <v>18.4</v>
      </c>
      <c r="F82" s="228">
        <v>-6.08</v>
      </c>
      <c r="G82" s="228">
        <f t="shared" si="1"/>
        <v>12.32</v>
      </c>
      <c r="H82" s="311"/>
    </row>
    <row r="83" s="131" customFormat="1" customHeight="1" spans="1:8">
      <c r="A83" s="78">
        <v>72</v>
      </c>
      <c r="B83" s="78" t="s">
        <v>630</v>
      </c>
      <c r="C83" s="142" t="s">
        <v>710</v>
      </c>
      <c r="D83" s="141" t="s">
        <v>720</v>
      </c>
      <c r="E83" s="228">
        <v>6</v>
      </c>
      <c r="F83" s="228">
        <v>-1.6304</v>
      </c>
      <c r="G83" s="228">
        <f t="shared" si="1"/>
        <v>4.3696</v>
      </c>
      <c r="H83" s="311"/>
    </row>
    <row r="84" s="131" customFormat="1" customHeight="1" spans="1:8">
      <c r="A84" s="78">
        <v>73</v>
      </c>
      <c r="B84" s="78" t="s">
        <v>626</v>
      </c>
      <c r="C84" s="142" t="s">
        <v>721</v>
      </c>
      <c r="D84" s="141" t="s">
        <v>722</v>
      </c>
      <c r="E84" s="228">
        <v>10</v>
      </c>
      <c r="F84" s="228">
        <v>-5</v>
      </c>
      <c r="G84" s="228">
        <f t="shared" si="1"/>
        <v>5</v>
      </c>
      <c r="H84" s="311"/>
    </row>
    <row r="85" s="131" customFormat="1" customHeight="1" spans="1:8">
      <c r="A85" s="78">
        <v>74</v>
      </c>
      <c r="B85" s="78" t="s">
        <v>626</v>
      </c>
      <c r="C85" s="142" t="s">
        <v>723</v>
      </c>
      <c r="D85" s="141" t="s">
        <v>724</v>
      </c>
      <c r="E85" s="228">
        <v>2.16</v>
      </c>
      <c r="F85" s="228">
        <v>-0.6</v>
      </c>
      <c r="G85" s="228">
        <f t="shared" si="1"/>
        <v>1.56</v>
      </c>
      <c r="H85" s="311"/>
    </row>
    <row r="86" s="131" customFormat="1" customHeight="1" spans="1:8">
      <c r="A86" s="78">
        <v>75</v>
      </c>
      <c r="B86" s="78" t="s">
        <v>626</v>
      </c>
      <c r="C86" s="142" t="s">
        <v>725</v>
      </c>
      <c r="D86" s="141" t="s">
        <v>726</v>
      </c>
      <c r="E86" s="228">
        <v>50</v>
      </c>
      <c r="F86" s="228">
        <v>-30</v>
      </c>
      <c r="G86" s="228">
        <f t="shared" si="1"/>
        <v>20</v>
      </c>
      <c r="H86" s="311"/>
    </row>
    <row r="87" s="131" customFormat="1" customHeight="1" spans="1:8">
      <c r="A87" s="78">
        <v>76</v>
      </c>
      <c r="B87" s="78" t="s">
        <v>626</v>
      </c>
      <c r="C87" s="142" t="s">
        <v>725</v>
      </c>
      <c r="D87" s="141" t="s">
        <v>727</v>
      </c>
      <c r="E87" s="228">
        <v>80</v>
      </c>
      <c r="F87" s="228">
        <v>-50</v>
      </c>
      <c r="G87" s="228">
        <f t="shared" si="1"/>
        <v>30</v>
      </c>
      <c r="H87" s="311"/>
    </row>
    <row r="88" s="131" customFormat="1" customHeight="1" spans="1:8">
      <c r="A88" s="78">
        <v>77</v>
      </c>
      <c r="B88" s="78" t="s">
        <v>626</v>
      </c>
      <c r="C88" s="142" t="s">
        <v>725</v>
      </c>
      <c r="D88" s="141" t="s">
        <v>728</v>
      </c>
      <c r="E88" s="228">
        <v>5</v>
      </c>
      <c r="F88" s="228">
        <v>-3.74</v>
      </c>
      <c r="G88" s="228">
        <f t="shared" si="1"/>
        <v>1.26</v>
      </c>
      <c r="H88" s="311"/>
    </row>
    <row r="89" s="131" customFormat="1" customHeight="1" spans="1:8">
      <c r="A89" s="78">
        <v>78</v>
      </c>
      <c r="B89" s="78" t="s">
        <v>626</v>
      </c>
      <c r="C89" s="142" t="s">
        <v>725</v>
      </c>
      <c r="D89" s="141" t="s">
        <v>729</v>
      </c>
      <c r="E89" s="313">
        <v>1.4</v>
      </c>
      <c r="F89" s="313">
        <v>1.4</v>
      </c>
      <c r="G89" s="228">
        <f t="shared" si="1"/>
        <v>2.8</v>
      </c>
      <c r="H89" s="311" t="s">
        <v>730</v>
      </c>
    </row>
    <row r="90" s="131" customFormat="1" customHeight="1" spans="1:8">
      <c r="A90" s="78">
        <v>79</v>
      </c>
      <c r="B90" s="78" t="s">
        <v>626</v>
      </c>
      <c r="C90" s="142" t="s">
        <v>725</v>
      </c>
      <c r="D90" s="141" t="s">
        <v>731</v>
      </c>
      <c r="E90" s="228">
        <v>26.88</v>
      </c>
      <c r="F90" s="228">
        <v>-9</v>
      </c>
      <c r="G90" s="228">
        <f t="shared" si="1"/>
        <v>17.88</v>
      </c>
      <c r="H90" s="311"/>
    </row>
    <row r="91" s="131" customFormat="1" customHeight="1" spans="1:8">
      <c r="A91" s="78">
        <v>80</v>
      </c>
      <c r="B91" s="78" t="s">
        <v>626</v>
      </c>
      <c r="C91" s="142" t="s">
        <v>725</v>
      </c>
      <c r="D91" s="141" t="s">
        <v>732</v>
      </c>
      <c r="E91" s="228">
        <v>80</v>
      </c>
      <c r="F91" s="228">
        <v>-60</v>
      </c>
      <c r="G91" s="228">
        <f t="shared" si="1"/>
        <v>20</v>
      </c>
      <c r="H91" s="311"/>
    </row>
    <row r="92" s="131" customFormat="1" customHeight="1" spans="1:8">
      <c r="A92" s="78">
        <v>81</v>
      </c>
      <c r="B92" s="78" t="s">
        <v>626</v>
      </c>
      <c r="C92" s="142" t="s">
        <v>725</v>
      </c>
      <c r="D92" s="141" t="s">
        <v>733</v>
      </c>
      <c r="E92" s="228">
        <v>21</v>
      </c>
      <c r="F92" s="228">
        <v>-11</v>
      </c>
      <c r="G92" s="228">
        <f t="shared" si="1"/>
        <v>10</v>
      </c>
      <c r="H92" s="311"/>
    </row>
    <row r="93" s="131" customFormat="1" customHeight="1" spans="1:8">
      <c r="A93" s="78">
        <v>82</v>
      </c>
      <c r="B93" s="78" t="s">
        <v>626</v>
      </c>
      <c r="C93" s="142" t="s">
        <v>725</v>
      </c>
      <c r="D93" s="141" t="s">
        <v>734</v>
      </c>
      <c r="E93" s="228">
        <v>2.75</v>
      </c>
      <c r="F93" s="228">
        <v>2.75</v>
      </c>
      <c r="G93" s="228">
        <f t="shared" si="1"/>
        <v>5.5</v>
      </c>
      <c r="H93" s="311" t="s">
        <v>730</v>
      </c>
    </row>
    <row r="94" s="131" customFormat="1" customHeight="1" spans="1:8">
      <c r="A94" s="78">
        <v>83</v>
      </c>
      <c r="B94" s="78" t="s">
        <v>626</v>
      </c>
      <c r="C94" s="142" t="s">
        <v>725</v>
      </c>
      <c r="D94" s="141" t="s">
        <v>735</v>
      </c>
      <c r="E94" s="228">
        <v>130</v>
      </c>
      <c r="F94" s="228">
        <v>-50</v>
      </c>
      <c r="G94" s="228">
        <f t="shared" si="1"/>
        <v>80</v>
      </c>
      <c r="H94" s="311"/>
    </row>
    <row r="95" s="131" customFormat="1" customHeight="1" spans="1:8">
      <c r="A95" s="78">
        <v>84</v>
      </c>
      <c r="B95" s="78" t="s">
        <v>626</v>
      </c>
      <c r="C95" s="142" t="s">
        <v>725</v>
      </c>
      <c r="D95" s="141" t="s">
        <v>736</v>
      </c>
      <c r="E95" s="228">
        <v>9</v>
      </c>
      <c r="F95" s="228">
        <v>-4</v>
      </c>
      <c r="G95" s="228">
        <f t="shared" si="1"/>
        <v>5</v>
      </c>
      <c r="H95" s="311"/>
    </row>
    <row r="96" s="131" customFormat="1" customHeight="1" spans="1:8">
      <c r="A96" s="78">
        <v>85</v>
      </c>
      <c r="B96" s="78" t="s">
        <v>626</v>
      </c>
      <c r="C96" s="142" t="s">
        <v>737</v>
      </c>
      <c r="D96" s="141" t="s">
        <v>738</v>
      </c>
      <c r="E96" s="228">
        <v>174.798</v>
      </c>
      <c r="F96" s="228">
        <v>-10</v>
      </c>
      <c r="G96" s="228">
        <f t="shared" si="1"/>
        <v>164.798</v>
      </c>
      <c r="H96" s="311"/>
    </row>
    <row r="97" s="131" customFormat="1" customHeight="1" spans="1:8">
      <c r="A97" s="78">
        <v>86</v>
      </c>
      <c r="B97" s="78" t="s">
        <v>626</v>
      </c>
      <c r="C97" s="142" t="s">
        <v>737</v>
      </c>
      <c r="D97" s="141" t="s">
        <v>739</v>
      </c>
      <c r="E97" s="228">
        <v>25</v>
      </c>
      <c r="F97" s="228">
        <v>-10</v>
      </c>
      <c r="G97" s="228">
        <f t="shared" si="1"/>
        <v>15</v>
      </c>
      <c r="H97" s="311"/>
    </row>
    <row r="98" s="131" customFormat="1" customHeight="1" spans="1:8">
      <c r="A98" s="78">
        <v>87</v>
      </c>
      <c r="B98" s="78" t="s">
        <v>626</v>
      </c>
      <c r="C98" s="142" t="s">
        <v>737</v>
      </c>
      <c r="D98" s="141" t="s">
        <v>740</v>
      </c>
      <c r="E98" s="228">
        <v>100</v>
      </c>
      <c r="F98" s="228">
        <v>-80</v>
      </c>
      <c r="G98" s="228">
        <f t="shared" si="1"/>
        <v>20</v>
      </c>
      <c r="H98" s="311"/>
    </row>
    <row r="99" s="131" customFormat="1" customHeight="1" spans="1:8">
      <c r="A99" s="78">
        <v>88</v>
      </c>
      <c r="B99" s="78" t="s">
        <v>626</v>
      </c>
      <c r="C99" s="142" t="s">
        <v>737</v>
      </c>
      <c r="D99" s="141" t="s">
        <v>741</v>
      </c>
      <c r="E99" s="228">
        <v>50</v>
      </c>
      <c r="F99" s="228">
        <v>-30</v>
      </c>
      <c r="G99" s="228">
        <f t="shared" si="1"/>
        <v>20</v>
      </c>
      <c r="H99" s="311"/>
    </row>
    <row r="100" s="131" customFormat="1" customHeight="1" spans="1:8">
      <c r="A100" s="78">
        <v>89</v>
      </c>
      <c r="B100" s="78" t="s">
        <v>626</v>
      </c>
      <c r="C100" s="142" t="s">
        <v>737</v>
      </c>
      <c r="D100" s="141" t="s">
        <v>742</v>
      </c>
      <c r="E100" s="228">
        <v>10</v>
      </c>
      <c r="F100" s="228">
        <v>-10</v>
      </c>
      <c r="G100" s="228">
        <f t="shared" si="1"/>
        <v>0</v>
      </c>
      <c r="H100" s="311"/>
    </row>
    <row r="101" s="131" customFormat="1" customHeight="1" spans="1:8">
      <c r="A101" s="78">
        <v>90</v>
      </c>
      <c r="B101" s="78" t="s">
        <v>626</v>
      </c>
      <c r="C101" s="142" t="s">
        <v>737</v>
      </c>
      <c r="D101" s="141" t="s">
        <v>743</v>
      </c>
      <c r="E101" s="228">
        <v>42</v>
      </c>
      <c r="F101" s="228">
        <v>-20</v>
      </c>
      <c r="G101" s="228">
        <f t="shared" si="1"/>
        <v>22</v>
      </c>
      <c r="H101" s="311"/>
    </row>
    <row r="102" s="131" customFormat="1" customHeight="1" spans="1:8">
      <c r="A102" s="78">
        <v>91</v>
      </c>
      <c r="B102" s="78" t="s">
        <v>626</v>
      </c>
      <c r="C102" s="142" t="s">
        <v>737</v>
      </c>
      <c r="D102" s="141" t="s">
        <v>744</v>
      </c>
      <c r="E102" s="228">
        <v>22</v>
      </c>
      <c r="F102" s="228">
        <v>5</v>
      </c>
      <c r="G102" s="228">
        <f t="shared" si="1"/>
        <v>27</v>
      </c>
      <c r="H102" s="311" t="s">
        <v>688</v>
      </c>
    </row>
    <row r="103" s="131" customFormat="1" customHeight="1" spans="1:8">
      <c r="A103" s="78">
        <v>92</v>
      </c>
      <c r="B103" s="78" t="s">
        <v>674</v>
      </c>
      <c r="C103" s="142" t="s">
        <v>745</v>
      </c>
      <c r="D103" s="141" t="s">
        <v>676</v>
      </c>
      <c r="E103" s="228">
        <v>25</v>
      </c>
      <c r="F103" s="228">
        <v>-25</v>
      </c>
      <c r="G103" s="228">
        <f t="shared" si="1"/>
        <v>0</v>
      </c>
      <c r="H103" s="311"/>
    </row>
    <row r="104" s="131" customFormat="1" customHeight="1" spans="1:8">
      <c r="A104" s="78">
        <v>93</v>
      </c>
      <c r="B104" s="78" t="s">
        <v>626</v>
      </c>
      <c r="C104" s="142" t="s">
        <v>745</v>
      </c>
      <c r="D104" s="141" t="s">
        <v>746</v>
      </c>
      <c r="E104" s="228">
        <v>99</v>
      </c>
      <c r="F104" s="228">
        <v>24</v>
      </c>
      <c r="G104" s="228">
        <f t="shared" si="1"/>
        <v>123</v>
      </c>
      <c r="H104" s="311" t="s">
        <v>688</v>
      </c>
    </row>
    <row r="105" s="131" customFormat="1" customHeight="1" spans="1:8">
      <c r="A105" s="78">
        <v>94</v>
      </c>
      <c r="B105" s="78" t="s">
        <v>626</v>
      </c>
      <c r="C105" s="142" t="s">
        <v>745</v>
      </c>
      <c r="D105" s="141" t="s">
        <v>747</v>
      </c>
      <c r="E105" s="228">
        <v>60</v>
      </c>
      <c r="F105" s="228">
        <v>-7</v>
      </c>
      <c r="G105" s="228">
        <f t="shared" si="1"/>
        <v>53</v>
      </c>
      <c r="H105" s="311"/>
    </row>
    <row r="106" s="131" customFormat="1" customHeight="1" spans="1:8">
      <c r="A106" s="78">
        <v>95</v>
      </c>
      <c r="B106" s="78" t="s">
        <v>626</v>
      </c>
      <c r="C106" s="142" t="s">
        <v>745</v>
      </c>
      <c r="D106" s="141" t="s">
        <v>748</v>
      </c>
      <c r="E106" s="228">
        <v>10</v>
      </c>
      <c r="F106" s="228">
        <v>10</v>
      </c>
      <c r="G106" s="228">
        <f t="shared" si="1"/>
        <v>20</v>
      </c>
      <c r="H106" s="311" t="s">
        <v>688</v>
      </c>
    </row>
    <row r="107" s="131" customFormat="1" customHeight="1" spans="1:8">
      <c r="A107" s="78">
        <v>96</v>
      </c>
      <c r="B107" s="78" t="s">
        <v>626</v>
      </c>
      <c r="C107" s="142" t="s">
        <v>745</v>
      </c>
      <c r="D107" s="141" t="s">
        <v>749</v>
      </c>
      <c r="E107" s="228">
        <v>30</v>
      </c>
      <c r="F107" s="228">
        <v>-16</v>
      </c>
      <c r="G107" s="228">
        <f t="shared" si="1"/>
        <v>14</v>
      </c>
      <c r="H107" s="311"/>
    </row>
    <row r="108" s="131" customFormat="1" customHeight="1" spans="1:8">
      <c r="A108" s="78">
        <v>97</v>
      </c>
      <c r="B108" s="78" t="s">
        <v>626</v>
      </c>
      <c r="C108" s="142" t="s">
        <v>745</v>
      </c>
      <c r="D108" s="141" t="s">
        <v>750</v>
      </c>
      <c r="E108" s="228">
        <v>18</v>
      </c>
      <c r="F108" s="228">
        <v>3</v>
      </c>
      <c r="G108" s="228">
        <f t="shared" si="1"/>
        <v>21</v>
      </c>
      <c r="H108" s="311" t="s">
        <v>688</v>
      </c>
    </row>
    <row r="109" s="131" customFormat="1" customHeight="1" spans="1:8">
      <c r="A109" s="78">
        <v>98</v>
      </c>
      <c r="B109" s="78" t="s">
        <v>626</v>
      </c>
      <c r="C109" s="142" t="s">
        <v>745</v>
      </c>
      <c r="D109" s="141" t="s">
        <v>751</v>
      </c>
      <c r="E109" s="228">
        <v>60</v>
      </c>
      <c r="F109" s="228">
        <v>12</v>
      </c>
      <c r="G109" s="228">
        <f t="shared" si="1"/>
        <v>72</v>
      </c>
      <c r="H109" s="311" t="s">
        <v>688</v>
      </c>
    </row>
    <row r="110" s="131" customFormat="1" customHeight="1" spans="1:8">
      <c r="A110" s="78">
        <v>99</v>
      </c>
      <c r="B110" s="78" t="s">
        <v>626</v>
      </c>
      <c r="C110" s="142" t="s">
        <v>745</v>
      </c>
      <c r="D110" s="141" t="s">
        <v>752</v>
      </c>
      <c r="E110" s="228">
        <v>40</v>
      </c>
      <c r="F110" s="228">
        <v>8</v>
      </c>
      <c r="G110" s="228">
        <f t="shared" si="1"/>
        <v>48</v>
      </c>
      <c r="H110" s="311" t="s">
        <v>688</v>
      </c>
    </row>
    <row r="111" s="131" customFormat="1" customHeight="1" spans="1:8">
      <c r="A111" s="78">
        <v>100</v>
      </c>
      <c r="B111" s="78" t="s">
        <v>630</v>
      </c>
      <c r="C111" s="142" t="s">
        <v>745</v>
      </c>
      <c r="D111" s="141" t="s">
        <v>753</v>
      </c>
      <c r="E111" s="228">
        <v>0</v>
      </c>
      <c r="F111" s="228">
        <v>32</v>
      </c>
      <c r="G111" s="228">
        <f t="shared" si="1"/>
        <v>32</v>
      </c>
      <c r="H111" s="311"/>
    </row>
    <row r="112" s="131" customFormat="1" customHeight="1" spans="1:8">
      <c r="A112" s="78">
        <v>101</v>
      </c>
      <c r="B112" s="78" t="s">
        <v>646</v>
      </c>
      <c r="C112" s="142" t="s">
        <v>754</v>
      </c>
      <c r="D112" s="141" t="s">
        <v>755</v>
      </c>
      <c r="E112" s="228">
        <v>9</v>
      </c>
      <c r="F112" s="228">
        <v>1</v>
      </c>
      <c r="G112" s="228">
        <f t="shared" si="1"/>
        <v>10</v>
      </c>
      <c r="H112" s="311" t="s">
        <v>756</v>
      </c>
    </row>
    <row r="113" s="131" customFormat="1" customHeight="1" spans="1:8">
      <c r="A113" s="78">
        <v>102</v>
      </c>
      <c r="B113" s="78" t="s">
        <v>646</v>
      </c>
      <c r="C113" s="142" t="s">
        <v>754</v>
      </c>
      <c r="D113" s="141" t="s">
        <v>757</v>
      </c>
      <c r="E113" s="228">
        <v>3</v>
      </c>
      <c r="F113" s="228">
        <v>-2</v>
      </c>
      <c r="G113" s="228">
        <f t="shared" si="1"/>
        <v>1</v>
      </c>
      <c r="H113" s="311"/>
    </row>
    <row r="114" s="131" customFormat="1" customHeight="1" spans="1:8">
      <c r="A114" s="78">
        <v>103</v>
      </c>
      <c r="B114" s="78" t="s">
        <v>646</v>
      </c>
      <c r="C114" s="142" t="s">
        <v>754</v>
      </c>
      <c r="D114" s="141" t="s">
        <v>758</v>
      </c>
      <c r="E114" s="228">
        <v>20</v>
      </c>
      <c r="F114" s="228">
        <v>-15</v>
      </c>
      <c r="G114" s="228">
        <f t="shared" si="1"/>
        <v>5</v>
      </c>
      <c r="H114" s="311"/>
    </row>
    <row r="115" s="131" customFormat="1" customHeight="1" spans="1:8">
      <c r="A115" s="78">
        <v>104</v>
      </c>
      <c r="B115" s="78" t="s">
        <v>646</v>
      </c>
      <c r="C115" s="142" t="s">
        <v>754</v>
      </c>
      <c r="D115" s="141" t="s">
        <v>759</v>
      </c>
      <c r="E115" s="228">
        <v>28</v>
      </c>
      <c r="F115" s="228">
        <v>-8.4</v>
      </c>
      <c r="G115" s="228">
        <f t="shared" si="1"/>
        <v>19.6</v>
      </c>
      <c r="H115" s="311"/>
    </row>
    <row r="116" s="131" customFormat="1" customHeight="1" spans="1:8">
      <c r="A116" s="78">
        <v>105</v>
      </c>
      <c r="B116" s="78" t="s">
        <v>646</v>
      </c>
      <c r="C116" s="142" t="s">
        <v>754</v>
      </c>
      <c r="D116" s="141" t="s">
        <v>760</v>
      </c>
      <c r="E116" s="228">
        <v>10</v>
      </c>
      <c r="F116" s="312">
        <v>-0.16</v>
      </c>
      <c r="G116" s="228">
        <f t="shared" si="1"/>
        <v>9.84</v>
      </c>
      <c r="H116" s="311"/>
    </row>
    <row r="117" s="131" customFormat="1" customHeight="1" spans="1:8">
      <c r="A117" s="78">
        <v>106</v>
      </c>
      <c r="B117" s="78" t="s">
        <v>621</v>
      </c>
      <c r="C117" s="142" t="s">
        <v>754</v>
      </c>
      <c r="D117" s="141" t="s">
        <v>761</v>
      </c>
      <c r="E117" s="228">
        <v>100</v>
      </c>
      <c r="F117" s="228">
        <v>-80</v>
      </c>
      <c r="G117" s="228">
        <f t="shared" si="1"/>
        <v>20</v>
      </c>
      <c r="H117" s="311"/>
    </row>
    <row r="118" s="131" customFormat="1" customHeight="1" spans="1:8">
      <c r="A118" s="78">
        <v>107</v>
      </c>
      <c r="B118" s="78" t="s">
        <v>626</v>
      </c>
      <c r="C118" s="142" t="s">
        <v>762</v>
      </c>
      <c r="D118" s="141" t="s">
        <v>763</v>
      </c>
      <c r="E118" s="228">
        <v>74.7</v>
      </c>
      <c r="F118" s="228">
        <v>-40</v>
      </c>
      <c r="G118" s="228">
        <f t="shared" si="1"/>
        <v>34.7</v>
      </c>
      <c r="H118" s="311"/>
    </row>
    <row r="119" s="131" customFormat="1" customHeight="1" spans="1:8">
      <c r="A119" s="78">
        <v>108</v>
      </c>
      <c r="B119" s="78" t="s">
        <v>626</v>
      </c>
      <c r="C119" s="142" t="s">
        <v>762</v>
      </c>
      <c r="D119" s="141" t="s">
        <v>764</v>
      </c>
      <c r="E119" s="228">
        <v>20</v>
      </c>
      <c r="F119" s="228">
        <v>-20</v>
      </c>
      <c r="G119" s="228">
        <f t="shared" si="1"/>
        <v>0</v>
      </c>
      <c r="H119" s="311"/>
    </row>
    <row r="120" s="131" customFormat="1" customHeight="1" spans="1:8">
      <c r="A120" s="78">
        <v>109</v>
      </c>
      <c r="B120" s="78" t="s">
        <v>621</v>
      </c>
      <c r="C120" s="70" t="s">
        <v>765</v>
      </c>
      <c r="D120" s="141" t="s">
        <v>766</v>
      </c>
      <c r="E120" s="228">
        <v>12</v>
      </c>
      <c r="F120" s="228">
        <v>-7</v>
      </c>
      <c r="G120" s="228">
        <f t="shared" si="1"/>
        <v>5</v>
      </c>
      <c r="H120" s="311"/>
    </row>
    <row r="121" s="131" customFormat="1" customHeight="1" spans="1:8">
      <c r="A121" s="78">
        <v>110</v>
      </c>
      <c r="B121" s="78" t="s">
        <v>621</v>
      </c>
      <c r="C121" s="142" t="s">
        <v>765</v>
      </c>
      <c r="D121" s="141" t="s">
        <v>767</v>
      </c>
      <c r="E121" s="228">
        <v>3</v>
      </c>
      <c r="F121" s="228">
        <v>-3</v>
      </c>
      <c r="G121" s="228">
        <f t="shared" si="1"/>
        <v>0</v>
      </c>
      <c r="H121" s="311"/>
    </row>
    <row r="122" s="131" customFormat="1" customHeight="1" spans="1:8">
      <c r="A122" s="78">
        <v>111</v>
      </c>
      <c r="B122" s="78" t="s">
        <v>621</v>
      </c>
      <c r="C122" s="142" t="s">
        <v>765</v>
      </c>
      <c r="D122" s="141" t="s">
        <v>768</v>
      </c>
      <c r="E122" s="228">
        <v>28</v>
      </c>
      <c r="F122" s="228">
        <v>-28</v>
      </c>
      <c r="G122" s="228">
        <f t="shared" si="1"/>
        <v>0</v>
      </c>
      <c r="H122" s="311"/>
    </row>
    <row r="123" s="131" customFormat="1" customHeight="1" spans="1:8">
      <c r="A123" s="78">
        <v>112</v>
      </c>
      <c r="B123" s="78" t="s">
        <v>621</v>
      </c>
      <c r="C123" s="70" t="s">
        <v>765</v>
      </c>
      <c r="D123" s="141" t="s">
        <v>769</v>
      </c>
      <c r="E123" s="228">
        <v>30</v>
      </c>
      <c r="F123" s="228">
        <v>-30</v>
      </c>
      <c r="G123" s="228">
        <f t="shared" si="1"/>
        <v>0</v>
      </c>
      <c r="H123" s="311"/>
    </row>
    <row r="124" s="131" customFormat="1" customHeight="1" spans="1:8">
      <c r="A124" s="78">
        <v>113</v>
      </c>
      <c r="B124" s="78" t="s">
        <v>626</v>
      </c>
      <c r="C124" s="142" t="s">
        <v>765</v>
      </c>
      <c r="D124" s="141" t="s">
        <v>770</v>
      </c>
      <c r="E124" s="228">
        <v>6.1</v>
      </c>
      <c r="F124" s="228">
        <v>-6.1</v>
      </c>
      <c r="G124" s="228">
        <f t="shared" si="1"/>
        <v>0</v>
      </c>
      <c r="H124" s="311"/>
    </row>
    <row r="125" s="131" customFormat="1" customHeight="1" spans="1:8">
      <c r="A125" s="78">
        <v>114</v>
      </c>
      <c r="B125" s="78" t="s">
        <v>626</v>
      </c>
      <c r="C125" s="142" t="s">
        <v>765</v>
      </c>
      <c r="D125" s="141" t="s">
        <v>771</v>
      </c>
      <c r="E125" s="228">
        <v>10</v>
      </c>
      <c r="F125" s="228">
        <v>-5</v>
      </c>
      <c r="G125" s="228">
        <f t="shared" si="1"/>
        <v>5</v>
      </c>
      <c r="H125" s="311"/>
    </row>
    <row r="126" s="131" customFormat="1" customHeight="1" spans="1:8">
      <c r="A126" s="78">
        <v>115</v>
      </c>
      <c r="B126" s="78" t="s">
        <v>626</v>
      </c>
      <c r="C126" s="142" t="s">
        <v>765</v>
      </c>
      <c r="D126" s="141" t="s">
        <v>772</v>
      </c>
      <c r="E126" s="228">
        <v>9.7</v>
      </c>
      <c r="F126" s="228">
        <v>-4.7</v>
      </c>
      <c r="G126" s="228">
        <f t="shared" si="1"/>
        <v>5</v>
      </c>
      <c r="H126" s="311"/>
    </row>
    <row r="127" s="131" customFormat="1" customHeight="1" spans="1:8">
      <c r="A127" s="78">
        <v>116</v>
      </c>
      <c r="B127" s="78" t="s">
        <v>626</v>
      </c>
      <c r="C127" s="142" t="s">
        <v>765</v>
      </c>
      <c r="D127" s="141" t="s">
        <v>773</v>
      </c>
      <c r="E127" s="228">
        <v>138</v>
      </c>
      <c r="F127" s="228">
        <v>-90</v>
      </c>
      <c r="G127" s="228">
        <f t="shared" si="1"/>
        <v>48</v>
      </c>
      <c r="H127" s="311"/>
    </row>
    <row r="128" s="131" customFormat="1" customHeight="1" spans="1:8">
      <c r="A128" s="78">
        <v>117</v>
      </c>
      <c r="B128" s="78" t="s">
        <v>626</v>
      </c>
      <c r="C128" s="142" t="s">
        <v>765</v>
      </c>
      <c r="D128" s="141" t="s">
        <v>774</v>
      </c>
      <c r="E128" s="228">
        <v>8</v>
      </c>
      <c r="F128" s="228">
        <v>-5</v>
      </c>
      <c r="G128" s="228">
        <f t="shared" si="1"/>
        <v>3</v>
      </c>
      <c r="H128" s="311"/>
    </row>
    <row r="129" s="131" customFormat="1" ht="50" customHeight="1" spans="1:8">
      <c r="A129" s="78">
        <v>118</v>
      </c>
      <c r="B129" s="78" t="s">
        <v>626</v>
      </c>
      <c r="C129" s="70" t="s">
        <v>765</v>
      </c>
      <c r="D129" s="70" t="s">
        <v>775</v>
      </c>
      <c r="E129" s="228">
        <v>8</v>
      </c>
      <c r="F129" s="228">
        <v>7</v>
      </c>
      <c r="G129" s="228">
        <f t="shared" si="1"/>
        <v>15</v>
      </c>
      <c r="H129" s="311" t="s">
        <v>776</v>
      </c>
    </row>
    <row r="130" s="131" customFormat="1" customHeight="1" spans="1:8">
      <c r="A130" s="78">
        <v>119</v>
      </c>
      <c r="B130" s="78" t="s">
        <v>626</v>
      </c>
      <c r="C130" s="70" t="s">
        <v>765</v>
      </c>
      <c r="D130" s="70" t="s">
        <v>777</v>
      </c>
      <c r="E130" s="228">
        <v>50</v>
      </c>
      <c r="F130" s="228">
        <v>-14.68</v>
      </c>
      <c r="G130" s="228">
        <f t="shared" si="1"/>
        <v>35.32</v>
      </c>
      <c r="H130" s="311"/>
    </row>
    <row r="131" s="131" customFormat="1" customHeight="1" spans="1:8">
      <c r="A131" s="78">
        <v>120</v>
      </c>
      <c r="B131" s="78" t="s">
        <v>626</v>
      </c>
      <c r="C131" s="70" t="s">
        <v>765</v>
      </c>
      <c r="D131" s="70" t="s">
        <v>778</v>
      </c>
      <c r="E131" s="228">
        <v>243</v>
      </c>
      <c r="F131" s="228">
        <v>-178</v>
      </c>
      <c r="G131" s="228">
        <f t="shared" si="1"/>
        <v>65</v>
      </c>
      <c r="H131" s="311"/>
    </row>
    <row r="132" s="131" customFormat="1" customHeight="1" spans="1:8">
      <c r="A132" s="78">
        <v>121</v>
      </c>
      <c r="B132" s="78" t="s">
        <v>626</v>
      </c>
      <c r="C132" s="142" t="s">
        <v>765</v>
      </c>
      <c r="D132" s="141" t="s">
        <v>779</v>
      </c>
      <c r="E132" s="228">
        <v>138</v>
      </c>
      <c r="F132" s="228">
        <v>-89</v>
      </c>
      <c r="G132" s="228">
        <f t="shared" si="1"/>
        <v>49</v>
      </c>
      <c r="H132" s="311"/>
    </row>
    <row r="133" s="131" customFormat="1" customHeight="1" spans="1:8">
      <c r="A133" s="78">
        <v>122</v>
      </c>
      <c r="B133" s="78" t="s">
        <v>626</v>
      </c>
      <c r="C133" s="142" t="s">
        <v>765</v>
      </c>
      <c r="D133" s="141" t="s">
        <v>780</v>
      </c>
      <c r="E133" s="228">
        <v>100</v>
      </c>
      <c r="F133" s="228">
        <v>-100</v>
      </c>
      <c r="G133" s="228">
        <f t="shared" ref="G133:G196" si="2">E133+F133</f>
        <v>0</v>
      </c>
      <c r="H133" s="311"/>
    </row>
    <row r="134" s="131" customFormat="1" customHeight="1" spans="1:8">
      <c r="A134" s="78">
        <v>123</v>
      </c>
      <c r="B134" s="78" t="s">
        <v>626</v>
      </c>
      <c r="C134" s="142" t="s">
        <v>765</v>
      </c>
      <c r="D134" s="141" t="s">
        <v>781</v>
      </c>
      <c r="E134" s="228">
        <v>266</v>
      </c>
      <c r="F134" s="228">
        <v>-160</v>
      </c>
      <c r="G134" s="228">
        <f t="shared" si="2"/>
        <v>106</v>
      </c>
      <c r="H134" s="311"/>
    </row>
    <row r="135" s="131" customFormat="1" customHeight="1" spans="1:8">
      <c r="A135" s="78">
        <v>124</v>
      </c>
      <c r="B135" s="78" t="s">
        <v>626</v>
      </c>
      <c r="C135" s="142" t="s">
        <v>765</v>
      </c>
      <c r="D135" s="141" t="s">
        <v>782</v>
      </c>
      <c r="E135" s="228">
        <v>20</v>
      </c>
      <c r="F135" s="228">
        <v>-20</v>
      </c>
      <c r="G135" s="228">
        <f t="shared" si="2"/>
        <v>0</v>
      </c>
      <c r="H135" s="311"/>
    </row>
    <row r="136" s="131" customFormat="1" customHeight="1" spans="1:8">
      <c r="A136" s="78">
        <v>125</v>
      </c>
      <c r="B136" s="78" t="s">
        <v>626</v>
      </c>
      <c r="C136" s="70" t="s">
        <v>765</v>
      </c>
      <c r="D136" s="70" t="s">
        <v>783</v>
      </c>
      <c r="E136" s="228">
        <v>655</v>
      </c>
      <c r="F136" s="228">
        <v>150</v>
      </c>
      <c r="G136" s="228">
        <f t="shared" si="2"/>
        <v>805</v>
      </c>
      <c r="H136" s="311" t="s">
        <v>784</v>
      </c>
    </row>
    <row r="137" s="131" customFormat="1" customHeight="1" spans="1:8">
      <c r="A137" s="78">
        <v>126</v>
      </c>
      <c r="B137" s="78" t="s">
        <v>626</v>
      </c>
      <c r="C137" s="70" t="s">
        <v>765</v>
      </c>
      <c r="D137" s="70" t="s">
        <v>785</v>
      </c>
      <c r="E137" s="228">
        <v>11.7</v>
      </c>
      <c r="F137" s="228">
        <v>-11.7</v>
      </c>
      <c r="G137" s="228">
        <f t="shared" si="2"/>
        <v>0</v>
      </c>
      <c r="H137" s="311"/>
    </row>
    <row r="138" s="131" customFormat="1" customHeight="1" spans="1:8">
      <c r="A138" s="78">
        <v>127</v>
      </c>
      <c r="B138" s="78" t="s">
        <v>626</v>
      </c>
      <c r="C138" s="142" t="s">
        <v>765</v>
      </c>
      <c r="D138" s="141" t="s">
        <v>786</v>
      </c>
      <c r="E138" s="228">
        <v>4</v>
      </c>
      <c r="F138" s="228">
        <v>-4</v>
      </c>
      <c r="G138" s="228">
        <f t="shared" si="2"/>
        <v>0</v>
      </c>
      <c r="H138" s="311"/>
    </row>
    <row r="139" s="131" customFormat="1" customHeight="1" spans="1:8">
      <c r="A139" s="78">
        <v>128</v>
      </c>
      <c r="B139" s="78" t="s">
        <v>626</v>
      </c>
      <c r="C139" s="142" t="s">
        <v>765</v>
      </c>
      <c r="D139" s="141" t="s">
        <v>787</v>
      </c>
      <c r="E139" s="228">
        <v>20</v>
      </c>
      <c r="F139" s="228">
        <v>-15</v>
      </c>
      <c r="G139" s="228">
        <f t="shared" si="2"/>
        <v>5</v>
      </c>
      <c r="H139" s="311"/>
    </row>
    <row r="140" s="131" customFormat="1" customHeight="1" spans="1:8">
      <c r="A140" s="78">
        <v>129</v>
      </c>
      <c r="B140" s="78" t="s">
        <v>626</v>
      </c>
      <c r="C140" s="142" t="s">
        <v>765</v>
      </c>
      <c r="D140" s="141" t="s">
        <v>788</v>
      </c>
      <c r="E140" s="228">
        <v>6</v>
      </c>
      <c r="F140" s="228">
        <v>-3</v>
      </c>
      <c r="G140" s="228">
        <f t="shared" si="2"/>
        <v>3</v>
      </c>
      <c r="H140" s="311"/>
    </row>
    <row r="141" s="131" customFormat="1" customHeight="1" spans="1:8">
      <c r="A141" s="78">
        <v>130</v>
      </c>
      <c r="B141" s="78" t="s">
        <v>626</v>
      </c>
      <c r="C141" s="142" t="s">
        <v>765</v>
      </c>
      <c r="D141" s="141" t="s">
        <v>789</v>
      </c>
      <c r="E141" s="228">
        <v>6</v>
      </c>
      <c r="F141" s="228">
        <v>-1.5</v>
      </c>
      <c r="G141" s="228">
        <f t="shared" si="2"/>
        <v>4.5</v>
      </c>
      <c r="H141" s="311"/>
    </row>
    <row r="142" s="131" customFormat="1" customHeight="1" spans="1:8">
      <c r="A142" s="78">
        <v>131</v>
      </c>
      <c r="B142" s="78" t="s">
        <v>626</v>
      </c>
      <c r="C142" s="142" t="s">
        <v>765</v>
      </c>
      <c r="D142" s="141" t="s">
        <v>790</v>
      </c>
      <c r="E142" s="228">
        <v>2</v>
      </c>
      <c r="F142" s="228">
        <v>-2</v>
      </c>
      <c r="G142" s="228">
        <f t="shared" si="2"/>
        <v>0</v>
      </c>
      <c r="H142" s="311"/>
    </row>
    <row r="143" s="131" customFormat="1" customHeight="1" spans="1:8">
      <c r="A143" s="78">
        <v>132</v>
      </c>
      <c r="B143" s="78" t="s">
        <v>626</v>
      </c>
      <c r="C143" s="142" t="s">
        <v>765</v>
      </c>
      <c r="D143" s="141" t="s">
        <v>791</v>
      </c>
      <c r="E143" s="228">
        <v>1.8195</v>
      </c>
      <c r="F143" s="228">
        <v>-1.8195</v>
      </c>
      <c r="G143" s="228">
        <f t="shared" si="2"/>
        <v>0</v>
      </c>
      <c r="H143" s="311"/>
    </row>
    <row r="144" s="131" customFormat="1" customHeight="1" spans="1:8">
      <c r="A144" s="78">
        <v>133</v>
      </c>
      <c r="B144" s="78" t="s">
        <v>626</v>
      </c>
      <c r="C144" s="142" t="s">
        <v>765</v>
      </c>
      <c r="D144" s="141" t="s">
        <v>792</v>
      </c>
      <c r="E144" s="228">
        <v>50</v>
      </c>
      <c r="F144" s="228">
        <v>-4.87</v>
      </c>
      <c r="G144" s="228">
        <f t="shared" si="2"/>
        <v>45.13</v>
      </c>
      <c r="H144" s="311"/>
    </row>
    <row r="145" s="131" customFormat="1" customHeight="1" spans="1:8">
      <c r="A145" s="78">
        <v>134</v>
      </c>
      <c r="B145" s="78" t="s">
        <v>626</v>
      </c>
      <c r="C145" s="142" t="s">
        <v>765</v>
      </c>
      <c r="D145" s="141" t="s">
        <v>793</v>
      </c>
      <c r="E145" s="228">
        <v>420.408</v>
      </c>
      <c r="F145" s="228">
        <v>-312</v>
      </c>
      <c r="G145" s="228">
        <f t="shared" si="2"/>
        <v>108.408</v>
      </c>
      <c r="H145" s="311"/>
    </row>
    <row r="146" s="131" customFormat="1" customHeight="1" spans="1:8">
      <c r="A146" s="78">
        <v>135</v>
      </c>
      <c r="B146" s="78" t="s">
        <v>626</v>
      </c>
      <c r="C146" s="70" t="s">
        <v>765</v>
      </c>
      <c r="D146" s="70" t="s">
        <v>794</v>
      </c>
      <c r="E146" s="228">
        <v>2.82565</v>
      </c>
      <c r="F146" s="228">
        <v>-2.82565</v>
      </c>
      <c r="G146" s="228">
        <f t="shared" si="2"/>
        <v>0</v>
      </c>
      <c r="H146" s="311"/>
    </row>
    <row r="147" s="131" customFormat="1" customHeight="1" spans="1:8">
      <c r="A147" s="78">
        <v>136</v>
      </c>
      <c r="B147" s="78" t="s">
        <v>626</v>
      </c>
      <c r="C147" s="142" t="s">
        <v>765</v>
      </c>
      <c r="D147" s="141" t="s">
        <v>795</v>
      </c>
      <c r="E147" s="228">
        <v>5</v>
      </c>
      <c r="F147" s="228">
        <v>-3</v>
      </c>
      <c r="G147" s="228">
        <f t="shared" si="2"/>
        <v>2</v>
      </c>
      <c r="H147" s="311"/>
    </row>
    <row r="148" s="131" customFormat="1" customHeight="1" spans="1:8">
      <c r="A148" s="78">
        <v>137</v>
      </c>
      <c r="B148" s="78" t="s">
        <v>626</v>
      </c>
      <c r="C148" s="142" t="s">
        <v>765</v>
      </c>
      <c r="D148" s="141" t="s">
        <v>796</v>
      </c>
      <c r="E148" s="228">
        <v>138</v>
      </c>
      <c r="F148" s="228">
        <v>-89</v>
      </c>
      <c r="G148" s="228">
        <f t="shared" si="2"/>
        <v>49</v>
      </c>
      <c r="H148" s="311"/>
    </row>
    <row r="149" s="131" customFormat="1" customHeight="1" spans="1:8">
      <c r="A149" s="78">
        <v>138</v>
      </c>
      <c r="B149" s="78" t="s">
        <v>626</v>
      </c>
      <c r="C149" s="142" t="s">
        <v>765</v>
      </c>
      <c r="D149" s="141" t="s">
        <v>797</v>
      </c>
      <c r="E149" s="228">
        <v>47.96855</v>
      </c>
      <c r="F149" s="228">
        <v>-40</v>
      </c>
      <c r="G149" s="228">
        <f t="shared" si="2"/>
        <v>7.96855</v>
      </c>
      <c r="H149" s="311"/>
    </row>
    <row r="150" s="131" customFormat="1" customHeight="1" spans="1:8">
      <c r="A150" s="78">
        <v>139</v>
      </c>
      <c r="B150" s="78" t="s">
        <v>626</v>
      </c>
      <c r="C150" s="142" t="s">
        <v>765</v>
      </c>
      <c r="D150" s="141" t="s">
        <v>798</v>
      </c>
      <c r="E150" s="228">
        <v>45</v>
      </c>
      <c r="F150" s="228">
        <v>-10</v>
      </c>
      <c r="G150" s="228">
        <f t="shared" si="2"/>
        <v>35</v>
      </c>
      <c r="H150" s="311"/>
    </row>
    <row r="151" s="131" customFormat="1" customHeight="1" spans="1:8">
      <c r="A151" s="78">
        <v>140</v>
      </c>
      <c r="B151" s="78" t="s">
        <v>626</v>
      </c>
      <c r="C151" s="142" t="s">
        <v>765</v>
      </c>
      <c r="D151" s="141" t="s">
        <v>799</v>
      </c>
      <c r="E151" s="228">
        <v>47.00755</v>
      </c>
      <c r="F151" s="228">
        <v>-40.01</v>
      </c>
      <c r="G151" s="228">
        <f t="shared" si="2"/>
        <v>6.99755</v>
      </c>
      <c r="H151" s="311"/>
    </row>
    <row r="152" s="131" customFormat="1" customHeight="1" spans="1:8">
      <c r="A152" s="78">
        <v>141</v>
      </c>
      <c r="B152" s="78" t="s">
        <v>626</v>
      </c>
      <c r="C152" s="142" t="s">
        <v>765</v>
      </c>
      <c r="D152" s="141" t="s">
        <v>800</v>
      </c>
      <c r="E152" s="228">
        <v>1.1025</v>
      </c>
      <c r="F152" s="228">
        <v>-1.1</v>
      </c>
      <c r="G152" s="228">
        <f t="shared" si="2"/>
        <v>0.00249999999999995</v>
      </c>
      <c r="H152" s="311"/>
    </row>
    <row r="153" s="131" customFormat="1" customHeight="1" spans="1:8">
      <c r="A153" s="78">
        <v>142</v>
      </c>
      <c r="B153" s="78" t="s">
        <v>626</v>
      </c>
      <c r="C153" s="142" t="s">
        <v>765</v>
      </c>
      <c r="D153" s="141" t="s">
        <v>801</v>
      </c>
      <c r="E153" s="228">
        <v>1.19625</v>
      </c>
      <c r="F153" s="228">
        <v>-1.19625</v>
      </c>
      <c r="G153" s="228">
        <f t="shared" si="2"/>
        <v>0</v>
      </c>
      <c r="H153" s="311"/>
    </row>
    <row r="154" s="131" customFormat="1" customHeight="1" spans="1:8">
      <c r="A154" s="78">
        <v>143</v>
      </c>
      <c r="B154" s="78" t="s">
        <v>626</v>
      </c>
      <c r="C154" s="70" t="s">
        <v>765</v>
      </c>
      <c r="D154" s="70" t="s">
        <v>802</v>
      </c>
      <c r="E154" s="228">
        <v>138</v>
      </c>
      <c r="F154" s="228">
        <v>-89</v>
      </c>
      <c r="G154" s="228">
        <f t="shared" si="2"/>
        <v>49</v>
      </c>
      <c r="H154" s="311"/>
    </row>
    <row r="155" s="131" customFormat="1" customHeight="1" spans="1:8">
      <c r="A155" s="78">
        <v>144</v>
      </c>
      <c r="B155" s="78" t="s">
        <v>626</v>
      </c>
      <c r="C155" s="142" t="s">
        <v>765</v>
      </c>
      <c r="D155" s="141" t="s">
        <v>803</v>
      </c>
      <c r="E155" s="228">
        <v>36</v>
      </c>
      <c r="F155" s="228">
        <v>-26</v>
      </c>
      <c r="G155" s="228">
        <f t="shared" si="2"/>
        <v>10</v>
      </c>
      <c r="H155" s="311"/>
    </row>
    <row r="156" s="131" customFormat="1" customHeight="1" spans="1:8">
      <c r="A156" s="78">
        <v>145</v>
      </c>
      <c r="B156" s="78" t="s">
        <v>626</v>
      </c>
      <c r="C156" s="142" t="s">
        <v>765</v>
      </c>
      <c r="D156" s="141" t="s">
        <v>804</v>
      </c>
      <c r="E156" s="228">
        <v>50.2323</v>
      </c>
      <c r="F156" s="228">
        <v>-45.23</v>
      </c>
      <c r="G156" s="228">
        <f t="shared" si="2"/>
        <v>5.00230000000001</v>
      </c>
      <c r="H156" s="311"/>
    </row>
    <row r="157" s="131" customFormat="1" customHeight="1" spans="1:8">
      <c r="A157" s="78">
        <v>146</v>
      </c>
      <c r="B157" s="78" t="s">
        <v>626</v>
      </c>
      <c r="C157" s="142" t="s">
        <v>765</v>
      </c>
      <c r="D157" s="141" t="s">
        <v>805</v>
      </c>
      <c r="E157" s="228">
        <v>15.0239</v>
      </c>
      <c r="F157" s="228">
        <v>-10.02</v>
      </c>
      <c r="G157" s="228">
        <f t="shared" si="2"/>
        <v>5.0039</v>
      </c>
      <c r="H157" s="311"/>
    </row>
    <row r="158" s="131" customFormat="1" customHeight="1" spans="1:8">
      <c r="A158" s="78">
        <v>147</v>
      </c>
      <c r="B158" s="78" t="s">
        <v>626</v>
      </c>
      <c r="C158" s="142" t="s">
        <v>765</v>
      </c>
      <c r="D158" s="141" t="s">
        <v>806</v>
      </c>
      <c r="E158" s="228">
        <v>138</v>
      </c>
      <c r="F158" s="228">
        <v>-89</v>
      </c>
      <c r="G158" s="228">
        <f t="shared" si="2"/>
        <v>49</v>
      </c>
      <c r="H158" s="311"/>
    </row>
    <row r="159" s="131" customFormat="1" customHeight="1" spans="1:8">
      <c r="A159" s="78">
        <v>148</v>
      </c>
      <c r="B159" s="78" t="s">
        <v>626</v>
      </c>
      <c r="C159" s="142" t="s">
        <v>765</v>
      </c>
      <c r="D159" s="141" t="s">
        <v>807</v>
      </c>
      <c r="E159" s="228">
        <v>1</v>
      </c>
      <c r="F159" s="228">
        <v>-1</v>
      </c>
      <c r="G159" s="228">
        <f t="shared" si="2"/>
        <v>0</v>
      </c>
      <c r="H159" s="311"/>
    </row>
    <row r="160" s="131" customFormat="1" customHeight="1" spans="1:8">
      <c r="A160" s="78">
        <v>149</v>
      </c>
      <c r="B160" s="78" t="s">
        <v>626</v>
      </c>
      <c r="C160" s="142" t="s">
        <v>808</v>
      </c>
      <c r="D160" s="141" t="s">
        <v>809</v>
      </c>
      <c r="E160" s="228">
        <v>34.8974</v>
      </c>
      <c r="F160" s="228">
        <v>-29.9</v>
      </c>
      <c r="G160" s="228">
        <f t="shared" si="2"/>
        <v>4.9974</v>
      </c>
      <c r="H160" s="311"/>
    </row>
    <row r="161" s="131" customFormat="1" customHeight="1" spans="1:8">
      <c r="A161" s="78">
        <v>150</v>
      </c>
      <c r="B161" s="78" t="s">
        <v>626</v>
      </c>
      <c r="C161" s="142" t="s">
        <v>808</v>
      </c>
      <c r="D161" s="141" t="s">
        <v>810</v>
      </c>
      <c r="E161" s="228">
        <v>18</v>
      </c>
      <c r="F161" s="228">
        <v>-15</v>
      </c>
      <c r="G161" s="228">
        <f t="shared" si="2"/>
        <v>3</v>
      </c>
      <c r="H161" s="311"/>
    </row>
    <row r="162" s="131" customFormat="1" customHeight="1" spans="1:8">
      <c r="A162" s="78">
        <v>151</v>
      </c>
      <c r="B162" s="78" t="s">
        <v>626</v>
      </c>
      <c r="C162" s="142" t="s">
        <v>808</v>
      </c>
      <c r="D162" s="141" t="s">
        <v>811</v>
      </c>
      <c r="E162" s="228">
        <v>6</v>
      </c>
      <c r="F162" s="228">
        <v>-3</v>
      </c>
      <c r="G162" s="228">
        <f t="shared" si="2"/>
        <v>3</v>
      </c>
      <c r="H162" s="311"/>
    </row>
    <row r="163" s="131" customFormat="1" customHeight="1" spans="1:8">
      <c r="A163" s="78">
        <v>152</v>
      </c>
      <c r="B163" s="78" t="s">
        <v>626</v>
      </c>
      <c r="C163" s="142" t="s">
        <v>812</v>
      </c>
      <c r="D163" s="141" t="s">
        <v>813</v>
      </c>
      <c r="E163" s="228">
        <v>27</v>
      </c>
      <c r="F163" s="228">
        <v>-25</v>
      </c>
      <c r="G163" s="228">
        <f t="shared" si="2"/>
        <v>2</v>
      </c>
      <c r="H163" s="311"/>
    </row>
    <row r="164" s="131" customFormat="1" customHeight="1" spans="1:8">
      <c r="A164" s="78">
        <v>153</v>
      </c>
      <c r="B164" s="78" t="s">
        <v>626</v>
      </c>
      <c r="C164" s="142" t="s">
        <v>812</v>
      </c>
      <c r="D164" s="141" t="s">
        <v>788</v>
      </c>
      <c r="E164" s="228">
        <v>24</v>
      </c>
      <c r="F164" s="228">
        <v>-20</v>
      </c>
      <c r="G164" s="228">
        <f t="shared" si="2"/>
        <v>4</v>
      </c>
      <c r="H164" s="311"/>
    </row>
    <row r="165" s="131" customFormat="1" customHeight="1" spans="1:8">
      <c r="A165" s="78">
        <v>154</v>
      </c>
      <c r="B165" s="78" t="s">
        <v>814</v>
      </c>
      <c r="C165" s="70" t="s">
        <v>815</v>
      </c>
      <c r="D165" s="141" t="s">
        <v>816</v>
      </c>
      <c r="E165" s="228">
        <v>440.5</v>
      </c>
      <c r="F165" s="228">
        <v>14</v>
      </c>
      <c r="G165" s="228">
        <f t="shared" si="2"/>
        <v>454.5</v>
      </c>
      <c r="H165" s="311" t="s">
        <v>817</v>
      </c>
    </row>
    <row r="166" s="131" customFormat="1" customHeight="1" spans="1:8">
      <c r="A166" s="78">
        <v>155</v>
      </c>
      <c r="B166" s="78" t="s">
        <v>626</v>
      </c>
      <c r="C166" s="70" t="s">
        <v>818</v>
      </c>
      <c r="D166" s="70" t="s">
        <v>819</v>
      </c>
      <c r="E166" s="228">
        <v>2.5</v>
      </c>
      <c r="F166" s="228">
        <v>-2.5</v>
      </c>
      <c r="G166" s="228">
        <f t="shared" si="2"/>
        <v>0</v>
      </c>
      <c r="H166" s="311"/>
    </row>
    <row r="167" s="131" customFormat="1" customHeight="1" spans="1:8">
      <c r="A167" s="78">
        <v>156</v>
      </c>
      <c r="B167" s="78" t="s">
        <v>626</v>
      </c>
      <c r="C167" s="142" t="s">
        <v>818</v>
      </c>
      <c r="D167" s="141" t="s">
        <v>820</v>
      </c>
      <c r="E167" s="228">
        <v>11.91</v>
      </c>
      <c r="F167" s="228">
        <v>-11.91</v>
      </c>
      <c r="G167" s="228">
        <f t="shared" si="2"/>
        <v>0</v>
      </c>
      <c r="H167" s="311"/>
    </row>
    <row r="168" s="131" customFormat="1" customHeight="1" spans="1:8">
      <c r="A168" s="78">
        <v>157</v>
      </c>
      <c r="B168" s="78" t="s">
        <v>621</v>
      </c>
      <c r="C168" s="142" t="s">
        <v>821</v>
      </c>
      <c r="D168" s="141" t="s">
        <v>822</v>
      </c>
      <c r="E168" s="228">
        <v>35.188</v>
      </c>
      <c r="F168" s="228">
        <v>-35.188</v>
      </c>
      <c r="G168" s="228">
        <f t="shared" si="2"/>
        <v>0</v>
      </c>
      <c r="H168" s="311"/>
    </row>
    <row r="169" s="131" customFormat="1" customHeight="1" spans="1:8">
      <c r="A169" s="78">
        <v>158</v>
      </c>
      <c r="B169" s="78" t="s">
        <v>626</v>
      </c>
      <c r="C169" s="142" t="s">
        <v>823</v>
      </c>
      <c r="D169" s="141" t="s">
        <v>820</v>
      </c>
      <c r="E169" s="228">
        <v>5.16</v>
      </c>
      <c r="F169" s="228">
        <v>-5.16</v>
      </c>
      <c r="G169" s="228">
        <f t="shared" si="2"/>
        <v>0</v>
      </c>
      <c r="H169" s="311"/>
    </row>
    <row r="170" s="131" customFormat="1" customHeight="1" spans="1:8">
      <c r="A170" s="78">
        <v>159</v>
      </c>
      <c r="B170" s="78" t="s">
        <v>621</v>
      </c>
      <c r="C170" s="142" t="s">
        <v>824</v>
      </c>
      <c r="D170" s="141" t="s">
        <v>825</v>
      </c>
      <c r="E170" s="228">
        <v>27.8</v>
      </c>
      <c r="F170" s="228">
        <v>-27.8</v>
      </c>
      <c r="G170" s="228">
        <f t="shared" si="2"/>
        <v>0</v>
      </c>
      <c r="H170" s="311"/>
    </row>
    <row r="171" s="131" customFormat="1" customHeight="1" spans="1:8">
      <c r="A171" s="78">
        <v>160</v>
      </c>
      <c r="B171" s="78" t="s">
        <v>621</v>
      </c>
      <c r="C171" s="142" t="s">
        <v>824</v>
      </c>
      <c r="D171" s="141" t="s">
        <v>826</v>
      </c>
      <c r="E171" s="228">
        <v>24.4</v>
      </c>
      <c r="F171" s="228">
        <v>-24.4</v>
      </c>
      <c r="G171" s="228">
        <f t="shared" si="2"/>
        <v>0</v>
      </c>
      <c r="H171" s="311"/>
    </row>
    <row r="172" s="131" customFormat="1" customHeight="1" spans="1:8">
      <c r="A172" s="78">
        <v>161</v>
      </c>
      <c r="B172" s="78" t="s">
        <v>621</v>
      </c>
      <c r="C172" s="142" t="s">
        <v>827</v>
      </c>
      <c r="D172" s="141" t="s">
        <v>828</v>
      </c>
      <c r="E172" s="228">
        <v>16.1</v>
      </c>
      <c r="F172" s="228">
        <v>-16.1</v>
      </c>
      <c r="G172" s="228">
        <f t="shared" si="2"/>
        <v>0</v>
      </c>
      <c r="H172" s="311"/>
    </row>
    <row r="173" s="131" customFormat="1" customHeight="1" spans="1:8">
      <c r="A173" s="78">
        <v>162</v>
      </c>
      <c r="B173" s="78" t="s">
        <v>621</v>
      </c>
      <c r="C173" s="142" t="s">
        <v>829</v>
      </c>
      <c r="D173" s="141" t="s">
        <v>830</v>
      </c>
      <c r="E173" s="228">
        <v>1.5</v>
      </c>
      <c r="F173" s="228">
        <v>-1.5</v>
      </c>
      <c r="G173" s="228">
        <f t="shared" si="2"/>
        <v>0</v>
      </c>
      <c r="H173" s="311"/>
    </row>
    <row r="174" s="131" customFormat="1" customHeight="1" spans="1:8">
      <c r="A174" s="78">
        <v>163</v>
      </c>
      <c r="B174" s="78" t="s">
        <v>621</v>
      </c>
      <c r="C174" s="142" t="s">
        <v>831</v>
      </c>
      <c r="D174" s="141" t="s">
        <v>832</v>
      </c>
      <c r="E174" s="228">
        <v>1</v>
      </c>
      <c r="F174" s="228">
        <v>-1</v>
      </c>
      <c r="G174" s="228">
        <f t="shared" si="2"/>
        <v>0</v>
      </c>
      <c r="H174" s="311"/>
    </row>
    <row r="175" s="131" customFormat="1" customHeight="1" spans="1:8">
      <c r="A175" s="78">
        <v>164</v>
      </c>
      <c r="B175" s="78" t="s">
        <v>621</v>
      </c>
      <c r="C175" s="142" t="s">
        <v>833</v>
      </c>
      <c r="D175" s="141" t="s">
        <v>834</v>
      </c>
      <c r="E175" s="228">
        <v>20.044</v>
      </c>
      <c r="F175" s="228">
        <v>-20.044</v>
      </c>
      <c r="G175" s="228">
        <f t="shared" si="2"/>
        <v>0</v>
      </c>
      <c r="H175" s="311"/>
    </row>
    <row r="176" s="131" customFormat="1" customHeight="1" spans="1:8">
      <c r="A176" s="78">
        <v>165</v>
      </c>
      <c r="B176" s="78" t="s">
        <v>621</v>
      </c>
      <c r="C176" s="142" t="s">
        <v>835</v>
      </c>
      <c r="D176" s="141" t="s">
        <v>836</v>
      </c>
      <c r="E176" s="228">
        <v>2.1</v>
      </c>
      <c r="F176" s="228">
        <v>-2.1</v>
      </c>
      <c r="G176" s="228">
        <f t="shared" si="2"/>
        <v>0</v>
      </c>
      <c r="H176" s="311"/>
    </row>
    <row r="177" s="131" customFormat="1" customHeight="1" spans="1:8">
      <c r="A177" s="78">
        <v>166</v>
      </c>
      <c r="B177" s="78" t="s">
        <v>621</v>
      </c>
      <c r="C177" s="142" t="s">
        <v>835</v>
      </c>
      <c r="D177" s="141" t="s">
        <v>837</v>
      </c>
      <c r="E177" s="228">
        <v>3.229</v>
      </c>
      <c r="F177" s="228">
        <v>-3.229</v>
      </c>
      <c r="G177" s="228">
        <f t="shared" si="2"/>
        <v>0</v>
      </c>
      <c r="H177" s="311"/>
    </row>
    <row r="178" s="131" customFormat="1" customHeight="1" spans="1:8">
      <c r="A178" s="78">
        <v>167</v>
      </c>
      <c r="B178" s="78" t="s">
        <v>626</v>
      </c>
      <c r="C178" s="142" t="s">
        <v>838</v>
      </c>
      <c r="D178" s="141" t="s">
        <v>839</v>
      </c>
      <c r="E178" s="228">
        <v>20</v>
      </c>
      <c r="F178" s="228">
        <v>-5</v>
      </c>
      <c r="G178" s="228">
        <f t="shared" si="2"/>
        <v>15</v>
      </c>
      <c r="H178" s="311"/>
    </row>
    <row r="179" s="131" customFormat="1" customHeight="1" spans="1:8">
      <c r="A179" s="78">
        <v>168</v>
      </c>
      <c r="B179" s="78" t="s">
        <v>626</v>
      </c>
      <c r="C179" s="142" t="s">
        <v>840</v>
      </c>
      <c r="D179" s="141" t="s">
        <v>841</v>
      </c>
      <c r="E179" s="228">
        <v>0</v>
      </c>
      <c r="F179" s="228">
        <v>10</v>
      </c>
      <c r="G179" s="228">
        <f t="shared" si="2"/>
        <v>10</v>
      </c>
      <c r="H179" s="311" t="s">
        <v>842</v>
      </c>
    </row>
    <row r="180" s="131" customFormat="1" customHeight="1" spans="1:8">
      <c r="A180" s="78">
        <v>169</v>
      </c>
      <c r="B180" s="78" t="s">
        <v>626</v>
      </c>
      <c r="C180" s="70" t="s">
        <v>840</v>
      </c>
      <c r="D180" s="70" t="s">
        <v>843</v>
      </c>
      <c r="E180" s="228">
        <v>10</v>
      </c>
      <c r="F180" s="228">
        <v>-10</v>
      </c>
      <c r="G180" s="228">
        <f t="shared" si="2"/>
        <v>0</v>
      </c>
      <c r="H180" s="311" t="s">
        <v>844</v>
      </c>
    </row>
    <row r="181" s="131" customFormat="1" customHeight="1" spans="1:8">
      <c r="A181" s="78">
        <v>170</v>
      </c>
      <c r="B181" s="78" t="s">
        <v>626</v>
      </c>
      <c r="C181" s="142" t="s">
        <v>840</v>
      </c>
      <c r="D181" s="141" t="s">
        <v>845</v>
      </c>
      <c r="E181" s="228">
        <v>0</v>
      </c>
      <c r="F181" s="228">
        <v>5</v>
      </c>
      <c r="G181" s="228">
        <f t="shared" si="2"/>
        <v>5</v>
      </c>
      <c r="H181" s="311" t="s">
        <v>846</v>
      </c>
    </row>
    <row r="182" s="131" customFormat="1" customHeight="1" spans="1:8">
      <c r="A182" s="78">
        <v>171</v>
      </c>
      <c r="B182" s="78" t="s">
        <v>626</v>
      </c>
      <c r="C182" s="70" t="s">
        <v>840</v>
      </c>
      <c r="D182" s="70" t="s">
        <v>847</v>
      </c>
      <c r="E182" s="228">
        <v>0</v>
      </c>
      <c r="F182" s="228">
        <v>5</v>
      </c>
      <c r="G182" s="228">
        <f t="shared" si="2"/>
        <v>5</v>
      </c>
      <c r="H182" s="311" t="s">
        <v>846</v>
      </c>
    </row>
    <row r="183" s="131" customFormat="1" customHeight="1" spans="1:8">
      <c r="A183" s="78">
        <v>172</v>
      </c>
      <c r="B183" s="78" t="s">
        <v>626</v>
      </c>
      <c r="C183" s="70" t="s">
        <v>840</v>
      </c>
      <c r="D183" s="70" t="s">
        <v>848</v>
      </c>
      <c r="E183" s="228">
        <v>28.5</v>
      </c>
      <c r="F183" s="228">
        <v>-28.5</v>
      </c>
      <c r="G183" s="228">
        <f t="shared" si="2"/>
        <v>0</v>
      </c>
      <c r="H183" s="311"/>
    </row>
    <row r="184" s="131" customFormat="1" customHeight="1" spans="1:8">
      <c r="A184" s="78">
        <v>173</v>
      </c>
      <c r="B184" s="78" t="s">
        <v>626</v>
      </c>
      <c r="C184" s="142" t="s">
        <v>840</v>
      </c>
      <c r="D184" s="141" t="s">
        <v>849</v>
      </c>
      <c r="E184" s="228">
        <v>24.7803</v>
      </c>
      <c r="F184" s="228">
        <v>-9.78</v>
      </c>
      <c r="G184" s="228">
        <f t="shared" si="2"/>
        <v>15.0003</v>
      </c>
      <c r="H184" s="311"/>
    </row>
    <row r="185" s="131" customFormat="1" customHeight="1" spans="1:8">
      <c r="A185" s="78">
        <v>174</v>
      </c>
      <c r="B185" s="78" t="s">
        <v>626</v>
      </c>
      <c r="C185" s="142" t="s">
        <v>840</v>
      </c>
      <c r="D185" s="141" t="s">
        <v>820</v>
      </c>
      <c r="E185" s="228">
        <v>11.55</v>
      </c>
      <c r="F185" s="313">
        <v>-7.36</v>
      </c>
      <c r="G185" s="228">
        <f t="shared" si="2"/>
        <v>4.19</v>
      </c>
      <c r="H185" s="311"/>
    </row>
    <row r="186" s="131" customFormat="1" customHeight="1" spans="1:8">
      <c r="A186" s="78">
        <v>175</v>
      </c>
      <c r="B186" s="78" t="s">
        <v>621</v>
      </c>
      <c r="C186" s="70" t="s">
        <v>850</v>
      </c>
      <c r="D186" s="141" t="s">
        <v>851</v>
      </c>
      <c r="E186" s="228">
        <v>200</v>
      </c>
      <c r="F186" s="228">
        <v>-200</v>
      </c>
      <c r="G186" s="228">
        <f t="shared" si="2"/>
        <v>0</v>
      </c>
      <c r="H186" s="311"/>
    </row>
    <row r="187" s="131" customFormat="1" customHeight="1" spans="1:8">
      <c r="A187" s="78">
        <v>176</v>
      </c>
      <c r="B187" s="78" t="s">
        <v>621</v>
      </c>
      <c r="C187" s="142" t="s">
        <v>852</v>
      </c>
      <c r="D187" s="141" t="s">
        <v>853</v>
      </c>
      <c r="E187" s="228">
        <v>16</v>
      </c>
      <c r="F187" s="228">
        <v>-16</v>
      </c>
      <c r="G187" s="228">
        <f t="shared" si="2"/>
        <v>0</v>
      </c>
      <c r="H187" s="311"/>
    </row>
    <row r="188" s="131" customFormat="1" customHeight="1" spans="1:8">
      <c r="A188" s="78">
        <v>177</v>
      </c>
      <c r="B188" s="78" t="s">
        <v>621</v>
      </c>
      <c r="C188" s="142" t="s">
        <v>854</v>
      </c>
      <c r="D188" s="141" t="s">
        <v>855</v>
      </c>
      <c r="E188" s="228">
        <v>24.3</v>
      </c>
      <c r="F188" s="228">
        <v>-24.3</v>
      </c>
      <c r="G188" s="228">
        <f t="shared" si="2"/>
        <v>0</v>
      </c>
      <c r="H188" s="311"/>
    </row>
    <row r="189" s="131" customFormat="1" customHeight="1" spans="1:8">
      <c r="A189" s="78">
        <v>178</v>
      </c>
      <c r="B189" s="78" t="s">
        <v>621</v>
      </c>
      <c r="C189" s="142" t="s">
        <v>856</v>
      </c>
      <c r="D189" s="141" t="s">
        <v>857</v>
      </c>
      <c r="E189" s="228">
        <v>20</v>
      </c>
      <c r="F189" s="228">
        <v>-15</v>
      </c>
      <c r="G189" s="228">
        <f t="shared" si="2"/>
        <v>5</v>
      </c>
      <c r="H189" s="311"/>
    </row>
    <row r="190" s="131" customFormat="1" customHeight="1" spans="1:8">
      <c r="A190" s="78">
        <v>179</v>
      </c>
      <c r="B190" s="78" t="s">
        <v>626</v>
      </c>
      <c r="C190" s="70" t="s">
        <v>856</v>
      </c>
      <c r="D190" s="70" t="s">
        <v>858</v>
      </c>
      <c r="E190" s="228">
        <v>50</v>
      </c>
      <c r="F190" s="228">
        <v>-40</v>
      </c>
      <c r="G190" s="228">
        <f t="shared" si="2"/>
        <v>10</v>
      </c>
      <c r="H190" s="311"/>
    </row>
    <row r="191" s="131" customFormat="1" customHeight="1" spans="1:8">
      <c r="A191" s="78">
        <v>180</v>
      </c>
      <c r="B191" s="78" t="s">
        <v>621</v>
      </c>
      <c r="C191" s="142" t="s">
        <v>856</v>
      </c>
      <c r="D191" s="141" t="s">
        <v>859</v>
      </c>
      <c r="E191" s="228">
        <v>20</v>
      </c>
      <c r="F191" s="228">
        <v>-15</v>
      </c>
      <c r="G191" s="228">
        <f t="shared" si="2"/>
        <v>5</v>
      </c>
      <c r="H191" s="311"/>
    </row>
    <row r="192" s="131" customFormat="1" customHeight="1" spans="1:8">
      <c r="A192" s="78">
        <v>181</v>
      </c>
      <c r="B192" s="78" t="s">
        <v>621</v>
      </c>
      <c r="C192" s="142" t="s">
        <v>856</v>
      </c>
      <c r="D192" s="141" t="s">
        <v>860</v>
      </c>
      <c r="E192" s="228">
        <v>250</v>
      </c>
      <c r="F192" s="228">
        <v>-250</v>
      </c>
      <c r="G192" s="228">
        <f t="shared" si="2"/>
        <v>0</v>
      </c>
      <c r="H192" s="311"/>
    </row>
    <row r="193" s="131" customFormat="1" customHeight="1" spans="1:8">
      <c r="A193" s="78">
        <v>182</v>
      </c>
      <c r="B193" s="78" t="s">
        <v>626</v>
      </c>
      <c r="C193" s="142" t="s">
        <v>861</v>
      </c>
      <c r="D193" s="141" t="s">
        <v>794</v>
      </c>
      <c r="E193" s="228">
        <v>2.79935</v>
      </c>
      <c r="F193" s="228">
        <v>-2.79935</v>
      </c>
      <c r="G193" s="228">
        <f t="shared" si="2"/>
        <v>0</v>
      </c>
      <c r="H193" s="311"/>
    </row>
    <row r="194" s="131" customFormat="1" customHeight="1" spans="1:8">
      <c r="A194" s="78">
        <v>183</v>
      </c>
      <c r="B194" s="78" t="s">
        <v>621</v>
      </c>
      <c r="C194" s="142" t="s">
        <v>862</v>
      </c>
      <c r="D194" s="141" t="s">
        <v>863</v>
      </c>
      <c r="E194" s="228">
        <v>28.5</v>
      </c>
      <c r="F194" s="228">
        <v>-23.5</v>
      </c>
      <c r="G194" s="228">
        <f t="shared" si="2"/>
        <v>5</v>
      </c>
      <c r="H194" s="311"/>
    </row>
    <row r="195" s="131" customFormat="1" customHeight="1" spans="1:8">
      <c r="A195" s="78">
        <v>184</v>
      </c>
      <c r="B195" s="78" t="s">
        <v>621</v>
      </c>
      <c r="C195" s="142" t="s">
        <v>862</v>
      </c>
      <c r="D195" s="141" t="s">
        <v>864</v>
      </c>
      <c r="E195" s="228">
        <v>2.176</v>
      </c>
      <c r="F195" s="228">
        <v>-2.176</v>
      </c>
      <c r="G195" s="228">
        <f t="shared" si="2"/>
        <v>0</v>
      </c>
      <c r="H195" s="311"/>
    </row>
    <row r="196" s="131" customFormat="1" customHeight="1" spans="1:8">
      <c r="A196" s="78">
        <v>185</v>
      </c>
      <c r="B196" s="78" t="s">
        <v>621</v>
      </c>
      <c r="C196" s="142" t="s">
        <v>823</v>
      </c>
      <c r="D196" s="141" t="s">
        <v>865</v>
      </c>
      <c r="E196" s="228">
        <v>8.3</v>
      </c>
      <c r="F196" s="228">
        <v>-8.3</v>
      </c>
      <c r="G196" s="228">
        <f t="shared" si="2"/>
        <v>0</v>
      </c>
      <c r="H196" s="311"/>
    </row>
    <row r="197" s="131" customFormat="1" customHeight="1" spans="1:8">
      <c r="A197" s="78">
        <v>186</v>
      </c>
      <c r="B197" s="78" t="s">
        <v>626</v>
      </c>
      <c r="C197" s="142" t="s">
        <v>823</v>
      </c>
      <c r="D197" s="141" t="s">
        <v>866</v>
      </c>
      <c r="E197" s="228">
        <v>1</v>
      </c>
      <c r="F197" s="228">
        <v>-1</v>
      </c>
      <c r="G197" s="228">
        <f t="shared" ref="G197:G260" si="3">E197+F197</f>
        <v>0</v>
      </c>
      <c r="H197" s="311"/>
    </row>
    <row r="198" s="131" customFormat="1" customHeight="1" spans="1:8">
      <c r="A198" s="78">
        <v>187</v>
      </c>
      <c r="B198" s="78" t="s">
        <v>621</v>
      </c>
      <c r="C198" s="142" t="s">
        <v>867</v>
      </c>
      <c r="D198" s="141" t="s">
        <v>868</v>
      </c>
      <c r="E198" s="228">
        <v>2.9</v>
      </c>
      <c r="F198" s="228">
        <v>-2.9</v>
      </c>
      <c r="G198" s="228">
        <f t="shared" si="3"/>
        <v>0</v>
      </c>
      <c r="H198" s="311"/>
    </row>
    <row r="199" s="131" customFormat="1" customHeight="1" spans="1:8">
      <c r="A199" s="78">
        <v>188</v>
      </c>
      <c r="B199" s="78" t="s">
        <v>621</v>
      </c>
      <c r="C199" s="70" t="s">
        <v>869</v>
      </c>
      <c r="D199" s="141" t="s">
        <v>870</v>
      </c>
      <c r="E199" s="228">
        <v>100</v>
      </c>
      <c r="F199" s="228">
        <v>-100</v>
      </c>
      <c r="G199" s="228">
        <f t="shared" si="3"/>
        <v>0</v>
      </c>
      <c r="H199" s="311"/>
    </row>
    <row r="200" s="131" customFormat="1" customHeight="1" spans="1:8">
      <c r="A200" s="78">
        <v>189</v>
      </c>
      <c r="B200" s="78" t="s">
        <v>626</v>
      </c>
      <c r="C200" s="142" t="s">
        <v>871</v>
      </c>
      <c r="D200" s="141" t="s">
        <v>872</v>
      </c>
      <c r="E200" s="228">
        <v>80</v>
      </c>
      <c r="F200" s="228">
        <v>-50</v>
      </c>
      <c r="G200" s="228">
        <f t="shared" si="3"/>
        <v>30</v>
      </c>
      <c r="H200" s="311"/>
    </row>
    <row r="201" s="131" customFormat="1" customHeight="1" spans="1:8">
      <c r="A201" s="78">
        <v>190</v>
      </c>
      <c r="B201" s="78" t="s">
        <v>621</v>
      </c>
      <c r="C201" s="142" t="s">
        <v>873</v>
      </c>
      <c r="D201" s="141" t="s">
        <v>874</v>
      </c>
      <c r="E201" s="228">
        <v>10.9</v>
      </c>
      <c r="F201" s="228">
        <v>-10.9</v>
      </c>
      <c r="G201" s="228">
        <f t="shared" si="3"/>
        <v>0</v>
      </c>
      <c r="H201" s="311"/>
    </row>
    <row r="202" s="131" customFormat="1" customHeight="1" spans="1:8">
      <c r="A202" s="78">
        <v>191</v>
      </c>
      <c r="B202" s="78" t="s">
        <v>626</v>
      </c>
      <c r="C202" s="142" t="s">
        <v>875</v>
      </c>
      <c r="D202" s="141" t="s">
        <v>876</v>
      </c>
      <c r="E202" s="228">
        <v>38</v>
      </c>
      <c r="F202" s="228">
        <v>-17</v>
      </c>
      <c r="G202" s="228">
        <f t="shared" si="3"/>
        <v>21</v>
      </c>
      <c r="H202" s="311"/>
    </row>
    <row r="203" s="131" customFormat="1" customHeight="1" spans="1:8">
      <c r="A203" s="78">
        <v>192</v>
      </c>
      <c r="B203" s="78" t="s">
        <v>621</v>
      </c>
      <c r="C203" s="142" t="s">
        <v>877</v>
      </c>
      <c r="D203" s="141" t="s">
        <v>878</v>
      </c>
      <c r="E203" s="228">
        <v>1.755</v>
      </c>
      <c r="F203" s="228">
        <v>-1.755</v>
      </c>
      <c r="G203" s="228">
        <f t="shared" si="3"/>
        <v>0</v>
      </c>
      <c r="H203" s="311"/>
    </row>
    <row r="204" s="131" customFormat="1" customHeight="1" spans="1:8">
      <c r="A204" s="78">
        <v>193</v>
      </c>
      <c r="B204" s="78" t="s">
        <v>621</v>
      </c>
      <c r="C204" s="142" t="s">
        <v>877</v>
      </c>
      <c r="D204" s="141" t="s">
        <v>879</v>
      </c>
      <c r="E204" s="228">
        <v>70.855</v>
      </c>
      <c r="F204" s="228">
        <v>-70.855</v>
      </c>
      <c r="G204" s="228">
        <f t="shared" si="3"/>
        <v>0</v>
      </c>
      <c r="H204" s="311"/>
    </row>
    <row r="205" s="131" customFormat="1" customHeight="1" spans="1:8">
      <c r="A205" s="78">
        <v>194</v>
      </c>
      <c r="B205" s="78" t="s">
        <v>621</v>
      </c>
      <c r="C205" s="142" t="s">
        <v>880</v>
      </c>
      <c r="D205" s="141" t="s">
        <v>881</v>
      </c>
      <c r="E205" s="228">
        <v>5000</v>
      </c>
      <c r="F205" s="228">
        <v>-3000</v>
      </c>
      <c r="G205" s="228">
        <f t="shared" si="3"/>
        <v>2000</v>
      </c>
      <c r="H205" s="311"/>
    </row>
    <row r="206" s="131" customFormat="1" customHeight="1" spans="1:8">
      <c r="A206" s="78">
        <v>195</v>
      </c>
      <c r="B206" s="78" t="s">
        <v>624</v>
      </c>
      <c r="C206" s="142" t="s">
        <v>880</v>
      </c>
      <c r="D206" s="141" t="s">
        <v>882</v>
      </c>
      <c r="E206" s="228">
        <v>10</v>
      </c>
      <c r="F206" s="228">
        <v>-8</v>
      </c>
      <c r="G206" s="228">
        <f t="shared" si="3"/>
        <v>2</v>
      </c>
      <c r="H206" s="311"/>
    </row>
    <row r="207" s="131" customFormat="1" customHeight="1" spans="1:8">
      <c r="A207" s="78">
        <v>196</v>
      </c>
      <c r="B207" s="78" t="s">
        <v>624</v>
      </c>
      <c r="C207" s="142" t="s">
        <v>880</v>
      </c>
      <c r="D207" s="141" t="s">
        <v>883</v>
      </c>
      <c r="E207" s="228">
        <v>2.4</v>
      </c>
      <c r="F207" s="228">
        <v>-2.4</v>
      </c>
      <c r="G207" s="228">
        <f t="shared" si="3"/>
        <v>0</v>
      </c>
      <c r="H207" s="311"/>
    </row>
    <row r="208" s="131" customFormat="1" customHeight="1" spans="1:8">
      <c r="A208" s="78">
        <v>197</v>
      </c>
      <c r="B208" s="78" t="s">
        <v>624</v>
      </c>
      <c r="C208" s="142" t="s">
        <v>880</v>
      </c>
      <c r="D208" s="141" t="s">
        <v>884</v>
      </c>
      <c r="E208" s="228">
        <v>4</v>
      </c>
      <c r="F208" s="228">
        <v>-4</v>
      </c>
      <c r="G208" s="228">
        <f t="shared" si="3"/>
        <v>0</v>
      </c>
      <c r="H208" s="311"/>
    </row>
    <row r="209" s="131" customFormat="1" customHeight="1" spans="1:8">
      <c r="A209" s="78">
        <v>198</v>
      </c>
      <c r="B209" s="78" t="s">
        <v>624</v>
      </c>
      <c r="C209" s="142" t="s">
        <v>880</v>
      </c>
      <c r="D209" s="141" t="s">
        <v>885</v>
      </c>
      <c r="E209" s="228">
        <v>32.28</v>
      </c>
      <c r="F209" s="228">
        <f>-32.28+2.3058</f>
        <v>-29.9742</v>
      </c>
      <c r="G209" s="228">
        <f t="shared" si="3"/>
        <v>2.3058</v>
      </c>
      <c r="H209" s="311"/>
    </row>
    <row r="210" s="131" customFormat="1" customHeight="1" spans="1:8">
      <c r="A210" s="78">
        <v>199</v>
      </c>
      <c r="B210" s="78" t="s">
        <v>626</v>
      </c>
      <c r="C210" s="70" t="s">
        <v>880</v>
      </c>
      <c r="D210" s="70" t="s">
        <v>886</v>
      </c>
      <c r="E210" s="228">
        <v>100</v>
      </c>
      <c r="F210" s="228">
        <v>-45</v>
      </c>
      <c r="G210" s="228">
        <f t="shared" si="3"/>
        <v>55</v>
      </c>
      <c r="H210" s="311"/>
    </row>
    <row r="211" s="131" customFormat="1" customHeight="1" spans="1:8">
      <c r="A211" s="78">
        <v>200</v>
      </c>
      <c r="B211" s="78" t="s">
        <v>626</v>
      </c>
      <c r="C211" s="142" t="s">
        <v>880</v>
      </c>
      <c r="D211" s="141" t="s">
        <v>887</v>
      </c>
      <c r="E211" s="228">
        <v>30</v>
      </c>
      <c r="F211" s="228">
        <v>-10</v>
      </c>
      <c r="G211" s="228">
        <f t="shared" si="3"/>
        <v>20</v>
      </c>
      <c r="H211" s="311"/>
    </row>
    <row r="212" s="131" customFormat="1" customHeight="1" spans="1:8">
      <c r="A212" s="78">
        <v>201</v>
      </c>
      <c r="B212" s="78" t="s">
        <v>626</v>
      </c>
      <c r="C212" s="142" t="s">
        <v>880</v>
      </c>
      <c r="D212" s="141" t="s">
        <v>888</v>
      </c>
      <c r="E212" s="228">
        <v>90</v>
      </c>
      <c r="F212" s="228">
        <v>-25</v>
      </c>
      <c r="G212" s="228">
        <f t="shared" si="3"/>
        <v>65</v>
      </c>
      <c r="H212" s="311"/>
    </row>
    <row r="213" s="131" customFormat="1" customHeight="1" spans="1:8">
      <c r="A213" s="78">
        <v>202</v>
      </c>
      <c r="B213" s="78" t="s">
        <v>626</v>
      </c>
      <c r="C213" s="142" t="s">
        <v>880</v>
      </c>
      <c r="D213" s="141" t="s">
        <v>889</v>
      </c>
      <c r="E213" s="228">
        <v>293.555294</v>
      </c>
      <c r="F213" s="228">
        <v>-283.56</v>
      </c>
      <c r="G213" s="228">
        <f t="shared" si="3"/>
        <v>9.995294</v>
      </c>
      <c r="H213" s="311"/>
    </row>
    <row r="214" s="131" customFormat="1" customHeight="1" spans="1:8">
      <c r="A214" s="78">
        <v>203</v>
      </c>
      <c r="B214" s="78" t="s">
        <v>626</v>
      </c>
      <c r="C214" s="142" t="s">
        <v>880</v>
      </c>
      <c r="D214" s="141" t="s">
        <v>890</v>
      </c>
      <c r="E214" s="228">
        <v>60</v>
      </c>
      <c r="F214" s="228">
        <v>-25</v>
      </c>
      <c r="G214" s="228">
        <f t="shared" si="3"/>
        <v>35</v>
      </c>
      <c r="H214" s="311"/>
    </row>
    <row r="215" s="131" customFormat="1" customHeight="1" spans="1:8">
      <c r="A215" s="78">
        <v>204</v>
      </c>
      <c r="B215" s="78" t="s">
        <v>814</v>
      </c>
      <c r="C215" s="142" t="s">
        <v>880</v>
      </c>
      <c r="D215" s="141" t="s">
        <v>891</v>
      </c>
      <c r="E215" s="228">
        <v>1.25</v>
      </c>
      <c r="F215" s="228">
        <v>-1.25</v>
      </c>
      <c r="G215" s="228">
        <f t="shared" si="3"/>
        <v>0</v>
      </c>
      <c r="H215" s="311"/>
    </row>
    <row r="216" s="131" customFormat="1" customHeight="1" spans="1:8">
      <c r="A216" s="78">
        <v>205</v>
      </c>
      <c r="B216" s="78" t="s">
        <v>814</v>
      </c>
      <c r="C216" s="142" t="s">
        <v>880</v>
      </c>
      <c r="D216" s="141" t="s">
        <v>892</v>
      </c>
      <c r="E216" s="228">
        <v>8520</v>
      </c>
      <c r="F216" s="228">
        <v>-7520</v>
      </c>
      <c r="G216" s="228">
        <f t="shared" si="3"/>
        <v>1000</v>
      </c>
      <c r="H216" s="311"/>
    </row>
    <row r="217" s="131" customFormat="1" customHeight="1" spans="1:8">
      <c r="A217" s="78">
        <v>206</v>
      </c>
      <c r="B217" s="78" t="s">
        <v>626</v>
      </c>
      <c r="C217" s="142" t="s">
        <v>893</v>
      </c>
      <c r="D217" s="141" t="s">
        <v>894</v>
      </c>
      <c r="E217" s="228">
        <v>2</v>
      </c>
      <c r="F217" s="228">
        <v>-2</v>
      </c>
      <c r="G217" s="228">
        <f t="shared" si="3"/>
        <v>0</v>
      </c>
      <c r="H217" s="311"/>
    </row>
    <row r="218" s="131" customFormat="1" customHeight="1" spans="1:8">
      <c r="A218" s="78">
        <v>207</v>
      </c>
      <c r="B218" s="78" t="s">
        <v>814</v>
      </c>
      <c r="C218" s="70" t="s">
        <v>893</v>
      </c>
      <c r="D218" s="141" t="s">
        <v>895</v>
      </c>
      <c r="E218" s="228">
        <v>55</v>
      </c>
      <c r="F218" s="228">
        <v>-10</v>
      </c>
      <c r="G218" s="228">
        <f t="shared" si="3"/>
        <v>45</v>
      </c>
      <c r="H218" s="311"/>
    </row>
    <row r="219" s="131" customFormat="1" customHeight="1" spans="1:8">
      <c r="A219" s="78">
        <v>208</v>
      </c>
      <c r="B219" s="78" t="s">
        <v>626</v>
      </c>
      <c r="C219" s="142" t="s">
        <v>896</v>
      </c>
      <c r="D219" s="141" t="s">
        <v>897</v>
      </c>
      <c r="E219" s="228">
        <v>27.39</v>
      </c>
      <c r="F219" s="228">
        <v>-5</v>
      </c>
      <c r="G219" s="228">
        <f t="shared" si="3"/>
        <v>22.39</v>
      </c>
      <c r="H219" s="311"/>
    </row>
    <row r="220" s="131" customFormat="1" customHeight="1" spans="1:8">
      <c r="A220" s="78">
        <v>209</v>
      </c>
      <c r="B220" s="78" t="s">
        <v>814</v>
      </c>
      <c r="C220" s="70" t="s">
        <v>898</v>
      </c>
      <c r="D220" s="141" t="s">
        <v>899</v>
      </c>
      <c r="E220" s="228">
        <v>289</v>
      </c>
      <c r="F220" s="228">
        <v>-200</v>
      </c>
      <c r="G220" s="228">
        <f t="shared" si="3"/>
        <v>89</v>
      </c>
      <c r="H220" s="311" t="s">
        <v>900</v>
      </c>
    </row>
    <row r="221" s="131" customFormat="1" customHeight="1" spans="1:8">
      <c r="A221" s="78">
        <v>210</v>
      </c>
      <c r="B221" s="78" t="s">
        <v>814</v>
      </c>
      <c r="C221" s="142" t="s">
        <v>898</v>
      </c>
      <c r="D221" s="141" t="s">
        <v>901</v>
      </c>
      <c r="E221" s="228">
        <v>45</v>
      </c>
      <c r="F221" s="228">
        <v>-40</v>
      </c>
      <c r="G221" s="228">
        <f t="shared" si="3"/>
        <v>5</v>
      </c>
      <c r="H221" s="311"/>
    </row>
    <row r="222" s="131" customFormat="1" customHeight="1" spans="1:8">
      <c r="A222" s="78">
        <v>211</v>
      </c>
      <c r="B222" s="78" t="s">
        <v>814</v>
      </c>
      <c r="C222" s="142" t="s">
        <v>898</v>
      </c>
      <c r="D222" s="141" t="s">
        <v>902</v>
      </c>
      <c r="E222" s="228">
        <v>5</v>
      </c>
      <c r="F222" s="228">
        <v>-5</v>
      </c>
      <c r="G222" s="228">
        <f t="shared" si="3"/>
        <v>0</v>
      </c>
      <c r="H222" s="311"/>
    </row>
    <row r="223" s="131" customFormat="1" customHeight="1" spans="1:8">
      <c r="A223" s="78">
        <v>212</v>
      </c>
      <c r="B223" s="78" t="s">
        <v>814</v>
      </c>
      <c r="C223" s="70" t="s">
        <v>898</v>
      </c>
      <c r="D223" s="141" t="s">
        <v>903</v>
      </c>
      <c r="E223" s="228">
        <v>11</v>
      </c>
      <c r="F223" s="228">
        <v>-11</v>
      </c>
      <c r="G223" s="228">
        <f t="shared" si="3"/>
        <v>0</v>
      </c>
      <c r="H223" s="311"/>
    </row>
    <row r="224" s="131" customFormat="1" customHeight="1" spans="1:8">
      <c r="A224" s="78">
        <v>213</v>
      </c>
      <c r="B224" s="78" t="s">
        <v>814</v>
      </c>
      <c r="C224" s="142" t="s">
        <v>904</v>
      </c>
      <c r="D224" s="141" t="s">
        <v>905</v>
      </c>
      <c r="E224" s="228">
        <v>27</v>
      </c>
      <c r="F224" s="228">
        <v>27.5</v>
      </c>
      <c r="G224" s="228">
        <f t="shared" si="3"/>
        <v>54.5</v>
      </c>
      <c r="H224" s="311"/>
    </row>
    <row r="225" s="131" customFormat="1" customHeight="1" spans="1:8">
      <c r="A225" s="78">
        <v>214</v>
      </c>
      <c r="B225" s="78" t="s">
        <v>646</v>
      </c>
      <c r="C225" s="142" t="s">
        <v>906</v>
      </c>
      <c r="D225" s="141" t="s">
        <v>907</v>
      </c>
      <c r="E225" s="228">
        <v>106.425</v>
      </c>
      <c r="F225" s="228">
        <v>-80</v>
      </c>
      <c r="G225" s="228">
        <f t="shared" si="3"/>
        <v>26.425</v>
      </c>
      <c r="H225" s="311" t="s">
        <v>908</v>
      </c>
    </row>
    <row r="226" s="131" customFormat="1" customHeight="1" spans="1:8">
      <c r="A226" s="78">
        <v>215</v>
      </c>
      <c r="B226" s="78" t="s">
        <v>646</v>
      </c>
      <c r="C226" s="142" t="s">
        <v>906</v>
      </c>
      <c r="D226" s="141" t="s">
        <v>909</v>
      </c>
      <c r="E226" s="228">
        <v>40</v>
      </c>
      <c r="F226" s="228">
        <v>-10</v>
      </c>
      <c r="G226" s="228">
        <f t="shared" si="3"/>
        <v>30</v>
      </c>
      <c r="H226" s="311" t="s">
        <v>910</v>
      </c>
    </row>
    <row r="227" s="131" customFormat="1" customHeight="1" spans="1:8">
      <c r="A227" s="78">
        <v>216</v>
      </c>
      <c r="B227" s="78" t="s">
        <v>646</v>
      </c>
      <c r="C227" s="142" t="s">
        <v>911</v>
      </c>
      <c r="D227" s="141" t="s">
        <v>912</v>
      </c>
      <c r="E227" s="228">
        <v>6.35</v>
      </c>
      <c r="F227" s="228">
        <v>-6.35</v>
      </c>
      <c r="G227" s="228">
        <f t="shared" si="3"/>
        <v>0</v>
      </c>
      <c r="H227" s="311" t="s">
        <v>913</v>
      </c>
    </row>
    <row r="228" s="131" customFormat="1" customHeight="1" spans="1:8">
      <c r="A228" s="78">
        <v>217</v>
      </c>
      <c r="B228" s="78" t="s">
        <v>646</v>
      </c>
      <c r="C228" s="142" t="s">
        <v>911</v>
      </c>
      <c r="D228" s="141" t="s">
        <v>914</v>
      </c>
      <c r="E228" s="228">
        <v>2.2</v>
      </c>
      <c r="F228" s="228">
        <v>-2.2</v>
      </c>
      <c r="G228" s="228">
        <f t="shared" si="3"/>
        <v>0</v>
      </c>
      <c r="H228" s="311" t="s">
        <v>915</v>
      </c>
    </row>
    <row r="229" s="131" customFormat="1" customHeight="1" spans="1:8">
      <c r="A229" s="78">
        <v>218</v>
      </c>
      <c r="B229" s="78" t="s">
        <v>626</v>
      </c>
      <c r="C229" s="142" t="s">
        <v>916</v>
      </c>
      <c r="D229" s="141" t="s">
        <v>917</v>
      </c>
      <c r="E229" s="228">
        <v>20</v>
      </c>
      <c r="F229" s="228">
        <v>-15</v>
      </c>
      <c r="G229" s="228">
        <f t="shared" si="3"/>
        <v>5</v>
      </c>
      <c r="H229" s="311"/>
    </row>
    <row r="230" s="131" customFormat="1" customHeight="1" spans="1:8">
      <c r="A230" s="78">
        <v>219</v>
      </c>
      <c r="B230" s="78" t="s">
        <v>626</v>
      </c>
      <c r="C230" s="142" t="s">
        <v>916</v>
      </c>
      <c r="D230" s="141" t="s">
        <v>918</v>
      </c>
      <c r="E230" s="228">
        <v>3</v>
      </c>
      <c r="F230" s="228">
        <v>-1</v>
      </c>
      <c r="G230" s="228">
        <f t="shared" si="3"/>
        <v>2</v>
      </c>
      <c r="H230" s="311"/>
    </row>
    <row r="231" s="131" customFormat="1" customHeight="1" spans="1:8">
      <c r="A231" s="78">
        <v>220</v>
      </c>
      <c r="B231" s="78" t="s">
        <v>626</v>
      </c>
      <c r="C231" s="142" t="s">
        <v>916</v>
      </c>
      <c r="D231" s="141" t="s">
        <v>919</v>
      </c>
      <c r="E231" s="228">
        <v>22</v>
      </c>
      <c r="F231" s="228">
        <v>-10</v>
      </c>
      <c r="G231" s="228">
        <f t="shared" si="3"/>
        <v>12</v>
      </c>
      <c r="H231" s="311"/>
    </row>
    <row r="232" s="131" customFormat="1" customHeight="1" spans="1:8">
      <c r="A232" s="78">
        <v>221</v>
      </c>
      <c r="B232" s="78" t="s">
        <v>626</v>
      </c>
      <c r="C232" s="142" t="s">
        <v>916</v>
      </c>
      <c r="D232" s="141" t="s">
        <v>920</v>
      </c>
      <c r="E232" s="228">
        <v>5</v>
      </c>
      <c r="F232" s="228">
        <v>-3</v>
      </c>
      <c r="G232" s="228">
        <f t="shared" si="3"/>
        <v>2</v>
      </c>
      <c r="H232" s="311"/>
    </row>
    <row r="233" s="131" customFormat="1" customHeight="1" spans="1:8">
      <c r="A233" s="78">
        <v>222</v>
      </c>
      <c r="B233" s="78" t="s">
        <v>626</v>
      </c>
      <c r="C233" s="142" t="s">
        <v>921</v>
      </c>
      <c r="D233" s="141" t="s">
        <v>922</v>
      </c>
      <c r="E233" s="228">
        <v>2</v>
      </c>
      <c r="F233" s="228">
        <v>-1</v>
      </c>
      <c r="G233" s="228">
        <f t="shared" si="3"/>
        <v>1</v>
      </c>
      <c r="H233" s="311"/>
    </row>
    <row r="234" s="131" customFormat="1" customHeight="1" spans="1:8">
      <c r="A234" s="78">
        <v>223</v>
      </c>
      <c r="B234" s="78" t="s">
        <v>626</v>
      </c>
      <c r="C234" s="142" t="s">
        <v>921</v>
      </c>
      <c r="D234" s="141" t="s">
        <v>923</v>
      </c>
      <c r="E234" s="228">
        <v>200</v>
      </c>
      <c r="F234" s="228">
        <v>-180</v>
      </c>
      <c r="G234" s="228">
        <f t="shared" si="3"/>
        <v>20</v>
      </c>
      <c r="H234" s="311"/>
    </row>
    <row r="235" s="131" customFormat="1" customHeight="1" spans="1:8">
      <c r="A235" s="78">
        <v>224</v>
      </c>
      <c r="B235" s="78" t="s">
        <v>626</v>
      </c>
      <c r="C235" s="142" t="s">
        <v>921</v>
      </c>
      <c r="D235" s="141" t="s">
        <v>924</v>
      </c>
      <c r="E235" s="228">
        <v>44.3</v>
      </c>
      <c r="F235" s="228">
        <v>-40</v>
      </c>
      <c r="G235" s="228">
        <f t="shared" si="3"/>
        <v>4.3</v>
      </c>
      <c r="H235" s="311"/>
    </row>
    <row r="236" s="131" customFormat="1" customHeight="1" spans="1:8">
      <c r="A236" s="78">
        <v>225</v>
      </c>
      <c r="B236" s="78" t="s">
        <v>626</v>
      </c>
      <c r="C236" s="142" t="s">
        <v>921</v>
      </c>
      <c r="D236" s="141" t="s">
        <v>925</v>
      </c>
      <c r="E236" s="228">
        <v>7</v>
      </c>
      <c r="F236" s="228">
        <v>2</v>
      </c>
      <c r="G236" s="228">
        <f t="shared" si="3"/>
        <v>9</v>
      </c>
      <c r="H236" s="311"/>
    </row>
    <row r="237" s="131" customFormat="1" customHeight="1" spans="1:8">
      <c r="A237" s="78">
        <v>226</v>
      </c>
      <c r="B237" s="78" t="s">
        <v>626</v>
      </c>
      <c r="C237" s="142" t="s">
        <v>921</v>
      </c>
      <c r="D237" s="141" t="s">
        <v>926</v>
      </c>
      <c r="E237" s="228">
        <v>10</v>
      </c>
      <c r="F237" s="228">
        <v>-10</v>
      </c>
      <c r="G237" s="228">
        <f t="shared" si="3"/>
        <v>0</v>
      </c>
      <c r="H237" s="311"/>
    </row>
    <row r="238" s="131" customFormat="1" customHeight="1" spans="1:8">
      <c r="A238" s="78">
        <v>227</v>
      </c>
      <c r="B238" s="78" t="s">
        <v>626</v>
      </c>
      <c r="C238" s="142" t="s">
        <v>921</v>
      </c>
      <c r="D238" s="141" t="s">
        <v>927</v>
      </c>
      <c r="E238" s="228">
        <v>6</v>
      </c>
      <c r="F238" s="228">
        <v>-6</v>
      </c>
      <c r="G238" s="228">
        <f t="shared" si="3"/>
        <v>0</v>
      </c>
      <c r="H238" s="311"/>
    </row>
    <row r="239" s="131" customFormat="1" customHeight="1" spans="1:8">
      <c r="A239" s="78">
        <v>228</v>
      </c>
      <c r="B239" s="78" t="s">
        <v>626</v>
      </c>
      <c r="C239" s="142" t="s">
        <v>921</v>
      </c>
      <c r="D239" s="141" t="s">
        <v>928</v>
      </c>
      <c r="E239" s="228">
        <v>30</v>
      </c>
      <c r="F239" s="228">
        <v>-18</v>
      </c>
      <c r="G239" s="228">
        <f t="shared" si="3"/>
        <v>12</v>
      </c>
      <c r="H239" s="311"/>
    </row>
    <row r="240" s="131" customFormat="1" customHeight="1" spans="1:8">
      <c r="A240" s="78">
        <v>229</v>
      </c>
      <c r="B240" s="78" t="s">
        <v>626</v>
      </c>
      <c r="C240" s="142" t="s">
        <v>921</v>
      </c>
      <c r="D240" s="141" t="s">
        <v>929</v>
      </c>
      <c r="E240" s="228">
        <v>5</v>
      </c>
      <c r="F240" s="228">
        <v>-2</v>
      </c>
      <c r="G240" s="228">
        <f t="shared" si="3"/>
        <v>3</v>
      </c>
      <c r="H240" s="311"/>
    </row>
    <row r="241" s="131" customFormat="1" customHeight="1" spans="1:8">
      <c r="A241" s="78">
        <v>230</v>
      </c>
      <c r="B241" s="78" t="s">
        <v>626</v>
      </c>
      <c r="C241" s="142" t="s">
        <v>921</v>
      </c>
      <c r="D241" s="141" t="s">
        <v>930</v>
      </c>
      <c r="E241" s="228">
        <v>20</v>
      </c>
      <c r="F241" s="228">
        <v>-15</v>
      </c>
      <c r="G241" s="228">
        <f t="shared" si="3"/>
        <v>5</v>
      </c>
      <c r="H241" s="311"/>
    </row>
    <row r="242" s="131" customFormat="1" customHeight="1" spans="1:8">
      <c r="A242" s="78">
        <v>231</v>
      </c>
      <c r="B242" s="78" t="s">
        <v>626</v>
      </c>
      <c r="C242" s="142" t="s">
        <v>921</v>
      </c>
      <c r="D242" s="141" t="s">
        <v>931</v>
      </c>
      <c r="E242" s="228">
        <v>4</v>
      </c>
      <c r="F242" s="228">
        <v>-2</v>
      </c>
      <c r="G242" s="228">
        <f t="shared" si="3"/>
        <v>2</v>
      </c>
      <c r="H242" s="311"/>
    </row>
    <row r="243" s="131" customFormat="1" customHeight="1" spans="1:8">
      <c r="A243" s="78">
        <v>232</v>
      </c>
      <c r="B243" s="78" t="s">
        <v>626</v>
      </c>
      <c r="C243" s="142" t="s">
        <v>921</v>
      </c>
      <c r="D243" s="141" t="s">
        <v>932</v>
      </c>
      <c r="E243" s="228">
        <v>10</v>
      </c>
      <c r="F243" s="228">
        <v>-10</v>
      </c>
      <c r="G243" s="228">
        <f t="shared" si="3"/>
        <v>0</v>
      </c>
      <c r="H243" s="311"/>
    </row>
    <row r="244" s="131" customFormat="1" customHeight="1" spans="1:8">
      <c r="A244" s="78">
        <v>233</v>
      </c>
      <c r="B244" s="78" t="s">
        <v>626</v>
      </c>
      <c r="C244" s="142" t="s">
        <v>933</v>
      </c>
      <c r="D244" s="141" t="s">
        <v>934</v>
      </c>
      <c r="E244" s="228">
        <v>10</v>
      </c>
      <c r="F244" s="228">
        <v>-7</v>
      </c>
      <c r="G244" s="228">
        <f t="shared" si="3"/>
        <v>3</v>
      </c>
      <c r="H244" s="311"/>
    </row>
    <row r="245" s="131" customFormat="1" customHeight="1" spans="1:8">
      <c r="A245" s="78">
        <v>234</v>
      </c>
      <c r="B245" s="78" t="s">
        <v>626</v>
      </c>
      <c r="C245" s="142" t="s">
        <v>935</v>
      </c>
      <c r="D245" s="141" t="s">
        <v>936</v>
      </c>
      <c r="E245" s="228">
        <v>2</v>
      </c>
      <c r="F245" s="228">
        <v>-1</v>
      </c>
      <c r="G245" s="228">
        <f t="shared" si="3"/>
        <v>1</v>
      </c>
      <c r="H245" s="311"/>
    </row>
    <row r="246" s="131" customFormat="1" customHeight="1" spans="1:8">
      <c r="A246" s="78">
        <v>235</v>
      </c>
      <c r="B246" s="78" t="s">
        <v>626</v>
      </c>
      <c r="C246" s="142" t="s">
        <v>937</v>
      </c>
      <c r="D246" s="141" t="s">
        <v>938</v>
      </c>
      <c r="E246" s="228">
        <v>2</v>
      </c>
      <c r="F246" s="228">
        <v>-1</v>
      </c>
      <c r="G246" s="228">
        <f t="shared" si="3"/>
        <v>1</v>
      </c>
      <c r="H246" s="311"/>
    </row>
    <row r="247" s="131" customFormat="1" customHeight="1" spans="1:8">
      <c r="A247" s="78">
        <v>236</v>
      </c>
      <c r="B247" s="78" t="s">
        <v>626</v>
      </c>
      <c r="C247" s="142" t="s">
        <v>937</v>
      </c>
      <c r="D247" s="141" t="s">
        <v>939</v>
      </c>
      <c r="E247" s="228">
        <v>16.4494</v>
      </c>
      <c r="F247" s="228">
        <v>-7.91</v>
      </c>
      <c r="G247" s="228">
        <f t="shared" si="3"/>
        <v>8.5394</v>
      </c>
      <c r="H247" s="311"/>
    </row>
    <row r="248" s="131" customFormat="1" customHeight="1" spans="1:8">
      <c r="A248" s="78">
        <v>237</v>
      </c>
      <c r="B248" s="78" t="s">
        <v>626</v>
      </c>
      <c r="C248" s="142" t="s">
        <v>940</v>
      </c>
      <c r="D248" s="141" t="s">
        <v>941</v>
      </c>
      <c r="E248" s="228">
        <v>0.8</v>
      </c>
      <c r="F248" s="228">
        <v>1.2</v>
      </c>
      <c r="G248" s="228">
        <f t="shared" si="3"/>
        <v>2</v>
      </c>
      <c r="H248" s="311" t="s">
        <v>688</v>
      </c>
    </row>
    <row r="249" s="131" customFormat="1" customHeight="1" spans="1:8">
      <c r="A249" s="78">
        <v>238</v>
      </c>
      <c r="B249" s="78" t="s">
        <v>646</v>
      </c>
      <c r="C249" s="142" t="s">
        <v>942</v>
      </c>
      <c r="D249" s="141" t="s">
        <v>943</v>
      </c>
      <c r="E249" s="228">
        <v>31.27</v>
      </c>
      <c r="F249" s="228">
        <v>-16.27</v>
      </c>
      <c r="G249" s="228">
        <f t="shared" si="3"/>
        <v>15</v>
      </c>
      <c r="H249" s="311" t="s">
        <v>944</v>
      </c>
    </row>
    <row r="250" s="131" customFormat="1" customHeight="1" spans="1:8">
      <c r="A250" s="78">
        <v>239</v>
      </c>
      <c r="B250" s="78" t="s">
        <v>646</v>
      </c>
      <c r="C250" s="142" t="s">
        <v>942</v>
      </c>
      <c r="D250" s="141" t="s">
        <v>945</v>
      </c>
      <c r="E250" s="228">
        <v>24</v>
      </c>
      <c r="F250" s="228">
        <v>-5</v>
      </c>
      <c r="G250" s="228">
        <f t="shared" si="3"/>
        <v>19</v>
      </c>
      <c r="H250" s="311" t="s">
        <v>946</v>
      </c>
    </row>
    <row r="251" s="131" customFormat="1" customHeight="1" spans="1:8">
      <c r="A251" s="78">
        <v>240</v>
      </c>
      <c r="B251" s="78" t="s">
        <v>646</v>
      </c>
      <c r="C251" s="142" t="s">
        <v>942</v>
      </c>
      <c r="D251" s="141" t="s">
        <v>947</v>
      </c>
      <c r="E251" s="228">
        <v>31.32</v>
      </c>
      <c r="F251" s="228">
        <v>-27.32</v>
      </c>
      <c r="G251" s="228">
        <f t="shared" si="3"/>
        <v>4</v>
      </c>
      <c r="H251" s="311" t="s">
        <v>948</v>
      </c>
    </row>
    <row r="252" s="131" customFormat="1" customHeight="1" spans="1:8">
      <c r="A252" s="78">
        <v>241</v>
      </c>
      <c r="B252" s="78" t="s">
        <v>646</v>
      </c>
      <c r="C252" s="142" t="s">
        <v>942</v>
      </c>
      <c r="D252" s="141" t="s">
        <v>949</v>
      </c>
      <c r="E252" s="228">
        <v>80</v>
      </c>
      <c r="F252" s="228">
        <v>-60</v>
      </c>
      <c r="G252" s="228">
        <f t="shared" si="3"/>
        <v>20</v>
      </c>
      <c r="H252" s="311" t="s">
        <v>950</v>
      </c>
    </row>
    <row r="253" s="131" customFormat="1" customHeight="1" spans="1:8">
      <c r="A253" s="78">
        <v>242</v>
      </c>
      <c r="B253" s="78" t="s">
        <v>646</v>
      </c>
      <c r="C253" s="142" t="s">
        <v>942</v>
      </c>
      <c r="D253" s="141" t="s">
        <v>951</v>
      </c>
      <c r="E253" s="228">
        <v>14</v>
      </c>
      <c r="F253" s="228">
        <v>-1</v>
      </c>
      <c r="G253" s="228">
        <f t="shared" si="3"/>
        <v>13</v>
      </c>
      <c r="H253" s="311"/>
    </row>
    <row r="254" s="131" customFormat="1" customHeight="1" spans="1:8">
      <c r="A254" s="78">
        <v>243</v>
      </c>
      <c r="B254" s="78" t="s">
        <v>646</v>
      </c>
      <c r="C254" s="142" t="s">
        <v>942</v>
      </c>
      <c r="D254" s="141" t="s">
        <v>952</v>
      </c>
      <c r="E254" s="228">
        <v>10</v>
      </c>
      <c r="F254" s="228">
        <v>-5</v>
      </c>
      <c r="G254" s="228">
        <f t="shared" si="3"/>
        <v>5</v>
      </c>
      <c r="H254" s="311"/>
    </row>
    <row r="255" s="131" customFormat="1" customHeight="1" spans="1:8">
      <c r="A255" s="78">
        <v>244</v>
      </c>
      <c r="B255" s="78" t="s">
        <v>814</v>
      </c>
      <c r="C255" s="70" t="s">
        <v>942</v>
      </c>
      <c r="D255" s="141" t="s">
        <v>953</v>
      </c>
      <c r="E255" s="228">
        <v>31.75</v>
      </c>
      <c r="F255" s="228">
        <v>8.25</v>
      </c>
      <c r="G255" s="228">
        <f t="shared" si="3"/>
        <v>40</v>
      </c>
      <c r="H255" s="311"/>
    </row>
    <row r="256" s="131" customFormat="1" customHeight="1" spans="1:8">
      <c r="A256" s="78">
        <v>245</v>
      </c>
      <c r="B256" s="78" t="s">
        <v>646</v>
      </c>
      <c r="C256" s="142" t="s">
        <v>954</v>
      </c>
      <c r="D256" s="141" t="s">
        <v>955</v>
      </c>
      <c r="E256" s="228">
        <v>80</v>
      </c>
      <c r="F256" s="228">
        <v>-30</v>
      </c>
      <c r="G256" s="228">
        <f t="shared" si="3"/>
        <v>50</v>
      </c>
      <c r="H256" s="311" t="s">
        <v>956</v>
      </c>
    </row>
    <row r="257" s="131" customFormat="1" customHeight="1" spans="1:8">
      <c r="A257" s="78">
        <v>246</v>
      </c>
      <c r="B257" s="78" t="s">
        <v>624</v>
      </c>
      <c r="C257" s="142" t="s">
        <v>957</v>
      </c>
      <c r="D257" s="141" t="s">
        <v>958</v>
      </c>
      <c r="E257" s="228">
        <v>37.931508</v>
      </c>
      <c r="F257" s="228">
        <v>5.591892</v>
      </c>
      <c r="G257" s="228">
        <f t="shared" si="3"/>
        <v>43.5234</v>
      </c>
      <c r="H257" s="311" t="s">
        <v>959</v>
      </c>
    </row>
    <row r="258" s="131" customFormat="1" customHeight="1" spans="1:8">
      <c r="A258" s="78">
        <v>247</v>
      </c>
      <c r="B258" s="78" t="s">
        <v>624</v>
      </c>
      <c r="C258" s="142" t="s">
        <v>957</v>
      </c>
      <c r="D258" s="141" t="s">
        <v>960</v>
      </c>
      <c r="E258" s="228">
        <v>60</v>
      </c>
      <c r="F258" s="228">
        <v>-25</v>
      </c>
      <c r="G258" s="228">
        <f t="shared" si="3"/>
        <v>35</v>
      </c>
      <c r="H258" s="311"/>
    </row>
    <row r="259" s="131" customFormat="1" customHeight="1" spans="1:8">
      <c r="A259" s="78">
        <v>248</v>
      </c>
      <c r="B259" s="78" t="s">
        <v>624</v>
      </c>
      <c r="C259" s="142" t="s">
        <v>957</v>
      </c>
      <c r="D259" s="141" t="s">
        <v>961</v>
      </c>
      <c r="E259" s="228">
        <v>10</v>
      </c>
      <c r="F259" s="228">
        <v>-8</v>
      </c>
      <c r="G259" s="228">
        <f t="shared" si="3"/>
        <v>2</v>
      </c>
      <c r="H259" s="311"/>
    </row>
    <row r="260" s="131" customFormat="1" customHeight="1" spans="1:8">
      <c r="A260" s="78">
        <v>249</v>
      </c>
      <c r="B260" s="78" t="s">
        <v>624</v>
      </c>
      <c r="C260" s="70" t="s">
        <v>957</v>
      </c>
      <c r="D260" s="141" t="s">
        <v>962</v>
      </c>
      <c r="E260" s="228">
        <v>5.2</v>
      </c>
      <c r="F260" s="228">
        <v>-3</v>
      </c>
      <c r="G260" s="228">
        <f t="shared" si="3"/>
        <v>2.2</v>
      </c>
      <c r="H260" s="311"/>
    </row>
    <row r="261" s="131" customFormat="1" customHeight="1" spans="1:8">
      <c r="A261" s="78">
        <v>250</v>
      </c>
      <c r="B261" s="78" t="s">
        <v>624</v>
      </c>
      <c r="C261" s="142" t="s">
        <v>957</v>
      </c>
      <c r="D261" s="141" t="s">
        <v>963</v>
      </c>
      <c r="E261" s="228">
        <v>50</v>
      </c>
      <c r="F261" s="228">
        <v>-40</v>
      </c>
      <c r="G261" s="228">
        <f t="shared" ref="G261:G324" si="4">E261+F261</f>
        <v>10</v>
      </c>
      <c r="H261" s="311"/>
    </row>
    <row r="262" s="131" customFormat="1" customHeight="1" spans="1:8">
      <c r="A262" s="78">
        <v>251</v>
      </c>
      <c r="B262" s="78" t="s">
        <v>624</v>
      </c>
      <c r="C262" s="70" t="s">
        <v>957</v>
      </c>
      <c r="D262" s="141" t="s">
        <v>964</v>
      </c>
      <c r="E262" s="228">
        <v>0</v>
      </c>
      <c r="F262" s="228">
        <v>10</v>
      </c>
      <c r="G262" s="228">
        <f t="shared" si="4"/>
        <v>10</v>
      </c>
      <c r="H262" s="311" t="s">
        <v>965</v>
      </c>
    </row>
    <row r="263" s="131" customFormat="1" customHeight="1" spans="1:8">
      <c r="A263" s="78">
        <v>252</v>
      </c>
      <c r="B263" s="78" t="s">
        <v>624</v>
      </c>
      <c r="C263" s="70" t="s">
        <v>957</v>
      </c>
      <c r="D263" s="141" t="s">
        <v>966</v>
      </c>
      <c r="E263" s="228">
        <v>0</v>
      </c>
      <c r="F263" s="228">
        <v>35.4789</v>
      </c>
      <c r="G263" s="228">
        <f t="shared" si="4"/>
        <v>35.4789</v>
      </c>
      <c r="H263" s="311" t="s">
        <v>967</v>
      </c>
    </row>
    <row r="264" s="131" customFormat="1" customHeight="1" spans="1:8">
      <c r="A264" s="78">
        <v>253</v>
      </c>
      <c r="B264" s="78" t="s">
        <v>624</v>
      </c>
      <c r="C264" s="142" t="s">
        <v>957</v>
      </c>
      <c r="D264" s="141" t="s">
        <v>968</v>
      </c>
      <c r="E264" s="228">
        <v>3.6336</v>
      </c>
      <c r="F264" s="228">
        <v>-3.63</v>
      </c>
      <c r="G264" s="228">
        <f t="shared" si="4"/>
        <v>0.00360000000000005</v>
      </c>
      <c r="H264" s="311"/>
    </row>
    <row r="265" s="131" customFormat="1" customHeight="1" spans="1:8">
      <c r="A265" s="78">
        <v>254</v>
      </c>
      <c r="B265" s="78" t="s">
        <v>624</v>
      </c>
      <c r="C265" s="142" t="s">
        <v>957</v>
      </c>
      <c r="D265" s="141" t="s">
        <v>969</v>
      </c>
      <c r="E265" s="228">
        <v>8.752394</v>
      </c>
      <c r="F265" s="228">
        <v>-2.33</v>
      </c>
      <c r="G265" s="228">
        <f t="shared" si="4"/>
        <v>6.422394</v>
      </c>
      <c r="H265" s="311" t="s">
        <v>970</v>
      </c>
    </row>
    <row r="266" s="131" customFormat="1" customHeight="1" spans="1:8">
      <c r="A266" s="78">
        <v>255</v>
      </c>
      <c r="B266" s="78" t="s">
        <v>624</v>
      </c>
      <c r="C266" s="142" t="s">
        <v>957</v>
      </c>
      <c r="D266" s="141" t="s">
        <v>971</v>
      </c>
      <c r="E266" s="228">
        <v>51.32634</v>
      </c>
      <c r="F266" s="228">
        <v>-19.12</v>
      </c>
      <c r="G266" s="228">
        <f t="shared" si="4"/>
        <v>32.20634</v>
      </c>
      <c r="H266" s="311"/>
    </row>
    <row r="267" s="131" customFormat="1" customHeight="1" spans="1:8">
      <c r="A267" s="78">
        <v>256</v>
      </c>
      <c r="B267" s="78" t="s">
        <v>624</v>
      </c>
      <c r="C267" s="70" t="s">
        <v>957</v>
      </c>
      <c r="D267" s="141" t="s">
        <v>962</v>
      </c>
      <c r="E267" s="228">
        <v>5.2</v>
      </c>
      <c r="F267" s="228">
        <v>-5.2</v>
      </c>
      <c r="G267" s="228">
        <f t="shared" si="4"/>
        <v>0</v>
      </c>
      <c r="H267" s="311"/>
    </row>
    <row r="268" s="131" customFormat="1" customHeight="1" spans="1:8">
      <c r="A268" s="78">
        <v>257</v>
      </c>
      <c r="B268" s="78" t="s">
        <v>624</v>
      </c>
      <c r="C268" s="142" t="s">
        <v>957</v>
      </c>
      <c r="D268" s="141" t="s">
        <v>972</v>
      </c>
      <c r="E268" s="228">
        <v>4</v>
      </c>
      <c r="F268" s="228">
        <v>-0.98</v>
      </c>
      <c r="G268" s="228">
        <f t="shared" si="4"/>
        <v>3.02</v>
      </c>
      <c r="H268" s="311" t="s">
        <v>970</v>
      </c>
    </row>
    <row r="269" s="131" customFormat="1" customHeight="1" spans="1:8">
      <c r="A269" s="78">
        <v>258</v>
      </c>
      <c r="B269" s="78" t="s">
        <v>624</v>
      </c>
      <c r="C269" s="142" t="s">
        <v>957</v>
      </c>
      <c r="D269" s="141" t="s">
        <v>960</v>
      </c>
      <c r="E269" s="228">
        <v>23.4856</v>
      </c>
      <c r="F269" s="228">
        <v>-23.4856</v>
      </c>
      <c r="G269" s="228">
        <f t="shared" si="4"/>
        <v>0</v>
      </c>
      <c r="H269" s="311"/>
    </row>
    <row r="270" s="131" customFormat="1" customHeight="1" spans="1:8">
      <c r="A270" s="78">
        <v>259</v>
      </c>
      <c r="B270" s="78" t="s">
        <v>624</v>
      </c>
      <c r="C270" s="142" t="s">
        <v>957</v>
      </c>
      <c r="D270" s="141" t="s">
        <v>973</v>
      </c>
      <c r="E270" s="228">
        <v>10</v>
      </c>
      <c r="F270" s="228">
        <v>-8</v>
      </c>
      <c r="G270" s="228">
        <f t="shared" si="4"/>
        <v>2</v>
      </c>
      <c r="H270" s="311"/>
    </row>
    <row r="271" s="131" customFormat="1" customHeight="1" spans="1:8">
      <c r="A271" s="78">
        <v>260</v>
      </c>
      <c r="B271" s="78" t="s">
        <v>624</v>
      </c>
      <c r="C271" s="142" t="s">
        <v>957</v>
      </c>
      <c r="D271" s="141" t="s">
        <v>974</v>
      </c>
      <c r="E271" s="228">
        <v>105.2858</v>
      </c>
      <c r="F271" s="228">
        <v>-105.2858</v>
      </c>
      <c r="G271" s="228">
        <f t="shared" si="4"/>
        <v>0</v>
      </c>
      <c r="H271" s="311"/>
    </row>
    <row r="272" s="131" customFormat="1" customHeight="1" spans="1:8">
      <c r="A272" s="78">
        <v>261</v>
      </c>
      <c r="B272" s="78" t="s">
        <v>624</v>
      </c>
      <c r="C272" s="142" t="s">
        <v>957</v>
      </c>
      <c r="D272" s="141" t="s">
        <v>975</v>
      </c>
      <c r="E272" s="228">
        <v>64</v>
      </c>
      <c r="F272" s="228">
        <v>-64</v>
      </c>
      <c r="G272" s="228">
        <f t="shared" si="4"/>
        <v>0</v>
      </c>
      <c r="H272" s="311"/>
    </row>
    <row r="273" s="131" customFormat="1" customHeight="1" spans="1:8">
      <c r="A273" s="78">
        <v>262</v>
      </c>
      <c r="B273" s="78" t="s">
        <v>624</v>
      </c>
      <c r="C273" s="142" t="s">
        <v>957</v>
      </c>
      <c r="D273" s="141" t="s">
        <v>976</v>
      </c>
      <c r="E273" s="228">
        <v>33</v>
      </c>
      <c r="F273" s="228">
        <v>-33</v>
      </c>
      <c r="G273" s="228">
        <f t="shared" si="4"/>
        <v>0</v>
      </c>
      <c r="H273" s="311"/>
    </row>
    <row r="274" s="131" customFormat="1" customHeight="1" spans="1:8">
      <c r="A274" s="78">
        <v>263</v>
      </c>
      <c r="B274" s="78" t="s">
        <v>624</v>
      </c>
      <c r="C274" s="70" t="s">
        <v>957</v>
      </c>
      <c r="D274" s="141" t="s">
        <v>977</v>
      </c>
      <c r="E274" s="228">
        <v>65.2413774</v>
      </c>
      <c r="F274" s="228">
        <v>-45.24</v>
      </c>
      <c r="G274" s="228">
        <f t="shared" si="4"/>
        <v>20.0013774</v>
      </c>
      <c r="H274" s="311"/>
    </row>
    <row r="275" s="131" customFormat="1" customHeight="1" spans="1:8">
      <c r="A275" s="78">
        <v>264</v>
      </c>
      <c r="B275" s="78" t="s">
        <v>624</v>
      </c>
      <c r="C275" s="70" t="s">
        <v>957</v>
      </c>
      <c r="D275" s="141" t="s">
        <v>978</v>
      </c>
      <c r="E275" s="228">
        <v>9</v>
      </c>
      <c r="F275" s="228">
        <v>15</v>
      </c>
      <c r="G275" s="228">
        <f t="shared" si="4"/>
        <v>24</v>
      </c>
      <c r="H275" s="311" t="s">
        <v>979</v>
      </c>
    </row>
    <row r="276" s="131" customFormat="1" customHeight="1" spans="1:8">
      <c r="A276" s="78">
        <v>265</v>
      </c>
      <c r="B276" s="78" t="s">
        <v>624</v>
      </c>
      <c r="C276" s="70" t="s">
        <v>957</v>
      </c>
      <c r="D276" s="141" t="s">
        <v>977</v>
      </c>
      <c r="E276" s="228">
        <v>517.2</v>
      </c>
      <c r="F276" s="228">
        <v>-517.2</v>
      </c>
      <c r="G276" s="228">
        <f t="shared" si="4"/>
        <v>0</v>
      </c>
      <c r="H276" s="311"/>
    </row>
    <row r="277" s="131" customFormat="1" customHeight="1" spans="1:8">
      <c r="A277" s="78">
        <v>266</v>
      </c>
      <c r="B277" s="78" t="s">
        <v>624</v>
      </c>
      <c r="C277" s="142" t="s">
        <v>957</v>
      </c>
      <c r="D277" s="141" t="s">
        <v>980</v>
      </c>
      <c r="E277" s="228">
        <v>7</v>
      </c>
      <c r="F277" s="228">
        <v>-2.8</v>
      </c>
      <c r="G277" s="228">
        <f t="shared" si="4"/>
        <v>4.2</v>
      </c>
      <c r="H277" s="311"/>
    </row>
    <row r="278" s="131" customFormat="1" customHeight="1" spans="1:8">
      <c r="A278" s="78">
        <v>267</v>
      </c>
      <c r="B278" s="78" t="s">
        <v>624</v>
      </c>
      <c r="C278" s="142" t="s">
        <v>957</v>
      </c>
      <c r="D278" s="141" t="s">
        <v>981</v>
      </c>
      <c r="E278" s="228">
        <v>59</v>
      </c>
      <c r="F278" s="228">
        <v>-34</v>
      </c>
      <c r="G278" s="228">
        <f t="shared" si="4"/>
        <v>25</v>
      </c>
      <c r="H278" s="311"/>
    </row>
    <row r="279" s="131" customFormat="1" customHeight="1" spans="1:8">
      <c r="A279" s="78">
        <v>268</v>
      </c>
      <c r="B279" s="78" t="s">
        <v>624</v>
      </c>
      <c r="C279" s="142" t="s">
        <v>957</v>
      </c>
      <c r="D279" s="141" t="s">
        <v>982</v>
      </c>
      <c r="E279" s="228">
        <v>20</v>
      </c>
      <c r="F279" s="228">
        <v>-3.09</v>
      </c>
      <c r="G279" s="228">
        <f t="shared" si="4"/>
        <v>16.91</v>
      </c>
      <c r="H279" s="311"/>
    </row>
    <row r="280" s="131" customFormat="1" customHeight="1" spans="1:8">
      <c r="A280" s="78">
        <v>269</v>
      </c>
      <c r="B280" s="78" t="s">
        <v>624</v>
      </c>
      <c r="C280" s="70" t="s">
        <v>957</v>
      </c>
      <c r="D280" s="141" t="s">
        <v>983</v>
      </c>
      <c r="E280" s="228">
        <v>51.62121</v>
      </c>
      <c r="F280" s="228">
        <v>-8.756</v>
      </c>
      <c r="G280" s="228">
        <f t="shared" si="4"/>
        <v>42.86521</v>
      </c>
      <c r="H280" s="311" t="s">
        <v>984</v>
      </c>
    </row>
    <row r="281" s="131" customFormat="1" customHeight="1" spans="1:8">
      <c r="A281" s="78">
        <v>270</v>
      </c>
      <c r="B281" s="78" t="s">
        <v>624</v>
      </c>
      <c r="C281" s="142" t="s">
        <v>957</v>
      </c>
      <c r="D281" s="141" t="s">
        <v>985</v>
      </c>
      <c r="E281" s="228">
        <v>13.0679935</v>
      </c>
      <c r="F281" s="228">
        <v>-13.0679935</v>
      </c>
      <c r="G281" s="228">
        <f t="shared" si="4"/>
        <v>0</v>
      </c>
      <c r="H281" s="311" t="s">
        <v>986</v>
      </c>
    </row>
    <row r="282" s="131" customFormat="1" customHeight="1" spans="1:8">
      <c r="A282" s="78">
        <v>271</v>
      </c>
      <c r="B282" s="78" t="s">
        <v>624</v>
      </c>
      <c r="C282" s="70" t="s">
        <v>957</v>
      </c>
      <c r="D282" s="141" t="s">
        <v>987</v>
      </c>
      <c r="E282" s="313">
        <v>3.5</v>
      </c>
      <c r="F282" s="313">
        <v>3.5</v>
      </c>
      <c r="G282" s="228">
        <f t="shared" si="4"/>
        <v>7</v>
      </c>
      <c r="H282" s="311" t="s">
        <v>988</v>
      </c>
    </row>
    <row r="283" s="131" customFormat="1" customHeight="1" spans="1:8">
      <c r="A283" s="78">
        <v>272</v>
      </c>
      <c r="B283" s="78" t="s">
        <v>624</v>
      </c>
      <c r="C283" s="142" t="s">
        <v>957</v>
      </c>
      <c r="D283" s="141" t="s">
        <v>989</v>
      </c>
      <c r="E283" s="228">
        <v>104.34288</v>
      </c>
      <c r="F283" s="228">
        <v>-104.34288</v>
      </c>
      <c r="G283" s="228">
        <f t="shared" si="4"/>
        <v>0</v>
      </c>
      <c r="H283" s="311"/>
    </row>
    <row r="284" s="131" customFormat="1" customHeight="1" spans="1:8">
      <c r="A284" s="78">
        <v>273</v>
      </c>
      <c r="B284" s="78" t="s">
        <v>814</v>
      </c>
      <c r="C284" s="142" t="s">
        <v>957</v>
      </c>
      <c r="D284" s="141" t="s">
        <v>990</v>
      </c>
      <c r="E284" s="228">
        <v>39</v>
      </c>
      <c r="F284" s="228">
        <v>-10</v>
      </c>
      <c r="G284" s="228">
        <f t="shared" si="4"/>
        <v>29</v>
      </c>
      <c r="H284" s="311"/>
    </row>
    <row r="285" s="131" customFormat="1" customHeight="1" spans="1:8">
      <c r="A285" s="78">
        <v>274</v>
      </c>
      <c r="B285" s="78" t="s">
        <v>624</v>
      </c>
      <c r="C285" s="70" t="s">
        <v>991</v>
      </c>
      <c r="D285" s="141" t="s">
        <v>992</v>
      </c>
      <c r="E285" s="228">
        <v>0</v>
      </c>
      <c r="F285" s="228">
        <v>50</v>
      </c>
      <c r="G285" s="228">
        <f t="shared" si="4"/>
        <v>50</v>
      </c>
      <c r="H285" s="311"/>
    </row>
    <row r="286" s="131" customFormat="1" customHeight="1" spans="1:8">
      <c r="A286" s="78">
        <v>275</v>
      </c>
      <c r="B286" s="78" t="s">
        <v>624</v>
      </c>
      <c r="C286" s="70" t="s">
        <v>991</v>
      </c>
      <c r="D286" s="141" t="s">
        <v>993</v>
      </c>
      <c r="E286" s="228">
        <v>11.0668895</v>
      </c>
      <c r="F286" s="228">
        <v>-11.0668895</v>
      </c>
      <c r="G286" s="228">
        <f t="shared" si="4"/>
        <v>0</v>
      </c>
      <c r="H286" s="311" t="s">
        <v>994</v>
      </c>
    </row>
    <row r="287" s="131" customFormat="1" customHeight="1" spans="1:8">
      <c r="A287" s="78">
        <v>276</v>
      </c>
      <c r="B287" s="78" t="s">
        <v>624</v>
      </c>
      <c r="C287" s="142" t="s">
        <v>991</v>
      </c>
      <c r="D287" s="141" t="s">
        <v>995</v>
      </c>
      <c r="E287" s="228">
        <v>70</v>
      </c>
      <c r="F287" s="228">
        <v>-70</v>
      </c>
      <c r="G287" s="228">
        <f t="shared" si="4"/>
        <v>0</v>
      </c>
      <c r="H287" s="311" t="s">
        <v>996</v>
      </c>
    </row>
    <row r="288" s="131" customFormat="1" customHeight="1" spans="1:8">
      <c r="A288" s="78">
        <v>277</v>
      </c>
      <c r="B288" s="78" t="s">
        <v>674</v>
      </c>
      <c r="C288" s="142" t="s">
        <v>997</v>
      </c>
      <c r="D288" s="141" t="s">
        <v>998</v>
      </c>
      <c r="E288" s="228">
        <v>0</v>
      </c>
      <c r="F288" s="228">
        <v>3</v>
      </c>
      <c r="G288" s="228">
        <f t="shared" si="4"/>
        <v>3</v>
      </c>
      <c r="H288" s="311"/>
    </row>
    <row r="289" s="131" customFormat="1" customHeight="1" spans="1:8">
      <c r="A289" s="78">
        <v>278</v>
      </c>
      <c r="B289" s="78" t="s">
        <v>624</v>
      </c>
      <c r="C289" s="142" t="s">
        <v>997</v>
      </c>
      <c r="D289" s="141" t="s">
        <v>999</v>
      </c>
      <c r="E289" s="228">
        <v>0</v>
      </c>
      <c r="F289" s="228">
        <v>20</v>
      </c>
      <c r="G289" s="228">
        <f t="shared" si="4"/>
        <v>20</v>
      </c>
      <c r="H289" s="311"/>
    </row>
    <row r="290" s="131" customFormat="1" customHeight="1" spans="1:8">
      <c r="A290" s="78">
        <v>279</v>
      </c>
      <c r="B290" s="78" t="s">
        <v>624</v>
      </c>
      <c r="C290" s="142" t="s">
        <v>1000</v>
      </c>
      <c r="D290" s="141" t="s">
        <v>1001</v>
      </c>
      <c r="E290" s="228">
        <v>943.4631087</v>
      </c>
      <c r="F290" s="228">
        <v>-772.98</v>
      </c>
      <c r="G290" s="228">
        <f t="shared" si="4"/>
        <v>170.4831087</v>
      </c>
      <c r="H290" s="311"/>
    </row>
    <row r="291" s="131" customFormat="1" customHeight="1" spans="1:8">
      <c r="A291" s="78">
        <v>280</v>
      </c>
      <c r="B291" s="78" t="s">
        <v>624</v>
      </c>
      <c r="C291" s="142" t="s">
        <v>1000</v>
      </c>
      <c r="D291" s="141" t="s">
        <v>1002</v>
      </c>
      <c r="E291" s="228">
        <v>36</v>
      </c>
      <c r="F291" s="228">
        <v>-26</v>
      </c>
      <c r="G291" s="228">
        <f t="shared" si="4"/>
        <v>10</v>
      </c>
      <c r="H291" s="311"/>
    </row>
    <row r="292" s="131" customFormat="1" customHeight="1" spans="1:8">
      <c r="A292" s="78">
        <v>281</v>
      </c>
      <c r="B292" s="78" t="s">
        <v>624</v>
      </c>
      <c r="C292" s="142" t="s">
        <v>1000</v>
      </c>
      <c r="D292" s="141" t="s">
        <v>1003</v>
      </c>
      <c r="E292" s="228">
        <v>881.39995</v>
      </c>
      <c r="F292" s="228">
        <v>-781.39995</v>
      </c>
      <c r="G292" s="228">
        <f t="shared" si="4"/>
        <v>100</v>
      </c>
      <c r="H292" s="311"/>
    </row>
    <row r="293" s="131" customFormat="1" customHeight="1" spans="1:8">
      <c r="A293" s="78">
        <v>282</v>
      </c>
      <c r="B293" s="78" t="s">
        <v>624</v>
      </c>
      <c r="C293" s="142" t="s">
        <v>1000</v>
      </c>
      <c r="D293" s="141" t="s">
        <v>1004</v>
      </c>
      <c r="E293" s="228">
        <v>185</v>
      </c>
      <c r="F293" s="228">
        <v>-100</v>
      </c>
      <c r="G293" s="228">
        <f t="shared" si="4"/>
        <v>85</v>
      </c>
      <c r="H293" s="311"/>
    </row>
    <row r="294" s="131" customFormat="1" customHeight="1" spans="1:8">
      <c r="A294" s="78">
        <v>283</v>
      </c>
      <c r="B294" s="78" t="s">
        <v>624</v>
      </c>
      <c r="C294" s="142" t="s">
        <v>1000</v>
      </c>
      <c r="D294" s="141" t="s">
        <v>1005</v>
      </c>
      <c r="E294" s="228">
        <v>369.8159</v>
      </c>
      <c r="F294" s="228">
        <v>-269.8159</v>
      </c>
      <c r="G294" s="228">
        <f t="shared" si="4"/>
        <v>100</v>
      </c>
      <c r="H294" s="311"/>
    </row>
    <row r="295" s="131" customFormat="1" customHeight="1" spans="1:8">
      <c r="A295" s="78">
        <v>284</v>
      </c>
      <c r="B295" s="78" t="s">
        <v>624</v>
      </c>
      <c r="C295" s="142" t="s">
        <v>1000</v>
      </c>
      <c r="D295" s="141" t="s">
        <v>1006</v>
      </c>
      <c r="E295" s="228">
        <v>0</v>
      </c>
      <c r="F295" s="228">
        <v>100</v>
      </c>
      <c r="G295" s="228">
        <f t="shared" si="4"/>
        <v>100</v>
      </c>
      <c r="H295" s="311"/>
    </row>
    <row r="296" s="131" customFormat="1" customHeight="1" spans="1:8">
      <c r="A296" s="78">
        <v>285</v>
      </c>
      <c r="B296" s="78" t="s">
        <v>674</v>
      </c>
      <c r="C296" s="142" t="s">
        <v>1007</v>
      </c>
      <c r="D296" s="141" t="s">
        <v>1008</v>
      </c>
      <c r="E296" s="228">
        <v>10</v>
      </c>
      <c r="F296" s="228">
        <v>-3</v>
      </c>
      <c r="G296" s="228">
        <f t="shared" si="4"/>
        <v>7</v>
      </c>
      <c r="H296" s="311"/>
    </row>
    <row r="297" s="131" customFormat="1" customHeight="1" spans="1:8">
      <c r="A297" s="78">
        <v>286</v>
      </c>
      <c r="B297" s="78" t="s">
        <v>1009</v>
      </c>
      <c r="C297" s="142" t="s">
        <v>1007</v>
      </c>
      <c r="D297" s="141" t="s">
        <v>1010</v>
      </c>
      <c r="E297" s="228">
        <v>28.76</v>
      </c>
      <c r="F297" s="312">
        <v>-0.12</v>
      </c>
      <c r="G297" s="228">
        <f t="shared" si="4"/>
        <v>28.64</v>
      </c>
      <c r="H297" s="311"/>
    </row>
    <row r="298" s="131" customFormat="1" customHeight="1" spans="1:8">
      <c r="A298" s="78">
        <v>287</v>
      </c>
      <c r="B298" s="78" t="s">
        <v>1009</v>
      </c>
      <c r="C298" s="142" t="s">
        <v>1007</v>
      </c>
      <c r="D298" s="141" t="s">
        <v>1011</v>
      </c>
      <c r="E298" s="228">
        <v>24</v>
      </c>
      <c r="F298" s="228">
        <v>-4.97</v>
      </c>
      <c r="G298" s="228">
        <f t="shared" si="4"/>
        <v>19.03</v>
      </c>
      <c r="H298" s="311"/>
    </row>
    <row r="299" s="131" customFormat="1" customHeight="1" spans="1:8">
      <c r="A299" s="78">
        <v>288</v>
      </c>
      <c r="B299" s="78" t="s">
        <v>1009</v>
      </c>
      <c r="C299" s="142" t="s">
        <v>1007</v>
      </c>
      <c r="D299" s="141" t="s">
        <v>1012</v>
      </c>
      <c r="E299" s="228">
        <v>28</v>
      </c>
      <c r="F299" s="228">
        <v>32</v>
      </c>
      <c r="G299" s="228">
        <f t="shared" si="4"/>
        <v>60</v>
      </c>
      <c r="H299" s="311" t="s">
        <v>1013</v>
      </c>
    </row>
    <row r="300" s="131" customFormat="1" customHeight="1" spans="1:8">
      <c r="A300" s="78">
        <v>289</v>
      </c>
      <c r="B300" s="78" t="s">
        <v>1009</v>
      </c>
      <c r="C300" s="314" t="s">
        <v>1007</v>
      </c>
      <c r="D300" s="314" t="s">
        <v>1014</v>
      </c>
      <c r="E300" s="228">
        <v>51</v>
      </c>
      <c r="F300" s="228">
        <v>-20.85</v>
      </c>
      <c r="G300" s="228">
        <f t="shared" si="4"/>
        <v>30.15</v>
      </c>
      <c r="H300" s="315"/>
    </row>
    <row r="301" s="131" customFormat="1" customHeight="1" spans="1:8">
      <c r="A301" s="78">
        <v>290</v>
      </c>
      <c r="B301" s="78" t="s">
        <v>814</v>
      </c>
      <c r="C301" s="70" t="s">
        <v>1007</v>
      </c>
      <c r="D301" s="141" t="s">
        <v>1015</v>
      </c>
      <c r="E301" s="228">
        <v>23</v>
      </c>
      <c r="F301" s="228">
        <v>15</v>
      </c>
      <c r="G301" s="228">
        <f t="shared" si="4"/>
        <v>38</v>
      </c>
      <c r="H301" s="311"/>
    </row>
    <row r="302" s="131" customFormat="1" customHeight="1" spans="1:8">
      <c r="A302" s="78">
        <v>291</v>
      </c>
      <c r="B302" s="78" t="s">
        <v>626</v>
      </c>
      <c r="C302" s="142" t="s">
        <v>1016</v>
      </c>
      <c r="D302" s="141" t="s">
        <v>1017</v>
      </c>
      <c r="E302" s="228">
        <v>19.82</v>
      </c>
      <c r="F302" s="228">
        <v>-15.82</v>
      </c>
      <c r="G302" s="228">
        <f t="shared" si="4"/>
        <v>4</v>
      </c>
      <c r="H302" s="311"/>
    </row>
    <row r="303" s="131" customFormat="1" customHeight="1" spans="1:8">
      <c r="A303" s="78">
        <v>292</v>
      </c>
      <c r="B303" s="78" t="s">
        <v>626</v>
      </c>
      <c r="C303" s="70" t="s">
        <v>1016</v>
      </c>
      <c r="D303" s="70" t="s">
        <v>1018</v>
      </c>
      <c r="E303" s="228">
        <v>11.47</v>
      </c>
      <c r="F303" s="228">
        <v>-6.47</v>
      </c>
      <c r="G303" s="228">
        <f t="shared" si="4"/>
        <v>5</v>
      </c>
      <c r="H303" s="311"/>
    </row>
    <row r="304" s="131" customFormat="1" customHeight="1" spans="1:8">
      <c r="A304" s="78">
        <v>293</v>
      </c>
      <c r="B304" s="78" t="s">
        <v>626</v>
      </c>
      <c r="C304" s="142" t="s">
        <v>1016</v>
      </c>
      <c r="D304" s="141" t="s">
        <v>1019</v>
      </c>
      <c r="E304" s="228">
        <v>3</v>
      </c>
      <c r="F304" s="228">
        <v>-2</v>
      </c>
      <c r="G304" s="228">
        <f t="shared" si="4"/>
        <v>1</v>
      </c>
      <c r="H304" s="311"/>
    </row>
    <row r="305" s="131" customFormat="1" customHeight="1" spans="1:8">
      <c r="A305" s="78">
        <v>294</v>
      </c>
      <c r="B305" s="78" t="s">
        <v>626</v>
      </c>
      <c r="C305" s="142" t="s">
        <v>1016</v>
      </c>
      <c r="D305" s="141" t="s">
        <v>1020</v>
      </c>
      <c r="E305" s="228">
        <v>2</v>
      </c>
      <c r="F305" s="228">
        <v>-2</v>
      </c>
      <c r="G305" s="228">
        <f t="shared" si="4"/>
        <v>0</v>
      </c>
      <c r="H305" s="311"/>
    </row>
    <row r="306" s="131" customFormat="1" customHeight="1" spans="1:8">
      <c r="A306" s="78">
        <v>295</v>
      </c>
      <c r="B306" s="78" t="s">
        <v>626</v>
      </c>
      <c r="C306" s="142" t="s">
        <v>1016</v>
      </c>
      <c r="D306" s="141" t="s">
        <v>1021</v>
      </c>
      <c r="E306" s="228">
        <v>3</v>
      </c>
      <c r="F306" s="228">
        <v>-2</v>
      </c>
      <c r="G306" s="228">
        <f t="shared" si="4"/>
        <v>1</v>
      </c>
      <c r="H306" s="311"/>
    </row>
    <row r="307" s="131" customFormat="1" customHeight="1" spans="1:8">
      <c r="A307" s="78">
        <v>296</v>
      </c>
      <c r="B307" s="78" t="s">
        <v>626</v>
      </c>
      <c r="C307" s="142" t="s">
        <v>1016</v>
      </c>
      <c r="D307" s="141" t="s">
        <v>699</v>
      </c>
      <c r="E307" s="228">
        <v>20</v>
      </c>
      <c r="F307" s="228">
        <v>-5</v>
      </c>
      <c r="G307" s="228">
        <f t="shared" si="4"/>
        <v>15</v>
      </c>
      <c r="H307" s="311"/>
    </row>
    <row r="308" s="131" customFormat="1" customHeight="1" spans="1:8">
      <c r="A308" s="78">
        <v>297</v>
      </c>
      <c r="B308" s="78" t="s">
        <v>626</v>
      </c>
      <c r="C308" s="142" t="s">
        <v>1016</v>
      </c>
      <c r="D308" s="141" t="s">
        <v>1022</v>
      </c>
      <c r="E308" s="228">
        <v>10</v>
      </c>
      <c r="F308" s="228">
        <v>-10</v>
      </c>
      <c r="G308" s="228">
        <f t="shared" si="4"/>
        <v>0</v>
      </c>
      <c r="H308" s="311"/>
    </row>
    <row r="309" s="131" customFormat="1" customHeight="1" spans="1:8">
      <c r="A309" s="78">
        <v>298</v>
      </c>
      <c r="B309" s="78" t="s">
        <v>626</v>
      </c>
      <c r="C309" s="142" t="s">
        <v>1016</v>
      </c>
      <c r="D309" s="141" t="s">
        <v>1023</v>
      </c>
      <c r="E309" s="228">
        <v>15</v>
      </c>
      <c r="F309" s="228">
        <v>-13</v>
      </c>
      <c r="G309" s="228">
        <f t="shared" si="4"/>
        <v>2</v>
      </c>
      <c r="H309" s="311"/>
    </row>
    <row r="310" s="131" customFormat="1" customHeight="1" spans="1:8">
      <c r="A310" s="78">
        <v>299</v>
      </c>
      <c r="B310" s="78" t="s">
        <v>626</v>
      </c>
      <c r="C310" s="142" t="s">
        <v>1016</v>
      </c>
      <c r="D310" s="141" t="s">
        <v>1024</v>
      </c>
      <c r="E310" s="228">
        <v>2</v>
      </c>
      <c r="F310" s="228">
        <v>-2</v>
      </c>
      <c r="G310" s="228">
        <f t="shared" si="4"/>
        <v>0</v>
      </c>
      <c r="H310" s="311"/>
    </row>
    <row r="311" s="131" customFormat="1" customHeight="1" spans="1:8">
      <c r="A311" s="78">
        <v>300</v>
      </c>
      <c r="B311" s="78" t="s">
        <v>626</v>
      </c>
      <c r="C311" s="142" t="s">
        <v>1016</v>
      </c>
      <c r="D311" s="141" t="s">
        <v>1025</v>
      </c>
      <c r="E311" s="228">
        <v>5</v>
      </c>
      <c r="F311" s="228">
        <v>-3</v>
      </c>
      <c r="G311" s="228">
        <f t="shared" si="4"/>
        <v>2</v>
      </c>
      <c r="H311" s="311"/>
    </row>
    <row r="312" s="131" customFormat="1" customHeight="1" spans="1:8">
      <c r="A312" s="78">
        <v>301</v>
      </c>
      <c r="B312" s="78" t="s">
        <v>1009</v>
      </c>
      <c r="C312" s="142" t="s">
        <v>1026</v>
      </c>
      <c r="D312" s="141" t="s">
        <v>1027</v>
      </c>
      <c r="E312" s="228">
        <v>3.38448</v>
      </c>
      <c r="F312" s="312">
        <v>-0.02112</v>
      </c>
      <c r="G312" s="228">
        <f t="shared" si="4"/>
        <v>3.36336</v>
      </c>
      <c r="H312" s="311"/>
    </row>
    <row r="313" s="131" customFormat="1" customHeight="1" spans="1:8">
      <c r="A313" s="78">
        <v>302</v>
      </c>
      <c r="B313" s="78" t="s">
        <v>1009</v>
      </c>
      <c r="C313" s="142" t="s">
        <v>1026</v>
      </c>
      <c r="D313" s="141" t="s">
        <v>1028</v>
      </c>
      <c r="E313" s="228">
        <v>3.29982</v>
      </c>
      <c r="F313" s="312">
        <v>-0.0258</v>
      </c>
      <c r="G313" s="228">
        <f t="shared" si="4"/>
        <v>3.27402</v>
      </c>
      <c r="H313" s="311"/>
    </row>
    <row r="314" s="131" customFormat="1" customHeight="1" spans="1:8">
      <c r="A314" s="78">
        <v>303</v>
      </c>
      <c r="B314" s="78" t="s">
        <v>1009</v>
      </c>
      <c r="C314" s="142" t="s">
        <v>1026</v>
      </c>
      <c r="D314" s="141" t="s">
        <v>1029</v>
      </c>
      <c r="E314" s="228">
        <v>110</v>
      </c>
      <c r="F314" s="228">
        <v>-13.926204</v>
      </c>
      <c r="G314" s="228">
        <f t="shared" si="4"/>
        <v>96.073796</v>
      </c>
      <c r="H314" s="311"/>
    </row>
    <row r="315" s="131" customFormat="1" customHeight="1" spans="1:8">
      <c r="A315" s="78">
        <v>304</v>
      </c>
      <c r="B315" s="78" t="s">
        <v>1009</v>
      </c>
      <c r="C315" s="314" t="s">
        <v>1026</v>
      </c>
      <c r="D315" s="314" t="s">
        <v>1030</v>
      </c>
      <c r="E315" s="228">
        <v>179</v>
      </c>
      <c r="F315" s="228">
        <v>70</v>
      </c>
      <c r="G315" s="228">
        <f t="shared" si="4"/>
        <v>249</v>
      </c>
      <c r="H315" s="315" t="s">
        <v>1031</v>
      </c>
    </row>
    <row r="316" s="131" customFormat="1" customHeight="1" spans="1:8">
      <c r="A316" s="78">
        <v>305</v>
      </c>
      <c r="B316" s="78" t="s">
        <v>1009</v>
      </c>
      <c r="C316" s="314" t="s">
        <v>1026</v>
      </c>
      <c r="D316" s="314" t="s">
        <v>1032</v>
      </c>
      <c r="E316" s="228">
        <v>6.8</v>
      </c>
      <c r="F316" s="228">
        <v>2.82</v>
      </c>
      <c r="G316" s="228">
        <f t="shared" si="4"/>
        <v>9.62</v>
      </c>
      <c r="H316" s="315" t="s">
        <v>1033</v>
      </c>
    </row>
    <row r="317" s="131" customFormat="1" customHeight="1" spans="1:8">
      <c r="A317" s="78">
        <v>306</v>
      </c>
      <c r="B317" s="78" t="s">
        <v>1009</v>
      </c>
      <c r="C317" s="314" t="s">
        <v>1026</v>
      </c>
      <c r="D317" s="314" t="s">
        <v>1034</v>
      </c>
      <c r="E317" s="228">
        <v>4.368</v>
      </c>
      <c r="F317" s="228">
        <v>-1.924</v>
      </c>
      <c r="G317" s="228">
        <f t="shared" si="4"/>
        <v>2.444</v>
      </c>
      <c r="H317" s="315"/>
    </row>
    <row r="318" s="131" customFormat="1" customHeight="1" spans="1:8">
      <c r="A318" s="78">
        <v>307</v>
      </c>
      <c r="B318" s="78" t="s">
        <v>1009</v>
      </c>
      <c r="C318" s="142" t="s">
        <v>1026</v>
      </c>
      <c r="D318" s="141" t="s">
        <v>1035</v>
      </c>
      <c r="E318" s="228">
        <v>56</v>
      </c>
      <c r="F318" s="228">
        <v>-4.97</v>
      </c>
      <c r="G318" s="228">
        <f t="shared" si="4"/>
        <v>51.03</v>
      </c>
      <c r="H318" s="311"/>
    </row>
    <row r="319" s="131" customFormat="1" customHeight="1" spans="1:8">
      <c r="A319" s="78">
        <v>308</v>
      </c>
      <c r="B319" s="78" t="s">
        <v>1009</v>
      </c>
      <c r="C319" s="142" t="s">
        <v>1026</v>
      </c>
      <c r="D319" s="141" t="s">
        <v>1036</v>
      </c>
      <c r="E319" s="228">
        <v>65</v>
      </c>
      <c r="F319" s="228">
        <v>-30</v>
      </c>
      <c r="G319" s="228">
        <f t="shared" si="4"/>
        <v>35</v>
      </c>
      <c r="H319" s="311"/>
    </row>
    <row r="320" s="131" customFormat="1" customHeight="1" spans="1:8">
      <c r="A320" s="78">
        <v>309</v>
      </c>
      <c r="B320" s="78" t="s">
        <v>1009</v>
      </c>
      <c r="C320" s="142" t="s">
        <v>1026</v>
      </c>
      <c r="D320" s="141" t="s">
        <v>1037</v>
      </c>
      <c r="E320" s="228">
        <v>36.56</v>
      </c>
      <c r="F320" s="228">
        <v>-0.792</v>
      </c>
      <c r="G320" s="228">
        <f t="shared" si="4"/>
        <v>35.768</v>
      </c>
      <c r="H320" s="311"/>
    </row>
    <row r="321" s="131" customFormat="1" customHeight="1" spans="1:8">
      <c r="A321" s="78">
        <v>310</v>
      </c>
      <c r="B321" s="78" t="s">
        <v>1009</v>
      </c>
      <c r="C321" s="142" t="s">
        <v>1026</v>
      </c>
      <c r="D321" s="141" t="s">
        <v>1038</v>
      </c>
      <c r="E321" s="228">
        <v>7.12</v>
      </c>
      <c r="F321" s="312">
        <v>0.0002</v>
      </c>
      <c r="G321" s="228">
        <f t="shared" si="4"/>
        <v>7.1202</v>
      </c>
      <c r="H321" s="311" t="s">
        <v>1039</v>
      </c>
    </row>
    <row r="322" s="131" customFormat="1" customHeight="1" spans="1:8">
      <c r="A322" s="78">
        <v>311</v>
      </c>
      <c r="B322" s="78" t="s">
        <v>1009</v>
      </c>
      <c r="C322" s="142" t="s">
        <v>1026</v>
      </c>
      <c r="D322" s="141" t="s">
        <v>1040</v>
      </c>
      <c r="E322" s="228">
        <v>180</v>
      </c>
      <c r="F322" s="228">
        <v>-180</v>
      </c>
      <c r="G322" s="228">
        <f t="shared" si="4"/>
        <v>0</v>
      </c>
      <c r="H322" s="311" t="s">
        <v>1041</v>
      </c>
    </row>
    <row r="323" s="131" customFormat="1" customHeight="1" spans="1:8">
      <c r="A323" s="78">
        <v>312</v>
      </c>
      <c r="B323" s="78" t="s">
        <v>1009</v>
      </c>
      <c r="C323" s="314" t="s">
        <v>1026</v>
      </c>
      <c r="D323" s="314" t="s">
        <v>1042</v>
      </c>
      <c r="E323" s="228">
        <v>10.92</v>
      </c>
      <c r="F323" s="228">
        <v>-1.386585</v>
      </c>
      <c r="G323" s="228">
        <f t="shared" si="4"/>
        <v>9.533415</v>
      </c>
      <c r="H323" s="315"/>
    </row>
    <row r="324" s="131" customFormat="1" customHeight="1" spans="1:8">
      <c r="A324" s="78">
        <v>313</v>
      </c>
      <c r="B324" s="78" t="s">
        <v>1009</v>
      </c>
      <c r="C324" s="142" t="s">
        <v>1026</v>
      </c>
      <c r="D324" s="141" t="s">
        <v>1043</v>
      </c>
      <c r="E324" s="228">
        <v>8.4</v>
      </c>
      <c r="F324" s="228">
        <v>-2.552</v>
      </c>
      <c r="G324" s="228">
        <f t="shared" si="4"/>
        <v>5.848</v>
      </c>
      <c r="H324" s="311"/>
    </row>
    <row r="325" s="131" customFormat="1" customHeight="1" spans="1:8">
      <c r="A325" s="78">
        <v>314</v>
      </c>
      <c r="B325" s="78" t="s">
        <v>1009</v>
      </c>
      <c r="C325" s="142" t="s">
        <v>1026</v>
      </c>
      <c r="D325" s="141" t="s">
        <v>1044</v>
      </c>
      <c r="E325" s="228">
        <v>26.4</v>
      </c>
      <c r="F325" s="228">
        <v>-2.8</v>
      </c>
      <c r="G325" s="228">
        <f t="shared" ref="G325:G388" si="5">E325+F325</f>
        <v>23.6</v>
      </c>
      <c r="H325" s="311"/>
    </row>
    <row r="326" s="131" customFormat="1" customHeight="1" spans="1:8">
      <c r="A326" s="78">
        <v>315</v>
      </c>
      <c r="B326" s="78" t="s">
        <v>1009</v>
      </c>
      <c r="C326" s="142" t="s">
        <v>1026</v>
      </c>
      <c r="D326" s="141" t="s">
        <v>1045</v>
      </c>
      <c r="E326" s="228">
        <v>25.92</v>
      </c>
      <c r="F326" s="228">
        <v>-3.3</v>
      </c>
      <c r="G326" s="228">
        <f t="shared" si="5"/>
        <v>22.62</v>
      </c>
      <c r="H326" s="311"/>
    </row>
    <row r="327" s="131" customFormat="1" customHeight="1" spans="1:8">
      <c r="A327" s="78">
        <v>316</v>
      </c>
      <c r="B327" s="78" t="s">
        <v>1009</v>
      </c>
      <c r="C327" s="142" t="s">
        <v>1026</v>
      </c>
      <c r="D327" s="141" t="s">
        <v>1036</v>
      </c>
      <c r="E327" s="228">
        <v>10</v>
      </c>
      <c r="F327" s="228">
        <v>-10</v>
      </c>
      <c r="G327" s="228">
        <f t="shared" si="5"/>
        <v>0</v>
      </c>
      <c r="H327" s="311"/>
    </row>
    <row r="328" s="131" customFormat="1" customHeight="1" spans="1:8">
      <c r="A328" s="78">
        <v>317</v>
      </c>
      <c r="B328" s="78" t="s">
        <v>1009</v>
      </c>
      <c r="C328" s="314" t="s">
        <v>1026</v>
      </c>
      <c r="D328" s="314" t="s">
        <v>1046</v>
      </c>
      <c r="E328" s="228">
        <v>20</v>
      </c>
      <c r="F328" s="228">
        <v>3</v>
      </c>
      <c r="G328" s="228">
        <f t="shared" si="5"/>
        <v>23</v>
      </c>
      <c r="H328" s="315" t="s">
        <v>1047</v>
      </c>
    </row>
    <row r="329" s="131" customFormat="1" customHeight="1" spans="1:8">
      <c r="A329" s="78">
        <v>318</v>
      </c>
      <c r="B329" s="78" t="s">
        <v>1009</v>
      </c>
      <c r="C329" s="142" t="s">
        <v>1026</v>
      </c>
      <c r="D329" s="141" t="s">
        <v>1044</v>
      </c>
      <c r="E329" s="228">
        <v>25.33</v>
      </c>
      <c r="F329" s="312">
        <v>-0.0844</v>
      </c>
      <c r="G329" s="228">
        <f t="shared" si="5"/>
        <v>25.2456</v>
      </c>
      <c r="H329" s="311"/>
    </row>
    <row r="330" s="131" customFormat="1" customHeight="1" spans="1:8">
      <c r="A330" s="78">
        <v>319</v>
      </c>
      <c r="B330" s="78" t="s">
        <v>1009</v>
      </c>
      <c r="C330" s="142" t="s">
        <v>1048</v>
      </c>
      <c r="D330" s="141" t="s">
        <v>1049</v>
      </c>
      <c r="E330" s="228">
        <v>1000</v>
      </c>
      <c r="F330" s="228">
        <v>-936.59</v>
      </c>
      <c r="G330" s="228">
        <f t="shared" si="5"/>
        <v>63.41</v>
      </c>
      <c r="H330" s="311"/>
    </row>
    <row r="331" s="131" customFormat="1" customHeight="1" spans="1:8">
      <c r="A331" s="78">
        <v>320</v>
      </c>
      <c r="B331" s="78" t="s">
        <v>1009</v>
      </c>
      <c r="C331" s="142" t="s">
        <v>1048</v>
      </c>
      <c r="D331" s="141" t="s">
        <v>1050</v>
      </c>
      <c r="E331" s="228">
        <v>69</v>
      </c>
      <c r="F331" s="228">
        <v>-5.962</v>
      </c>
      <c r="G331" s="228">
        <f t="shared" si="5"/>
        <v>63.038</v>
      </c>
      <c r="H331" s="311"/>
    </row>
    <row r="332" s="131" customFormat="1" customHeight="1" spans="1:8">
      <c r="A332" s="78">
        <v>321</v>
      </c>
      <c r="B332" s="78" t="s">
        <v>1009</v>
      </c>
      <c r="C332" s="142" t="s">
        <v>1048</v>
      </c>
      <c r="D332" s="141" t="s">
        <v>1051</v>
      </c>
      <c r="E332" s="228">
        <v>40</v>
      </c>
      <c r="F332" s="228">
        <v>-20.77</v>
      </c>
      <c r="G332" s="228">
        <f t="shared" si="5"/>
        <v>19.23</v>
      </c>
      <c r="H332" s="311"/>
    </row>
    <row r="333" s="131" customFormat="1" customHeight="1" spans="1:8">
      <c r="A333" s="78">
        <v>322</v>
      </c>
      <c r="B333" s="78" t="s">
        <v>1009</v>
      </c>
      <c r="C333" s="142" t="s">
        <v>1048</v>
      </c>
      <c r="D333" s="141" t="s">
        <v>1052</v>
      </c>
      <c r="E333" s="228">
        <v>12</v>
      </c>
      <c r="F333" s="228">
        <v>-2.79185</v>
      </c>
      <c r="G333" s="228">
        <f t="shared" si="5"/>
        <v>9.20815</v>
      </c>
      <c r="H333" s="311"/>
    </row>
    <row r="334" s="131" customFormat="1" customHeight="1" spans="1:8">
      <c r="A334" s="78">
        <v>323</v>
      </c>
      <c r="B334" s="78" t="s">
        <v>1009</v>
      </c>
      <c r="C334" s="142" t="s">
        <v>1048</v>
      </c>
      <c r="D334" s="141" t="s">
        <v>1053</v>
      </c>
      <c r="E334" s="228">
        <v>3</v>
      </c>
      <c r="F334" s="228">
        <v>-2.298</v>
      </c>
      <c r="G334" s="228">
        <f t="shared" si="5"/>
        <v>0.702</v>
      </c>
      <c r="H334" s="311"/>
    </row>
    <row r="335" s="131" customFormat="1" customHeight="1" spans="1:8">
      <c r="A335" s="78">
        <v>324</v>
      </c>
      <c r="B335" s="78" t="s">
        <v>1009</v>
      </c>
      <c r="C335" s="142" t="s">
        <v>1048</v>
      </c>
      <c r="D335" s="141" t="s">
        <v>1054</v>
      </c>
      <c r="E335" s="228">
        <v>6.65</v>
      </c>
      <c r="F335" s="228">
        <v>-3.15</v>
      </c>
      <c r="G335" s="228">
        <f t="shared" si="5"/>
        <v>3.5</v>
      </c>
      <c r="H335" s="311"/>
    </row>
    <row r="336" s="131" customFormat="1" customHeight="1" spans="1:8">
      <c r="A336" s="78">
        <v>325</v>
      </c>
      <c r="B336" s="78" t="s">
        <v>1009</v>
      </c>
      <c r="C336" s="142" t="s">
        <v>1048</v>
      </c>
      <c r="D336" s="141" t="s">
        <v>1055</v>
      </c>
      <c r="E336" s="228">
        <v>45.6</v>
      </c>
      <c r="F336" s="228">
        <v>-4.66</v>
      </c>
      <c r="G336" s="228">
        <f t="shared" si="5"/>
        <v>40.94</v>
      </c>
      <c r="H336" s="311"/>
    </row>
    <row r="337" s="131" customFormat="1" customHeight="1" spans="1:8">
      <c r="A337" s="78">
        <v>326</v>
      </c>
      <c r="B337" s="78" t="s">
        <v>1009</v>
      </c>
      <c r="C337" s="142" t="s">
        <v>1048</v>
      </c>
      <c r="D337" s="141" t="s">
        <v>1056</v>
      </c>
      <c r="E337" s="228">
        <v>3</v>
      </c>
      <c r="F337" s="228">
        <v>-0.532</v>
      </c>
      <c r="G337" s="228">
        <f t="shared" si="5"/>
        <v>2.468</v>
      </c>
      <c r="H337" s="311"/>
    </row>
    <row r="338" s="131" customFormat="1" customHeight="1" spans="1:8">
      <c r="A338" s="78">
        <v>327</v>
      </c>
      <c r="B338" s="78" t="s">
        <v>1009</v>
      </c>
      <c r="C338" s="142" t="s">
        <v>1048</v>
      </c>
      <c r="D338" s="141" t="s">
        <v>1057</v>
      </c>
      <c r="E338" s="228">
        <v>6</v>
      </c>
      <c r="F338" s="228">
        <v>-0.64</v>
      </c>
      <c r="G338" s="228">
        <f t="shared" si="5"/>
        <v>5.36</v>
      </c>
      <c r="H338" s="311"/>
    </row>
    <row r="339" s="131" customFormat="1" customHeight="1" spans="1:8">
      <c r="A339" s="78">
        <v>328</v>
      </c>
      <c r="B339" s="78" t="s">
        <v>1009</v>
      </c>
      <c r="C339" s="142" t="s">
        <v>1048</v>
      </c>
      <c r="D339" s="141" t="s">
        <v>1058</v>
      </c>
      <c r="E339" s="228">
        <v>15</v>
      </c>
      <c r="F339" s="228">
        <v>-3</v>
      </c>
      <c r="G339" s="228">
        <f t="shared" si="5"/>
        <v>12</v>
      </c>
      <c r="H339" s="311"/>
    </row>
    <row r="340" s="131" customFormat="1" customHeight="1" spans="1:8">
      <c r="A340" s="78">
        <v>329</v>
      </c>
      <c r="B340" s="78" t="s">
        <v>1009</v>
      </c>
      <c r="C340" s="142" t="s">
        <v>1048</v>
      </c>
      <c r="D340" s="141" t="s">
        <v>1059</v>
      </c>
      <c r="E340" s="228">
        <v>33</v>
      </c>
      <c r="F340" s="228">
        <v>-3.062</v>
      </c>
      <c r="G340" s="228">
        <f t="shared" si="5"/>
        <v>29.938</v>
      </c>
      <c r="H340" s="311"/>
    </row>
    <row r="341" s="131" customFormat="1" customHeight="1" spans="1:8">
      <c r="A341" s="78">
        <v>330</v>
      </c>
      <c r="B341" s="78" t="s">
        <v>1009</v>
      </c>
      <c r="C341" s="314" t="s">
        <v>1048</v>
      </c>
      <c r="D341" s="314" t="s">
        <v>1060</v>
      </c>
      <c r="E341" s="228">
        <v>25.32</v>
      </c>
      <c r="F341" s="228">
        <v>1.45</v>
      </c>
      <c r="G341" s="228">
        <f t="shared" si="5"/>
        <v>26.77</v>
      </c>
      <c r="H341" s="315" t="s">
        <v>1061</v>
      </c>
    </row>
    <row r="342" s="131" customFormat="1" customHeight="1" spans="1:8">
      <c r="A342" s="78">
        <v>331</v>
      </c>
      <c r="B342" s="78" t="s">
        <v>1009</v>
      </c>
      <c r="C342" s="142" t="s">
        <v>1048</v>
      </c>
      <c r="D342" s="141" t="s">
        <v>1062</v>
      </c>
      <c r="E342" s="228">
        <v>60</v>
      </c>
      <c r="F342" s="228">
        <v>-30</v>
      </c>
      <c r="G342" s="228">
        <f t="shared" si="5"/>
        <v>30</v>
      </c>
      <c r="H342" s="311"/>
    </row>
    <row r="343" s="131" customFormat="1" customHeight="1" spans="1:8">
      <c r="A343" s="78">
        <v>332</v>
      </c>
      <c r="B343" s="78" t="s">
        <v>1009</v>
      </c>
      <c r="C343" s="142" t="s">
        <v>1048</v>
      </c>
      <c r="D343" s="141" t="s">
        <v>1063</v>
      </c>
      <c r="E343" s="228">
        <v>0</v>
      </c>
      <c r="F343" s="228">
        <v>21</v>
      </c>
      <c r="G343" s="228">
        <f t="shared" si="5"/>
        <v>21</v>
      </c>
      <c r="H343" s="311"/>
    </row>
    <row r="344" s="131" customFormat="1" customHeight="1" spans="1:8">
      <c r="A344" s="78">
        <v>333</v>
      </c>
      <c r="B344" s="78" t="s">
        <v>1009</v>
      </c>
      <c r="C344" s="142" t="s">
        <v>1048</v>
      </c>
      <c r="D344" s="141" t="s">
        <v>1064</v>
      </c>
      <c r="E344" s="228">
        <v>135</v>
      </c>
      <c r="F344" s="228">
        <v>-100</v>
      </c>
      <c r="G344" s="228">
        <f t="shared" si="5"/>
        <v>35</v>
      </c>
      <c r="H344" s="311"/>
    </row>
    <row r="345" s="131" customFormat="1" customHeight="1" spans="1:8">
      <c r="A345" s="78">
        <v>334</v>
      </c>
      <c r="B345" s="78" t="s">
        <v>1009</v>
      </c>
      <c r="C345" s="142" t="s">
        <v>1048</v>
      </c>
      <c r="D345" s="141" t="s">
        <v>1065</v>
      </c>
      <c r="E345" s="228">
        <v>1</v>
      </c>
      <c r="F345" s="228">
        <v>9</v>
      </c>
      <c r="G345" s="228">
        <f t="shared" si="5"/>
        <v>10</v>
      </c>
      <c r="H345" s="311" t="s">
        <v>1066</v>
      </c>
    </row>
    <row r="346" s="131" customFormat="1" customHeight="1" spans="1:8">
      <c r="A346" s="78">
        <v>335</v>
      </c>
      <c r="B346" s="78" t="s">
        <v>1009</v>
      </c>
      <c r="C346" s="142" t="s">
        <v>1048</v>
      </c>
      <c r="D346" s="141" t="s">
        <v>1067</v>
      </c>
      <c r="E346" s="228">
        <v>50</v>
      </c>
      <c r="F346" s="228">
        <v>-20.65</v>
      </c>
      <c r="G346" s="228">
        <f t="shared" si="5"/>
        <v>29.35</v>
      </c>
      <c r="H346" s="311"/>
    </row>
    <row r="347" s="131" customFormat="1" customHeight="1" spans="1:8">
      <c r="A347" s="78">
        <v>336</v>
      </c>
      <c r="B347" s="78" t="s">
        <v>1009</v>
      </c>
      <c r="C347" s="142" t="s">
        <v>1048</v>
      </c>
      <c r="D347" s="141" t="s">
        <v>1068</v>
      </c>
      <c r="E347" s="228">
        <v>56.052132</v>
      </c>
      <c r="F347" s="228">
        <v>-5.81</v>
      </c>
      <c r="G347" s="228">
        <f t="shared" si="5"/>
        <v>50.242132</v>
      </c>
      <c r="H347" s="311" t="s">
        <v>1069</v>
      </c>
    </row>
    <row r="348" s="131" customFormat="1" customHeight="1" spans="1:8">
      <c r="A348" s="78">
        <v>337</v>
      </c>
      <c r="B348" s="78" t="s">
        <v>1009</v>
      </c>
      <c r="C348" s="314" t="s">
        <v>1048</v>
      </c>
      <c r="D348" s="314" t="s">
        <v>1070</v>
      </c>
      <c r="E348" s="228">
        <v>141</v>
      </c>
      <c r="F348" s="228">
        <v>-131</v>
      </c>
      <c r="G348" s="228">
        <f t="shared" si="5"/>
        <v>10</v>
      </c>
      <c r="H348" s="315" t="s">
        <v>1071</v>
      </c>
    </row>
    <row r="349" s="131" customFormat="1" customHeight="1" spans="1:8">
      <c r="A349" s="78">
        <v>338</v>
      </c>
      <c r="B349" s="78" t="s">
        <v>1009</v>
      </c>
      <c r="C349" s="142" t="s">
        <v>1048</v>
      </c>
      <c r="D349" s="141" t="s">
        <v>1072</v>
      </c>
      <c r="E349" s="228">
        <v>80</v>
      </c>
      <c r="F349" s="228">
        <v>-45</v>
      </c>
      <c r="G349" s="228">
        <f t="shared" si="5"/>
        <v>35</v>
      </c>
      <c r="H349" s="311"/>
    </row>
    <row r="350" s="131" customFormat="1" customHeight="1" spans="1:8">
      <c r="A350" s="78">
        <v>339</v>
      </c>
      <c r="B350" s="78" t="s">
        <v>1009</v>
      </c>
      <c r="C350" s="142" t="s">
        <v>1048</v>
      </c>
      <c r="D350" s="141" t="s">
        <v>1073</v>
      </c>
      <c r="E350" s="228">
        <v>29.13</v>
      </c>
      <c r="F350" s="228">
        <v>-29.13</v>
      </c>
      <c r="G350" s="228">
        <f t="shared" si="5"/>
        <v>0</v>
      </c>
      <c r="H350" s="311"/>
    </row>
    <row r="351" s="131" customFormat="1" customHeight="1" spans="1:8">
      <c r="A351" s="78">
        <v>340</v>
      </c>
      <c r="B351" s="78" t="s">
        <v>1009</v>
      </c>
      <c r="C351" s="142" t="s">
        <v>1048</v>
      </c>
      <c r="D351" s="141" t="s">
        <v>1074</v>
      </c>
      <c r="E351" s="228">
        <v>158.00345</v>
      </c>
      <c r="F351" s="228">
        <v>-142.82</v>
      </c>
      <c r="G351" s="228">
        <f t="shared" si="5"/>
        <v>15.18345</v>
      </c>
      <c r="H351" s="311" t="s">
        <v>1075</v>
      </c>
    </row>
    <row r="352" s="131" customFormat="1" customHeight="1" spans="1:8">
      <c r="A352" s="78">
        <v>341</v>
      </c>
      <c r="B352" s="78" t="s">
        <v>1009</v>
      </c>
      <c r="C352" s="142" t="s">
        <v>1048</v>
      </c>
      <c r="D352" s="141" t="s">
        <v>1076</v>
      </c>
      <c r="E352" s="228">
        <v>4.77</v>
      </c>
      <c r="F352" s="312">
        <v>-0.07</v>
      </c>
      <c r="G352" s="228">
        <f t="shared" si="5"/>
        <v>4.7</v>
      </c>
      <c r="H352" s="311" t="s">
        <v>1077</v>
      </c>
    </row>
    <row r="353" s="131" customFormat="1" customHeight="1" spans="1:8">
      <c r="A353" s="78">
        <v>342</v>
      </c>
      <c r="B353" s="78" t="s">
        <v>814</v>
      </c>
      <c r="C353" s="70" t="s">
        <v>1048</v>
      </c>
      <c r="D353" s="141" t="s">
        <v>1078</v>
      </c>
      <c r="E353" s="228">
        <v>28.2115</v>
      </c>
      <c r="F353" s="228">
        <v>17</v>
      </c>
      <c r="G353" s="228">
        <f t="shared" si="5"/>
        <v>45.2115</v>
      </c>
      <c r="H353" s="311" t="s">
        <v>1079</v>
      </c>
    </row>
    <row r="354" s="131" customFormat="1" customHeight="1" spans="1:8">
      <c r="A354" s="78">
        <v>343</v>
      </c>
      <c r="B354" s="78" t="s">
        <v>1009</v>
      </c>
      <c r="C354" s="142" t="s">
        <v>1080</v>
      </c>
      <c r="D354" s="141" t="s">
        <v>1081</v>
      </c>
      <c r="E354" s="228">
        <v>27</v>
      </c>
      <c r="F354" s="228">
        <v>-27</v>
      </c>
      <c r="G354" s="228">
        <f t="shared" si="5"/>
        <v>0</v>
      </c>
      <c r="H354" s="311"/>
    </row>
    <row r="355" s="131" customFormat="1" customHeight="1" spans="1:8">
      <c r="A355" s="78">
        <v>344</v>
      </c>
      <c r="B355" s="78" t="s">
        <v>1009</v>
      </c>
      <c r="C355" s="314" t="s">
        <v>1080</v>
      </c>
      <c r="D355" s="314" t="s">
        <v>1082</v>
      </c>
      <c r="E355" s="228">
        <v>1.46</v>
      </c>
      <c r="F355" s="228">
        <v>-0.88</v>
      </c>
      <c r="G355" s="228">
        <f t="shared" si="5"/>
        <v>0.58</v>
      </c>
      <c r="H355" s="315"/>
    </row>
    <row r="356" s="131" customFormat="1" customHeight="1" spans="1:8">
      <c r="A356" s="78">
        <v>345</v>
      </c>
      <c r="B356" s="78" t="s">
        <v>1009</v>
      </c>
      <c r="C356" s="142" t="s">
        <v>1080</v>
      </c>
      <c r="D356" s="141" t="s">
        <v>1083</v>
      </c>
      <c r="E356" s="228">
        <v>10</v>
      </c>
      <c r="F356" s="228">
        <v>-10</v>
      </c>
      <c r="G356" s="228">
        <f t="shared" si="5"/>
        <v>0</v>
      </c>
      <c r="H356" s="311"/>
    </row>
    <row r="357" s="131" customFormat="1" customHeight="1" spans="1:8">
      <c r="A357" s="78">
        <v>346</v>
      </c>
      <c r="B357" s="78" t="s">
        <v>1009</v>
      </c>
      <c r="C357" s="142" t="s">
        <v>1084</v>
      </c>
      <c r="D357" s="141" t="s">
        <v>1085</v>
      </c>
      <c r="E357" s="228">
        <v>40</v>
      </c>
      <c r="F357" s="228">
        <v>-40</v>
      </c>
      <c r="G357" s="228">
        <f t="shared" si="5"/>
        <v>0</v>
      </c>
      <c r="H357" s="311"/>
    </row>
    <row r="358" s="131" customFormat="1" customHeight="1" spans="1:8">
      <c r="A358" s="78">
        <v>347</v>
      </c>
      <c r="B358" s="78" t="s">
        <v>1009</v>
      </c>
      <c r="C358" s="142" t="s">
        <v>1086</v>
      </c>
      <c r="D358" s="141" t="s">
        <v>1087</v>
      </c>
      <c r="E358" s="228">
        <v>35.19</v>
      </c>
      <c r="F358" s="228">
        <v>-35.19</v>
      </c>
      <c r="G358" s="228">
        <f t="shared" si="5"/>
        <v>0</v>
      </c>
      <c r="H358" s="311" t="s">
        <v>1088</v>
      </c>
    </row>
    <row r="359" s="131" customFormat="1" customHeight="1" spans="1:8">
      <c r="A359" s="78">
        <v>348</v>
      </c>
      <c r="B359" s="78" t="s">
        <v>1009</v>
      </c>
      <c r="C359" s="314" t="s">
        <v>1089</v>
      </c>
      <c r="D359" s="314" t="s">
        <v>1090</v>
      </c>
      <c r="E359" s="228">
        <v>14.49</v>
      </c>
      <c r="F359" s="228">
        <v>-9.49</v>
      </c>
      <c r="G359" s="228">
        <f t="shared" si="5"/>
        <v>5</v>
      </c>
      <c r="H359" s="315"/>
    </row>
    <row r="360" s="131" customFormat="1" customHeight="1" spans="1:8">
      <c r="A360" s="78">
        <v>349</v>
      </c>
      <c r="B360" s="78" t="s">
        <v>1009</v>
      </c>
      <c r="C360" s="314" t="s">
        <v>1089</v>
      </c>
      <c r="D360" s="314" t="s">
        <v>1091</v>
      </c>
      <c r="E360" s="228">
        <v>4.51</v>
      </c>
      <c r="F360" s="228">
        <v>-4.51</v>
      </c>
      <c r="G360" s="228">
        <f t="shared" si="5"/>
        <v>0</v>
      </c>
      <c r="H360" s="315"/>
    </row>
    <row r="361" s="131" customFormat="1" customHeight="1" spans="1:8">
      <c r="A361" s="78">
        <v>350</v>
      </c>
      <c r="B361" s="78" t="s">
        <v>814</v>
      </c>
      <c r="C361" s="70" t="s">
        <v>1089</v>
      </c>
      <c r="D361" s="141" t="s">
        <v>1092</v>
      </c>
      <c r="E361" s="228">
        <v>1000</v>
      </c>
      <c r="F361" s="228">
        <v>-380</v>
      </c>
      <c r="G361" s="228">
        <f t="shared" si="5"/>
        <v>620</v>
      </c>
      <c r="H361" s="311" t="s">
        <v>1093</v>
      </c>
    </row>
    <row r="362" s="131" customFormat="1" customHeight="1" spans="1:8">
      <c r="A362" s="78">
        <v>351</v>
      </c>
      <c r="B362" s="78" t="s">
        <v>814</v>
      </c>
      <c r="C362" s="70" t="s">
        <v>1094</v>
      </c>
      <c r="D362" s="141" t="s">
        <v>1092</v>
      </c>
      <c r="E362" s="228">
        <v>30</v>
      </c>
      <c r="F362" s="228">
        <v>-20.5248</v>
      </c>
      <c r="G362" s="228">
        <f t="shared" si="5"/>
        <v>9.4752</v>
      </c>
      <c r="H362" s="311" t="s">
        <v>1095</v>
      </c>
    </row>
    <row r="363" s="131" customFormat="1" customHeight="1" spans="1:8">
      <c r="A363" s="78">
        <v>352</v>
      </c>
      <c r="B363" s="78" t="s">
        <v>646</v>
      </c>
      <c r="C363" s="70" t="s">
        <v>1096</v>
      </c>
      <c r="D363" s="70" t="s">
        <v>1097</v>
      </c>
      <c r="E363" s="228">
        <v>34</v>
      </c>
      <c r="F363" s="228">
        <v>10</v>
      </c>
      <c r="G363" s="228">
        <f t="shared" si="5"/>
        <v>44</v>
      </c>
      <c r="H363" s="311"/>
    </row>
    <row r="364" s="131" customFormat="1" customHeight="1" spans="1:8">
      <c r="A364" s="78">
        <v>353</v>
      </c>
      <c r="B364" s="78" t="s">
        <v>646</v>
      </c>
      <c r="C364" s="70" t="s">
        <v>1096</v>
      </c>
      <c r="D364" s="70" t="s">
        <v>1098</v>
      </c>
      <c r="E364" s="228">
        <v>36</v>
      </c>
      <c r="F364" s="228">
        <v>24</v>
      </c>
      <c r="G364" s="228">
        <f t="shared" si="5"/>
        <v>60</v>
      </c>
      <c r="H364" s="311" t="s">
        <v>1099</v>
      </c>
    </row>
    <row r="365" s="131" customFormat="1" customHeight="1" spans="1:8">
      <c r="A365" s="78">
        <v>354</v>
      </c>
      <c r="B365" s="78" t="s">
        <v>646</v>
      </c>
      <c r="C365" s="142" t="s">
        <v>1096</v>
      </c>
      <c r="D365" s="141" t="s">
        <v>1100</v>
      </c>
      <c r="E365" s="228">
        <v>28</v>
      </c>
      <c r="F365" s="228">
        <v>-28</v>
      </c>
      <c r="G365" s="228">
        <f t="shared" si="5"/>
        <v>0</v>
      </c>
      <c r="H365" s="311"/>
    </row>
    <row r="366" s="131" customFormat="1" customHeight="1" spans="1:8">
      <c r="A366" s="78">
        <v>355</v>
      </c>
      <c r="B366" s="78" t="s">
        <v>674</v>
      </c>
      <c r="C366" s="142" t="s">
        <v>1096</v>
      </c>
      <c r="D366" s="70" t="s">
        <v>1101</v>
      </c>
      <c r="E366" s="228">
        <v>0</v>
      </c>
      <c r="F366" s="312">
        <v>0.0302</v>
      </c>
      <c r="G366" s="228">
        <f t="shared" si="5"/>
        <v>0.0302</v>
      </c>
      <c r="H366" s="311" t="s">
        <v>1102</v>
      </c>
    </row>
    <row r="367" s="131" customFormat="1" customHeight="1" spans="1:8">
      <c r="A367" s="78">
        <v>356</v>
      </c>
      <c r="B367" s="78" t="s">
        <v>646</v>
      </c>
      <c r="C367" s="70" t="s">
        <v>1103</v>
      </c>
      <c r="D367" s="70" t="s">
        <v>1104</v>
      </c>
      <c r="E367" s="228">
        <v>76.74</v>
      </c>
      <c r="F367" s="228">
        <v>-56.74</v>
      </c>
      <c r="G367" s="228">
        <f t="shared" si="5"/>
        <v>20</v>
      </c>
      <c r="H367" s="311"/>
    </row>
    <row r="368" s="131" customFormat="1" customHeight="1" spans="1:8">
      <c r="A368" s="78">
        <v>357</v>
      </c>
      <c r="B368" s="78" t="s">
        <v>646</v>
      </c>
      <c r="C368" s="70" t="s">
        <v>1103</v>
      </c>
      <c r="D368" s="141" t="s">
        <v>1105</v>
      </c>
      <c r="E368" s="228">
        <v>4.2</v>
      </c>
      <c r="F368" s="228">
        <v>-4.2</v>
      </c>
      <c r="G368" s="228">
        <f t="shared" si="5"/>
        <v>0</v>
      </c>
      <c r="H368" s="311"/>
    </row>
    <row r="369" s="131" customFormat="1" customHeight="1" spans="1:8">
      <c r="A369" s="78">
        <v>358</v>
      </c>
      <c r="B369" s="78" t="s">
        <v>646</v>
      </c>
      <c r="C369" s="70" t="s">
        <v>1103</v>
      </c>
      <c r="D369" s="70" t="s">
        <v>1106</v>
      </c>
      <c r="E369" s="228">
        <v>0</v>
      </c>
      <c r="F369" s="228">
        <v>10</v>
      </c>
      <c r="G369" s="228">
        <f t="shared" si="5"/>
        <v>10</v>
      </c>
      <c r="H369" s="311" t="s">
        <v>1107</v>
      </c>
    </row>
    <row r="370" s="131" customFormat="1" customHeight="1" spans="1:8">
      <c r="A370" s="78">
        <v>359</v>
      </c>
      <c r="B370" s="78" t="s">
        <v>646</v>
      </c>
      <c r="C370" s="70" t="s">
        <v>1103</v>
      </c>
      <c r="D370" s="141" t="s">
        <v>1108</v>
      </c>
      <c r="E370" s="228">
        <v>0</v>
      </c>
      <c r="F370" s="228">
        <v>15</v>
      </c>
      <c r="G370" s="228">
        <f t="shared" si="5"/>
        <v>15</v>
      </c>
      <c r="H370" s="311" t="s">
        <v>1109</v>
      </c>
    </row>
    <row r="371" s="131" customFormat="1" customHeight="1" spans="1:8">
      <c r="A371" s="78">
        <v>360</v>
      </c>
      <c r="B371" s="78" t="s">
        <v>1009</v>
      </c>
      <c r="C371" s="142" t="s">
        <v>1110</v>
      </c>
      <c r="D371" s="141" t="s">
        <v>1111</v>
      </c>
      <c r="E371" s="228">
        <v>6</v>
      </c>
      <c r="F371" s="228">
        <v>-2.665731</v>
      </c>
      <c r="G371" s="228">
        <f t="shared" si="5"/>
        <v>3.334269</v>
      </c>
      <c r="H371" s="311"/>
    </row>
    <row r="372" s="131" customFormat="1" customHeight="1" spans="1:8">
      <c r="A372" s="78">
        <v>361</v>
      </c>
      <c r="B372" s="78" t="s">
        <v>646</v>
      </c>
      <c r="C372" s="70" t="s">
        <v>1110</v>
      </c>
      <c r="D372" s="70" t="s">
        <v>1112</v>
      </c>
      <c r="E372" s="228">
        <v>25</v>
      </c>
      <c r="F372" s="228">
        <v>-18</v>
      </c>
      <c r="G372" s="228">
        <f t="shared" si="5"/>
        <v>7</v>
      </c>
      <c r="H372" s="311"/>
    </row>
    <row r="373" s="131" customFormat="1" customHeight="1" spans="1:8">
      <c r="A373" s="78">
        <v>362</v>
      </c>
      <c r="B373" s="78" t="s">
        <v>646</v>
      </c>
      <c r="C373" s="142" t="s">
        <v>1110</v>
      </c>
      <c r="D373" s="141" t="s">
        <v>1113</v>
      </c>
      <c r="E373" s="228">
        <v>10</v>
      </c>
      <c r="F373" s="228">
        <v>-10</v>
      </c>
      <c r="G373" s="228">
        <f t="shared" si="5"/>
        <v>0</v>
      </c>
      <c r="H373" s="311"/>
    </row>
    <row r="374" s="131" customFormat="1" customHeight="1" spans="1:8">
      <c r="A374" s="78">
        <v>363</v>
      </c>
      <c r="B374" s="78" t="s">
        <v>674</v>
      </c>
      <c r="C374" s="142" t="s">
        <v>1110</v>
      </c>
      <c r="D374" s="141" t="s">
        <v>1114</v>
      </c>
      <c r="E374" s="228">
        <v>3</v>
      </c>
      <c r="F374" s="312">
        <v>-0.46542</v>
      </c>
      <c r="G374" s="228">
        <f t="shared" si="5"/>
        <v>2.53458</v>
      </c>
      <c r="H374" s="311"/>
    </row>
    <row r="375" s="131" customFormat="1" customHeight="1" spans="1:8">
      <c r="A375" s="78">
        <v>364</v>
      </c>
      <c r="B375" s="78" t="s">
        <v>624</v>
      </c>
      <c r="C375" s="142" t="s">
        <v>1115</v>
      </c>
      <c r="D375" s="141" t="s">
        <v>1116</v>
      </c>
      <c r="E375" s="228">
        <v>100</v>
      </c>
      <c r="F375" s="228">
        <v>-70.03</v>
      </c>
      <c r="G375" s="228">
        <f t="shared" si="5"/>
        <v>29.97</v>
      </c>
      <c r="H375" s="311"/>
    </row>
    <row r="376" s="131" customFormat="1" customHeight="1" spans="1:8">
      <c r="A376" s="78">
        <v>365</v>
      </c>
      <c r="B376" s="78" t="s">
        <v>1009</v>
      </c>
      <c r="C376" s="142" t="s">
        <v>1115</v>
      </c>
      <c r="D376" s="141" t="s">
        <v>1117</v>
      </c>
      <c r="E376" s="228">
        <v>14.94504</v>
      </c>
      <c r="F376" s="312">
        <v>-0.1804</v>
      </c>
      <c r="G376" s="228">
        <f t="shared" si="5"/>
        <v>14.76464</v>
      </c>
      <c r="H376" s="311"/>
    </row>
    <row r="377" s="131" customFormat="1" customHeight="1" spans="1:8">
      <c r="A377" s="78">
        <v>366</v>
      </c>
      <c r="B377" s="78" t="s">
        <v>1009</v>
      </c>
      <c r="C377" s="142" t="s">
        <v>1115</v>
      </c>
      <c r="D377" s="141" t="s">
        <v>1118</v>
      </c>
      <c r="E377" s="228">
        <v>14.5254</v>
      </c>
      <c r="F377" s="312">
        <v>-0.3913</v>
      </c>
      <c r="G377" s="228">
        <f t="shared" si="5"/>
        <v>14.1341</v>
      </c>
      <c r="H377" s="311"/>
    </row>
    <row r="378" s="131" customFormat="1" customHeight="1" spans="1:8">
      <c r="A378" s="78">
        <v>367</v>
      </c>
      <c r="B378" s="78" t="s">
        <v>1009</v>
      </c>
      <c r="C378" s="314" t="s">
        <v>1115</v>
      </c>
      <c r="D378" s="314" t="s">
        <v>1119</v>
      </c>
      <c r="E378" s="228">
        <v>12.4</v>
      </c>
      <c r="F378" s="228">
        <v>-4</v>
      </c>
      <c r="G378" s="228">
        <f t="shared" si="5"/>
        <v>8.4</v>
      </c>
      <c r="H378" s="315" t="s">
        <v>1120</v>
      </c>
    </row>
    <row r="379" s="131" customFormat="1" customHeight="1" spans="1:8">
      <c r="A379" s="78">
        <v>368</v>
      </c>
      <c r="B379" s="78" t="s">
        <v>1009</v>
      </c>
      <c r="C379" s="142" t="s">
        <v>1115</v>
      </c>
      <c r="D379" s="141" t="s">
        <v>1121</v>
      </c>
      <c r="E379" s="228">
        <v>241</v>
      </c>
      <c r="F379" s="228">
        <v>-41</v>
      </c>
      <c r="G379" s="228">
        <f t="shared" si="5"/>
        <v>200</v>
      </c>
      <c r="H379" s="311" t="s">
        <v>1122</v>
      </c>
    </row>
    <row r="380" s="131" customFormat="1" customHeight="1" spans="1:8">
      <c r="A380" s="78">
        <v>369</v>
      </c>
      <c r="B380" s="78" t="s">
        <v>1009</v>
      </c>
      <c r="C380" s="142" t="s">
        <v>1115</v>
      </c>
      <c r="D380" s="141" t="s">
        <v>1123</v>
      </c>
      <c r="E380" s="228">
        <v>116</v>
      </c>
      <c r="F380" s="228">
        <v>6</v>
      </c>
      <c r="G380" s="228">
        <f t="shared" si="5"/>
        <v>122</v>
      </c>
      <c r="H380" s="311" t="s">
        <v>1124</v>
      </c>
    </row>
    <row r="381" s="131" customFormat="1" customHeight="1" spans="1:8">
      <c r="A381" s="78">
        <v>370</v>
      </c>
      <c r="B381" s="78" t="s">
        <v>1009</v>
      </c>
      <c r="C381" s="142" t="s">
        <v>1115</v>
      </c>
      <c r="D381" s="141" t="s">
        <v>1125</v>
      </c>
      <c r="E381" s="228">
        <v>485</v>
      </c>
      <c r="F381" s="228">
        <v>67</v>
      </c>
      <c r="G381" s="228">
        <f t="shared" si="5"/>
        <v>552</v>
      </c>
      <c r="H381" s="311" t="s">
        <v>1126</v>
      </c>
    </row>
    <row r="382" s="131" customFormat="1" customHeight="1" spans="1:8">
      <c r="A382" s="78">
        <v>371</v>
      </c>
      <c r="B382" s="78" t="s">
        <v>1009</v>
      </c>
      <c r="C382" s="142" t="s">
        <v>1115</v>
      </c>
      <c r="D382" s="141" t="s">
        <v>1127</v>
      </c>
      <c r="E382" s="228">
        <v>5</v>
      </c>
      <c r="F382" s="228">
        <v>10</v>
      </c>
      <c r="G382" s="228">
        <f t="shared" si="5"/>
        <v>15</v>
      </c>
      <c r="H382" s="311" t="s">
        <v>1128</v>
      </c>
    </row>
    <row r="383" s="131" customFormat="1" customHeight="1" spans="1:8">
      <c r="A383" s="78">
        <v>372</v>
      </c>
      <c r="B383" s="78" t="s">
        <v>1009</v>
      </c>
      <c r="C383" s="142" t="s">
        <v>1115</v>
      </c>
      <c r="D383" s="141" t="s">
        <v>1129</v>
      </c>
      <c r="E383" s="228">
        <v>57</v>
      </c>
      <c r="F383" s="228">
        <v>38</v>
      </c>
      <c r="G383" s="228">
        <f t="shared" si="5"/>
        <v>95</v>
      </c>
      <c r="H383" s="311" t="s">
        <v>1130</v>
      </c>
    </row>
    <row r="384" s="131" customFormat="1" customHeight="1" spans="1:8">
      <c r="A384" s="78">
        <v>373</v>
      </c>
      <c r="B384" s="78" t="s">
        <v>1009</v>
      </c>
      <c r="C384" s="142" t="s">
        <v>1115</v>
      </c>
      <c r="D384" s="141" t="s">
        <v>1131</v>
      </c>
      <c r="E384" s="228">
        <v>1</v>
      </c>
      <c r="F384" s="228">
        <v>3</v>
      </c>
      <c r="G384" s="228">
        <f t="shared" si="5"/>
        <v>4</v>
      </c>
      <c r="H384" s="311" t="s">
        <v>1132</v>
      </c>
    </row>
    <row r="385" s="131" customFormat="1" customHeight="1" spans="1:8">
      <c r="A385" s="78">
        <v>374</v>
      </c>
      <c r="B385" s="78" t="s">
        <v>1009</v>
      </c>
      <c r="C385" s="142" t="s">
        <v>1115</v>
      </c>
      <c r="D385" s="141" t="s">
        <v>1133</v>
      </c>
      <c r="E385" s="228">
        <v>400</v>
      </c>
      <c r="F385" s="228">
        <v>-32</v>
      </c>
      <c r="G385" s="228">
        <f t="shared" si="5"/>
        <v>368</v>
      </c>
      <c r="H385" s="311"/>
    </row>
    <row r="386" s="131" customFormat="1" customHeight="1" spans="1:8">
      <c r="A386" s="78">
        <v>375</v>
      </c>
      <c r="B386" s="78" t="s">
        <v>1009</v>
      </c>
      <c r="C386" s="142" t="s">
        <v>1115</v>
      </c>
      <c r="D386" s="141" t="s">
        <v>1134</v>
      </c>
      <c r="E386" s="228">
        <v>37.05</v>
      </c>
      <c r="F386" s="228">
        <v>-10</v>
      </c>
      <c r="G386" s="228">
        <f t="shared" si="5"/>
        <v>27.05</v>
      </c>
      <c r="H386" s="311"/>
    </row>
    <row r="387" s="131" customFormat="1" customHeight="1" spans="1:8">
      <c r="A387" s="78">
        <v>376</v>
      </c>
      <c r="B387" s="78" t="s">
        <v>1009</v>
      </c>
      <c r="C387" s="142" t="s">
        <v>1115</v>
      </c>
      <c r="D387" s="141" t="s">
        <v>1135</v>
      </c>
      <c r="E387" s="228">
        <v>208.22</v>
      </c>
      <c r="F387" s="228">
        <v>-19.5</v>
      </c>
      <c r="G387" s="228">
        <f t="shared" si="5"/>
        <v>188.72</v>
      </c>
      <c r="H387" s="311"/>
    </row>
    <row r="388" s="131" customFormat="1" customHeight="1" spans="1:8">
      <c r="A388" s="78">
        <v>377</v>
      </c>
      <c r="B388" s="78" t="s">
        <v>1009</v>
      </c>
      <c r="C388" s="314" t="s">
        <v>1115</v>
      </c>
      <c r="D388" s="314" t="s">
        <v>1136</v>
      </c>
      <c r="E388" s="228">
        <v>0</v>
      </c>
      <c r="F388" s="228">
        <v>2</v>
      </c>
      <c r="G388" s="228">
        <f t="shared" si="5"/>
        <v>2</v>
      </c>
      <c r="H388" s="315" t="s">
        <v>1137</v>
      </c>
    </row>
    <row r="389" s="131" customFormat="1" customHeight="1" spans="1:8">
      <c r="A389" s="78">
        <v>378</v>
      </c>
      <c r="B389" s="78" t="s">
        <v>1009</v>
      </c>
      <c r="C389" s="142" t="s">
        <v>1115</v>
      </c>
      <c r="D389" s="141" t="s">
        <v>1138</v>
      </c>
      <c r="E389" s="228">
        <v>34.56</v>
      </c>
      <c r="F389" s="228">
        <v>-18.72</v>
      </c>
      <c r="G389" s="228">
        <f t="shared" ref="G389:G452" si="6">E389+F389</f>
        <v>15.84</v>
      </c>
      <c r="H389" s="311"/>
    </row>
    <row r="390" s="131" customFormat="1" customHeight="1" spans="1:8">
      <c r="A390" s="78">
        <v>379</v>
      </c>
      <c r="B390" s="78" t="s">
        <v>1009</v>
      </c>
      <c r="C390" s="142" t="s">
        <v>1115</v>
      </c>
      <c r="D390" s="141" t="s">
        <v>1139</v>
      </c>
      <c r="E390" s="228">
        <v>143.1</v>
      </c>
      <c r="F390" s="228">
        <v>-100</v>
      </c>
      <c r="G390" s="228">
        <f t="shared" si="6"/>
        <v>43.1</v>
      </c>
      <c r="H390" s="311"/>
    </row>
    <row r="391" s="131" customFormat="1" customHeight="1" spans="1:8">
      <c r="A391" s="78">
        <v>380</v>
      </c>
      <c r="B391" s="78" t="s">
        <v>1009</v>
      </c>
      <c r="C391" s="314" t="s">
        <v>1140</v>
      </c>
      <c r="D391" s="314" t="s">
        <v>1141</v>
      </c>
      <c r="E391" s="228">
        <v>100</v>
      </c>
      <c r="F391" s="228">
        <v>-44.06</v>
      </c>
      <c r="G391" s="228">
        <f t="shared" si="6"/>
        <v>55.94</v>
      </c>
      <c r="H391" s="315"/>
    </row>
    <row r="392" s="131" customFormat="1" customHeight="1" spans="1:8">
      <c r="A392" s="78">
        <v>381</v>
      </c>
      <c r="B392" s="78" t="s">
        <v>814</v>
      </c>
      <c r="C392" s="142" t="s">
        <v>1140</v>
      </c>
      <c r="D392" s="141" t="s">
        <v>1142</v>
      </c>
      <c r="E392" s="228">
        <v>22.5</v>
      </c>
      <c r="F392" s="228">
        <v>-22.5</v>
      </c>
      <c r="G392" s="228">
        <f t="shared" si="6"/>
        <v>0</v>
      </c>
      <c r="H392" s="311"/>
    </row>
    <row r="393" s="131" customFormat="1" customHeight="1" spans="1:8">
      <c r="A393" s="78">
        <v>382</v>
      </c>
      <c r="B393" s="78" t="s">
        <v>814</v>
      </c>
      <c r="C393" s="142" t="s">
        <v>1140</v>
      </c>
      <c r="D393" s="141" t="s">
        <v>1143</v>
      </c>
      <c r="E393" s="228">
        <v>1000</v>
      </c>
      <c r="F393" s="228">
        <v>-240</v>
      </c>
      <c r="G393" s="228">
        <f t="shared" si="6"/>
        <v>760</v>
      </c>
      <c r="H393" s="311"/>
    </row>
    <row r="394" s="131" customFormat="1" customHeight="1" spans="1:8">
      <c r="A394" s="78">
        <v>383</v>
      </c>
      <c r="B394" s="78" t="s">
        <v>626</v>
      </c>
      <c r="C394" s="142" t="s">
        <v>1144</v>
      </c>
      <c r="D394" s="141" t="s">
        <v>1145</v>
      </c>
      <c r="E394" s="228">
        <v>15</v>
      </c>
      <c r="F394" s="228">
        <v>-5</v>
      </c>
      <c r="G394" s="228">
        <f t="shared" si="6"/>
        <v>10</v>
      </c>
      <c r="H394" s="311"/>
    </row>
    <row r="395" s="131" customFormat="1" customHeight="1" spans="1:8">
      <c r="A395" s="78">
        <v>384</v>
      </c>
      <c r="B395" s="78" t="s">
        <v>1009</v>
      </c>
      <c r="C395" s="314" t="s">
        <v>1146</v>
      </c>
      <c r="D395" s="314" t="s">
        <v>520</v>
      </c>
      <c r="E395" s="228">
        <v>5</v>
      </c>
      <c r="F395" s="228">
        <v>7.46</v>
      </c>
      <c r="G395" s="228">
        <f t="shared" si="6"/>
        <v>12.46</v>
      </c>
      <c r="H395" s="315"/>
    </row>
    <row r="396" s="131" customFormat="1" customHeight="1" spans="1:8">
      <c r="A396" s="78">
        <v>385</v>
      </c>
      <c r="B396" s="78" t="s">
        <v>1009</v>
      </c>
      <c r="C396" s="142" t="s">
        <v>1146</v>
      </c>
      <c r="D396" s="141" t="s">
        <v>1147</v>
      </c>
      <c r="E396" s="228">
        <v>50</v>
      </c>
      <c r="F396" s="228">
        <v>-30</v>
      </c>
      <c r="G396" s="228">
        <f t="shared" si="6"/>
        <v>20</v>
      </c>
      <c r="H396" s="311"/>
    </row>
    <row r="397" s="131" customFormat="1" customHeight="1" spans="1:8">
      <c r="A397" s="78">
        <v>386</v>
      </c>
      <c r="B397" s="78" t="s">
        <v>1009</v>
      </c>
      <c r="C397" s="314" t="s">
        <v>1146</v>
      </c>
      <c r="D397" s="314" t="s">
        <v>1148</v>
      </c>
      <c r="E397" s="228">
        <v>10</v>
      </c>
      <c r="F397" s="228">
        <v>-8</v>
      </c>
      <c r="G397" s="228">
        <f t="shared" si="6"/>
        <v>2</v>
      </c>
      <c r="H397" s="315"/>
    </row>
    <row r="398" s="131" customFormat="1" customHeight="1" spans="1:8">
      <c r="A398" s="78">
        <v>387</v>
      </c>
      <c r="B398" s="78" t="s">
        <v>1009</v>
      </c>
      <c r="C398" s="314" t="s">
        <v>1146</v>
      </c>
      <c r="D398" s="314" t="s">
        <v>1149</v>
      </c>
      <c r="E398" s="228">
        <v>150</v>
      </c>
      <c r="F398" s="228">
        <v>-15</v>
      </c>
      <c r="G398" s="228">
        <f t="shared" si="6"/>
        <v>135</v>
      </c>
      <c r="H398" s="315"/>
    </row>
    <row r="399" s="131" customFormat="1" customHeight="1" spans="1:8">
      <c r="A399" s="78">
        <v>388</v>
      </c>
      <c r="B399" s="78" t="s">
        <v>1009</v>
      </c>
      <c r="C399" s="142" t="s">
        <v>1146</v>
      </c>
      <c r="D399" s="141" t="s">
        <v>1150</v>
      </c>
      <c r="E399" s="228">
        <v>10</v>
      </c>
      <c r="F399" s="228">
        <v>-8</v>
      </c>
      <c r="G399" s="228">
        <f t="shared" si="6"/>
        <v>2</v>
      </c>
      <c r="H399" s="311"/>
    </row>
    <row r="400" s="131" customFormat="1" customHeight="1" spans="1:8">
      <c r="A400" s="78">
        <v>389</v>
      </c>
      <c r="B400" s="78" t="s">
        <v>1009</v>
      </c>
      <c r="C400" s="142" t="s">
        <v>1146</v>
      </c>
      <c r="D400" s="141" t="s">
        <v>1151</v>
      </c>
      <c r="E400" s="228">
        <v>10</v>
      </c>
      <c r="F400" s="228">
        <v>-3</v>
      </c>
      <c r="G400" s="228">
        <f t="shared" si="6"/>
        <v>7</v>
      </c>
      <c r="H400" s="311"/>
    </row>
    <row r="401" s="131" customFormat="1" customHeight="1" spans="1:8">
      <c r="A401" s="78">
        <v>390</v>
      </c>
      <c r="B401" s="78" t="s">
        <v>1009</v>
      </c>
      <c r="C401" s="142" t="s">
        <v>1146</v>
      </c>
      <c r="D401" s="141" t="s">
        <v>1152</v>
      </c>
      <c r="E401" s="228">
        <v>8.4</v>
      </c>
      <c r="F401" s="312">
        <v>-0.075</v>
      </c>
      <c r="G401" s="228">
        <f t="shared" si="6"/>
        <v>8.325</v>
      </c>
      <c r="H401" s="311"/>
    </row>
    <row r="402" s="131" customFormat="1" customHeight="1" spans="1:8">
      <c r="A402" s="78">
        <v>391</v>
      </c>
      <c r="B402" s="78" t="s">
        <v>1009</v>
      </c>
      <c r="C402" s="142" t="s">
        <v>1146</v>
      </c>
      <c r="D402" s="141" t="s">
        <v>520</v>
      </c>
      <c r="E402" s="228">
        <v>2.55</v>
      </c>
      <c r="F402" s="228">
        <v>-2.55</v>
      </c>
      <c r="G402" s="228">
        <f t="shared" si="6"/>
        <v>0</v>
      </c>
      <c r="H402" s="311"/>
    </row>
    <row r="403" s="131" customFormat="1" customHeight="1" spans="1:8">
      <c r="A403" s="78">
        <v>392</v>
      </c>
      <c r="B403" s="78" t="s">
        <v>626</v>
      </c>
      <c r="C403" s="142" t="s">
        <v>1153</v>
      </c>
      <c r="D403" s="141" t="s">
        <v>1154</v>
      </c>
      <c r="E403" s="228">
        <v>5</v>
      </c>
      <c r="F403" s="228">
        <v>-5</v>
      </c>
      <c r="G403" s="228">
        <f t="shared" si="6"/>
        <v>0</v>
      </c>
      <c r="H403" s="311"/>
    </row>
    <row r="404" s="131" customFormat="1" customHeight="1" spans="1:8">
      <c r="A404" s="78">
        <v>393</v>
      </c>
      <c r="B404" s="78" t="s">
        <v>626</v>
      </c>
      <c r="C404" s="142" t="s">
        <v>1153</v>
      </c>
      <c r="D404" s="141" t="s">
        <v>1155</v>
      </c>
      <c r="E404" s="228">
        <v>22</v>
      </c>
      <c r="F404" s="228">
        <v>-22</v>
      </c>
      <c r="G404" s="228">
        <f t="shared" si="6"/>
        <v>0</v>
      </c>
      <c r="H404" s="311"/>
    </row>
    <row r="405" s="131" customFormat="1" customHeight="1" spans="1:8">
      <c r="A405" s="78">
        <v>394</v>
      </c>
      <c r="B405" s="78" t="s">
        <v>626</v>
      </c>
      <c r="C405" s="142" t="s">
        <v>1153</v>
      </c>
      <c r="D405" s="141" t="s">
        <v>1156</v>
      </c>
      <c r="E405" s="228">
        <v>8</v>
      </c>
      <c r="F405" s="228">
        <v>-8</v>
      </c>
      <c r="G405" s="228">
        <f t="shared" si="6"/>
        <v>0</v>
      </c>
      <c r="H405" s="311"/>
    </row>
    <row r="406" s="131" customFormat="1" customHeight="1" spans="1:8">
      <c r="A406" s="78">
        <v>395</v>
      </c>
      <c r="B406" s="78" t="s">
        <v>626</v>
      </c>
      <c r="C406" s="142" t="s">
        <v>1153</v>
      </c>
      <c r="D406" s="141" t="s">
        <v>1157</v>
      </c>
      <c r="E406" s="228">
        <v>8</v>
      </c>
      <c r="F406" s="228">
        <v>-8</v>
      </c>
      <c r="G406" s="228">
        <f t="shared" si="6"/>
        <v>0</v>
      </c>
      <c r="H406" s="311"/>
    </row>
    <row r="407" s="131" customFormat="1" customHeight="1" spans="1:8">
      <c r="A407" s="78">
        <v>396</v>
      </c>
      <c r="B407" s="78" t="s">
        <v>626</v>
      </c>
      <c r="C407" s="142" t="s">
        <v>1158</v>
      </c>
      <c r="D407" s="141" t="s">
        <v>1159</v>
      </c>
      <c r="E407" s="228">
        <v>19</v>
      </c>
      <c r="F407" s="228">
        <v>-5</v>
      </c>
      <c r="G407" s="228">
        <f t="shared" si="6"/>
        <v>14</v>
      </c>
      <c r="H407" s="311"/>
    </row>
    <row r="408" s="131" customFormat="1" customHeight="1" spans="1:8">
      <c r="A408" s="78">
        <v>397</v>
      </c>
      <c r="B408" s="78" t="s">
        <v>626</v>
      </c>
      <c r="C408" s="142" t="s">
        <v>1158</v>
      </c>
      <c r="D408" s="141" t="s">
        <v>1160</v>
      </c>
      <c r="E408" s="228">
        <v>15</v>
      </c>
      <c r="F408" s="228">
        <v>-6.6</v>
      </c>
      <c r="G408" s="228">
        <f t="shared" si="6"/>
        <v>8.4</v>
      </c>
      <c r="H408" s="311"/>
    </row>
    <row r="409" s="131" customFormat="1" customHeight="1" spans="1:8">
      <c r="A409" s="78">
        <v>398</v>
      </c>
      <c r="B409" s="78" t="s">
        <v>626</v>
      </c>
      <c r="C409" s="142" t="s">
        <v>1158</v>
      </c>
      <c r="D409" s="141" t="s">
        <v>1161</v>
      </c>
      <c r="E409" s="228">
        <v>10</v>
      </c>
      <c r="F409" s="228">
        <v>-1.65</v>
      </c>
      <c r="G409" s="228">
        <f t="shared" si="6"/>
        <v>8.35</v>
      </c>
      <c r="H409" s="311"/>
    </row>
    <row r="410" s="131" customFormat="1" customHeight="1" spans="1:8">
      <c r="A410" s="78">
        <v>399</v>
      </c>
      <c r="B410" s="78" t="s">
        <v>646</v>
      </c>
      <c r="C410" s="70" t="s">
        <v>1162</v>
      </c>
      <c r="D410" s="70" t="s">
        <v>1163</v>
      </c>
      <c r="E410" s="228">
        <v>105</v>
      </c>
      <c r="F410" s="228">
        <v>-10</v>
      </c>
      <c r="G410" s="228">
        <f t="shared" si="6"/>
        <v>95</v>
      </c>
      <c r="H410" s="311"/>
    </row>
    <row r="411" s="131" customFormat="1" customHeight="1" spans="1:8">
      <c r="A411" s="78">
        <v>400</v>
      </c>
      <c r="B411" s="78" t="s">
        <v>646</v>
      </c>
      <c r="C411" s="70" t="s">
        <v>1162</v>
      </c>
      <c r="D411" s="70" t="s">
        <v>1164</v>
      </c>
      <c r="E411" s="228">
        <v>11</v>
      </c>
      <c r="F411" s="228">
        <v>-11</v>
      </c>
      <c r="G411" s="228">
        <f t="shared" si="6"/>
        <v>0</v>
      </c>
      <c r="H411" s="311"/>
    </row>
    <row r="412" s="131" customFormat="1" customHeight="1" spans="1:8">
      <c r="A412" s="78">
        <v>401</v>
      </c>
      <c r="B412" s="78" t="s">
        <v>646</v>
      </c>
      <c r="C412" s="70" t="s">
        <v>1162</v>
      </c>
      <c r="D412" s="70" t="s">
        <v>1165</v>
      </c>
      <c r="E412" s="228">
        <v>35</v>
      </c>
      <c r="F412" s="228">
        <v>5</v>
      </c>
      <c r="G412" s="228">
        <f t="shared" si="6"/>
        <v>40</v>
      </c>
      <c r="H412" s="311" t="s">
        <v>1166</v>
      </c>
    </row>
    <row r="413" s="131" customFormat="1" customHeight="1" spans="1:8">
      <c r="A413" s="78">
        <v>402</v>
      </c>
      <c r="B413" s="78" t="s">
        <v>630</v>
      </c>
      <c r="C413" s="142" t="s">
        <v>1167</v>
      </c>
      <c r="D413" s="141" t="s">
        <v>1168</v>
      </c>
      <c r="E413" s="228">
        <v>2800</v>
      </c>
      <c r="F413" s="228">
        <v>900</v>
      </c>
      <c r="G413" s="228">
        <f t="shared" si="6"/>
        <v>3700</v>
      </c>
      <c r="H413" s="311" t="s">
        <v>1169</v>
      </c>
    </row>
    <row r="414" s="131" customFormat="1" customHeight="1" spans="1:8">
      <c r="A414" s="78">
        <v>403</v>
      </c>
      <c r="B414" s="78" t="s">
        <v>1009</v>
      </c>
      <c r="C414" s="142" t="s">
        <v>1170</v>
      </c>
      <c r="D414" s="141" t="s">
        <v>1171</v>
      </c>
      <c r="E414" s="228">
        <v>3000</v>
      </c>
      <c r="F414" s="228">
        <v>-1250</v>
      </c>
      <c r="G414" s="228">
        <f t="shared" si="6"/>
        <v>1750</v>
      </c>
      <c r="H414" s="311"/>
    </row>
    <row r="415" s="131" customFormat="1" customHeight="1" spans="1:8">
      <c r="A415" s="78">
        <v>404</v>
      </c>
      <c r="B415" s="78" t="s">
        <v>626</v>
      </c>
      <c r="C415" s="142" t="s">
        <v>1172</v>
      </c>
      <c r="D415" s="141" t="s">
        <v>1173</v>
      </c>
      <c r="E415" s="228">
        <v>16.5794</v>
      </c>
      <c r="F415" s="228">
        <v>-0.52</v>
      </c>
      <c r="G415" s="228">
        <f t="shared" si="6"/>
        <v>16.0594</v>
      </c>
      <c r="H415" s="311"/>
    </row>
    <row r="416" s="131" customFormat="1" customHeight="1" spans="1:8">
      <c r="A416" s="78">
        <v>405</v>
      </c>
      <c r="B416" s="78" t="s">
        <v>626</v>
      </c>
      <c r="C416" s="142" t="s">
        <v>1172</v>
      </c>
      <c r="D416" s="141" t="s">
        <v>1174</v>
      </c>
      <c r="E416" s="228">
        <v>56.4</v>
      </c>
      <c r="F416" s="228">
        <v>-46.4</v>
      </c>
      <c r="G416" s="228">
        <f t="shared" si="6"/>
        <v>10</v>
      </c>
      <c r="H416" s="311"/>
    </row>
    <row r="417" s="131" customFormat="1" customHeight="1" spans="1:8">
      <c r="A417" s="78">
        <v>406</v>
      </c>
      <c r="B417" s="78" t="s">
        <v>626</v>
      </c>
      <c r="C417" s="142" t="s">
        <v>1172</v>
      </c>
      <c r="D417" s="141" t="s">
        <v>1175</v>
      </c>
      <c r="E417" s="228">
        <v>123.47</v>
      </c>
      <c r="F417" s="228">
        <v>-30.47</v>
      </c>
      <c r="G417" s="228">
        <f t="shared" si="6"/>
        <v>93</v>
      </c>
      <c r="H417" s="311"/>
    </row>
    <row r="418" s="131" customFormat="1" customHeight="1" spans="1:8">
      <c r="A418" s="78">
        <v>407</v>
      </c>
      <c r="B418" s="78" t="s">
        <v>626</v>
      </c>
      <c r="C418" s="142" t="s">
        <v>1172</v>
      </c>
      <c r="D418" s="141" t="s">
        <v>1176</v>
      </c>
      <c r="E418" s="228">
        <v>1.24</v>
      </c>
      <c r="F418" s="228">
        <v>-1.24</v>
      </c>
      <c r="G418" s="228">
        <f t="shared" si="6"/>
        <v>0</v>
      </c>
      <c r="H418" s="311"/>
    </row>
    <row r="419" s="131" customFormat="1" customHeight="1" spans="1:8">
      <c r="A419" s="78">
        <v>408</v>
      </c>
      <c r="B419" s="78" t="s">
        <v>626</v>
      </c>
      <c r="C419" s="142" t="s">
        <v>1172</v>
      </c>
      <c r="D419" s="141" t="s">
        <v>1177</v>
      </c>
      <c r="E419" s="228">
        <v>4.98</v>
      </c>
      <c r="F419" s="228">
        <v>-4.98</v>
      </c>
      <c r="G419" s="228">
        <f t="shared" si="6"/>
        <v>0</v>
      </c>
      <c r="H419" s="311"/>
    </row>
    <row r="420" s="131" customFormat="1" customHeight="1" spans="1:8">
      <c r="A420" s="78">
        <v>409</v>
      </c>
      <c r="B420" s="78" t="s">
        <v>626</v>
      </c>
      <c r="C420" s="142" t="s">
        <v>1172</v>
      </c>
      <c r="D420" s="141" t="s">
        <v>1178</v>
      </c>
      <c r="E420" s="228">
        <v>34.84</v>
      </c>
      <c r="F420" s="228">
        <v>-22.16</v>
      </c>
      <c r="G420" s="228">
        <f t="shared" si="6"/>
        <v>12.68</v>
      </c>
      <c r="H420" s="311"/>
    </row>
    <row r="421" s="131" customFormat="1" customHeight="1" spans="1:8">
      <c r="A421" s="78">
        <v>410</v>
      </c>
      <c r="B421" s="78" t="s">
        <v>626</v>
      </c>
      <c r="C421" s="142" t="s">
        <v>1172</v>
      </c>
      <c r="D421" s="141" t="s">
        <v>1179</v>
      </c>
      <c r="E421" s="228">
        <v>27.84</v>
      </c>
      <c r="F421" s="228">
        <v>-27.84</v>
      </c>
      <c r="G421" s="228">
        <f t="shared" si="6"/>
        <v>0</v>
      </c>
      <c r="H421" s="311"/>
    </row>
    <row r="422" s="131" customFormat="1" customHeight="1" spans="1:8">
      <c r="A422" s="78">
        <v>411</v>
      </c>
      <c r="B422" s="78" t="s">
        <v>626</v>
      </c>
      <c r="C422" s="142" t="s">
        <v>1172</v>
      </c>
      <c r="D422" s="141" t="s">
        <v>1180</v>
      </c>
      <c r="E422" s="228">
        <v>50</v>
      </c>
      <c r="F422" s="228">
        <v>-50</v>
      </c>
      <c r="G422" s="228">
        <f t="shared" si="6"/>
        <v>0</v>
      </c>
      <c r="H422" s="311"/>
    </row>
    <row r="423" s="131" customFormat="1" customHeight="1" spans="1:8">
      <c r="A423" s="78">
        <v>412</v>
      </c>
      <c r="B423" s="78" t="s">
        <v>626</v>
      </c>
      <c r="C423" s="142" t="s">
        <v>1172</v>
      </c>
      <c r="D423" s="141" t="s">
        <v>1181</v>
      </c>
      <c r="E423" s="228">
        <v>137</v>
      </c>
      <c r="F423" s="228">
        <v>-87</v>
      </c>
      <c r="G423" s="228">
        <f t="shared" si="6"/>
        <v>50</v>
      </c>
      <c r="H423" s="311"/>
    </row>
    <row r="424" s="131" customFormat="1" customHeight="1" spans="1:8">
      <c r="A424" s="78">
        <v>413</v>
      </c>
      <c r="B424" s="78" t="s">
        <v>626</v>
      </c>
      <c r="C424" s="142" t="s">
        <v>1182</v>
      </c>
      <c r="D424" s="141" t="s">
        <v>1183</v>
      </c>
      <c r="E424" s="228">
        <v>30</v>
      </c>
      <c r="F424" s="228">
        <v>-10</v>
      </c>
      <c r="G424" s="228">
        <f t="shared" si="6"/>
        <v>20</v>
      </c>
      <c r="H424" s="311"/>
    </row>
    <row r="425" s="131" customFormat="1" customHeight="1" spans="1:8">
      <c r="A425" s="78">
        <v>414</v>
      </c>
      <c r="B425" s="78" t="s">
        <v>626</v>
      </c>
      <c r="C425" s="142" t="s">
        <v>1182</v>
      </c>
      <c r="D425" s="141" t="s">
        <v>1184</v>
      </c>
      <c r="E425" s="228">
        <v>6.413088</v>
      </c>
      <c r="F425" s="228">
        <v>-2.95</v>
      </c>
      <c r="G425" s="228">
        <f t="shared" si="6"/>
        <v>3.463088</v>
      </c>
      <c r="H425" s="311"/>
    </row>
    <row r="426" s="131" customFormat="1" customHeight="1" spans="1:8">
      <c r="A426" s="78">
        <v>415</v>
      </c>
      <c r="B426" s="78" t="s">
        <v>1009</v>
      </c>
      <c r="C426" s="142" t="s">
        <v>1185</v>
      </c>
      <c r="D426" s="141" t="s">
        <v>1186</v>
      </c>
      <c r="E426" s="228">
        <v>838</v>
      </c>
      <c r="F426" s="228">
        <v>-35.7741</v>
      </c>
      <c r="G426" s="228">
        <f t="shared" si="6"/>
        <v>802.2259</v>
      </c>
      <c r="H426" s="311"/>
    </row>
    <row r="427" s="131" customFormat="1" customHeight="1" spans="1:8">
      <c r="A427" s="78">
        <v>416</v>
      </c>
      <c r="B427" s="78" t="s">
        <v>1009</v>
      </c>
      <c r="C427" s="314" t="s">
        <v>1185</v>
      </c>
      <c r="D427" s="314" t="s">
        <v>1187</v>
      </c>
      <c r="E427" s="228">
        <v>2.34</v>
      </c>
      <c r="F427" s="228">
        <v>8.7799</v>
      </c>
      <c r="G427" s="228">
        <f t="shared" si="6"/>
        <v>11.1199</v>
      </c>
      <c r="H427" s="315" t="s">
        <v>1188</v>
      </c>
    </row>
    <row r="428" s="131" customFormat="1" customHeight="1" spans="1:8">
      <c r="A428" s="78">
        <v>417</v>
      </c>
      <c r="B428" s="78" t="s">
        <v>1009</v>
      </c>
      <c r="C428" s="314" t="s">
        <v>1185</v>
      </c>
      <c r="D428" s="314" t="s">
        <v>1189</v>
      </c>
      <c r="E428" s="228">
        <v>0.08</v>
      </c>
      <c r="F428" s="312">
        <v>0.3088</v>
      </c>
      <c r="G428" s="228">
        <f t="shared" si="6"/>
        <v>0.3888</v>
      </c>
      <c r="H428" s="315" t="s">
        <v>1188</v>
      </c>
    </row>
    <row r="429" s="131" customFormat="1" customHeight="1" spans="1:8">
      <c r="A429" s="78">
        <v>418</v>
      </c>
      <c r="B429" s="78" t="s">
        <v>1190</v>
      </c>
      <c r="C429" s="70" t="s">
        <v>1191</v>
      </c>
      <c r="D429" s="141" t="s">
        <v>1192</v>
      </c>
      <c r="E429" s="228">
        <v>100.40385</v>
      </c>
      <c r="F429" s="228">
        <v>-30.4</v>
      </c>
      <c r="G429" s="228">
        <f t="shared" si="6"/>
        <v>70.00385</v>
      </c>
      <c r="H429" s="311"/>
    </row>
    <row r="430" s="131" customFormat="1" customHeight="1" spans="1:8">
      <c r="A430" s="78">
        <v>419</v>
      </c>
      <c r="B430" s="78" t="s">
        <v>624</v>
      </c>
      <c r="C430" s="70" t="s">
        <v>1191</v>
      </c>
      <c r="D430" s="141" t="s">
        <v>1193</v>
      </c>
      <c r="E430" s="228">
        <v>20</v>
      </c>
      <c r="F430" s="228">
        <v>-10</v>
      </c>
      <c r="G430" s="228">
        <f t="shared" si="6"/>
        <v>10</v>
      </c>
      <c r="H430" s="311"/>
    </row>
    <row r="431" s="131" customFormat="1" customHeight="1" spans="1:8">
      <c r="A431" s="78">
        <v>420</v>
      </c>
      <c r="B431" s="78" t="s">
        <v>624</v>
      </c>
      <c r="C431" s="70" t="s">
        <v>1191</v>
      </c>
      <c r="D431" s="141" t="s">
        <v>1194</v>
      </c>
      <c r="E431" s="228">
        <v>20</v>
      </c>
      <c r="F431" s="228">
        <v>-10</v>
      </c>
      <c r="G431" s="228">
        <f t="shared" si="6"/>
        <v>10</v>
      </c>
      <c r="H431" s="311"/>
    </row>
    <row r="432" s="131" customFormat="1" customHeight="1" spans="1:8">
      <c r="A432" s="78">
        <v>421</v>
      </c>
      <c r="B432" s="78" t="s">
        <v>624</v>
      </c>
      <c r="C432" s="70" t="s">
        <v>1191</v>
      </c>
      <c r="D432" s="141" t="s">
        <v>1195</v>
      </c>
      <c r="E432" s="228">
        <v>30</v>
      </c>
      <c r="F432" s="228">
        <v>-5</v>
      </c>
      <c r="G432" s="228">
        <f t="shared" si="6"/>
        <v>25</v>
      </c>
      <c r="H432" s="311"/>
    </row>
    <row r="433" s="131" customFormat="1" customHeight="1" spans="1:8">
      <c r="A433" s="78">
        <v>422</v>
      </c>
      <c r="B433" s="78" t="s">
        <v>646</v>
      </c>
      <c r="C433" s="142" t="s">
        <v>1191</v>
      </c>
      <c r="D433" s="141" t="s">
        <v>1196</v>
      </c>
      <c r="E433" s="228">
        <v>3200</v>
      </c>
      <c r="F433" s="228">
        <v>-600</v>
      </c>
      <c r="G433" s="228">
        <f t="shared" si="6"/>
        <v>2600</v>
      </c>
      <c r="H433" s="311"/>
    </row>
    <row r="434" s="131" customFormat="1" customHeight="1" spans="1:8">
      <c r="A434" s="78">
        <v>423</v>
      </c>
      <c r="B434" s="78" t="s">
        <v>674</v>
      </c>
      <c r="C434" s="142" t="s">
        <v>1191</v>
      </c>
      <c r="D434" s="141" t="s">
        <v>1197</v>
      </c>
      <c r="E434" s="228">
        <v>54</v>
      </c>
      <c r="F434" s="228">
        <v>-49</v>
      </c>
      <c r="G434" s="228">
        <f t="shared" si="6"/>
        <v>5</v>
      </c>
      <c r="H434" s="311"/>
    </row>
    <row r="435" s="131" customFormat="1" customHeight="1" spans="1:8">
      <c r="A435" s="78">
        <v>424</v>
      </c>
      <c r="B435" s="78" t="s">
        <v>626</v>
      </c>
      <c r="C435" s="142" t="s">
        <v>1191</v>
      </c>
      <c r="D435" s="141" t="s">
        <v>1198</v>
      </c>
      <c r="E435" s="228">
        <v>195</v>
      </c>
      <c r="F435" s="228">
        <v>-175</v>
      </c>
      <c r="G435" s="228">
        <f t="shared" si="6"/>
        <v>20</v>
      </c>
      <c r="H435" s="311"/>
    </row>
    <row r="436" s="131" customFormat="1" customHeight="1" spans="1:8">
      <c r="A436" s="78">
        <v>425</v>
      </c>
      <c r="B436" s="78" t="s">
        <v>626</v>
      </c>
      <c r="C436" s="142" t="s">
        <v>1191</v>
      </c>
      <c r="D436" s="141" t="s">
        <v>1199</v>
      </c>
      <c r="E436" s="228">
        <v>20</v>
      </c>
      <c r="F436" s="228">
        <v>-10</v>
      </c>
      <c r="G436" s="228">
        <f t="shared" si="6"/>
        <v>10</v>
      </c>
      <c r="H436" s="311"/>
    </row>
    <row r="437" s="131" customFormat="1" customHeight="1" spans="1:8">
      <c r="A437" s="78">
        <v>426</v>
      </c>
      <c r="B437" s="78" t="s">
        <v>626</v>
      </c>
      <c r="C437" s="142" t="s">
        <v>1191</v>
      </c>
      <c r="D437" s="141" t="s">
        <v>1200</v>
      </c>
      <c r="E437" s="228">
        <v>774</v>
      </c>
      <c r="F437" s="228">
        <v>-651</v>
      </c>
      <c r="G437" s="228">
        <f t="shared" si="6"/>
        <v>123</v>
      </c>
      <c r="H437" s="311"/>
    </row>
    <row r="438" s="131" customFormat="1" customHeight="1" spans="1:8">
      <c r="A438" s="78">
        <v>427</v>
      </c>
      <c r="B438" s="78" t="s">
        <v>626</v>
      </c>
      <c r="C438" s="142" t="s">
        <v>1191</v>
      </c>
      <c r="D438" s="141" t="s">
        <v>1201</v>
      </c>
      <c r="E438" s="228">
        <v>1585.3856</v>
      </c>
      <c r="F438" s="228">
        <v>-1254</v>
      </c>
      <c r="G438" s="228">
        <f t="shared" si="6"/>
        <v>331.3856</v>
      </c>
      <c r="H438" s="311"/>
    </row>
    <row r="439" s="131" customFormat="1" customHeight="1" spans="1:8">
      <c r="A439" s="78">
        <v>428</v>
      </c>
      <c r="B439" s="78" t="s">
        <v>630</v>
      </c>
      <c r="C439" s="142" t="s">
        <v>1191</v>
      </c>
      <c r="D439" s="141" t="s">
        <v>1202</v>
      </c>
      <c r="E439" s="228">
        <v>700</v>
      </c>
      <c r="F439" s="228">
        <v>-100</v>
      </c>
      <c r="G439" s="228">
        <f t="shared" si="6"/>
        <v>600</v>
      </c>
      <c r="H439" s="311" t="s">
        <v>1203</v>
      </c>
    </row>
    <row r="440" s="131" customFormat="1" customHeight="1" spans="1:8">
      <c r="A440" s="78">
        <v>429</v>
      </c>
      <c r="B440" s="78" t="s">
        <v>630</v>
      </c>
      <c r="C440" s="142" t="s">
        <v>1191</v>
      </c>
      <c r="D440" s="141" t="s">
        <v>1204</v>
      </c>
      <c r="E440" s="228">
        <v>16</v>
      </c>
      <c r="F440" s="228">
        <v>-16</v>
      </c>
      <c r="G440" s="228">
        <f t="shared" si="6"/>
        <v>0</v>
      </c>
      <c r="H440" s="311"/>
    </row>
    <row r="441" s="131" customFormat="1" customHeight="1" spans="1:8">
      <c r="A441" s="78">
        <v>430</v>
      </c>
      <c r="B441" s="78" t="s">
        <v>630</v>
      </c>
      <c r="C441" s="142" t="s">
        <v>1191</v>
      </c>
      <c r="D441" s="141" t="s">
        <v>593</v>
      </c>
      <c r="E441" s="228">
        <v>2400</v>
      </c>
      <c r="F441" s="228">
        <v>-2400</v>
      </c>
      <c r="G441" s="228">
        <f t="shared" si="6"/>
        <v>0</v>
      </c>
      <c r="H441" s="311"/>
    </row>
    <row r="442" s="131" customFormat="1" customHeight="1" spans="1:8">
      <c r="A442" s="78">
        <v>431</v>
      </c>
      <c r="B442" s="78" t="s">
        <v>630</v>
      </c>
      <c r="C442" s="142" t="s">
        <v>1191</v>
      </c>
      <c r="D442" s="141" t="s">
        <v>604</v>
      </c>
      <c r="E442" s="228">
        <v>4041.35</v>
      </c>
      <c r="F442" s="228">
        <v>163.92378</v>
      </c>
      <c r="G442" s="228">
        <f t="shared" si="6"/>
        <v>4205.27378</v>
      </c>
      <c r="H442" s="311"/>
    </row>
    <row r="443" s="131" customFormat="1" customHeight="1" spans="1:8">
      <c r="A443" s="78">
        <v>432</v>
      </c>
      <c r="B443" s="78" t="s">
        <v>630</v>
      </c>
      <c r="C443" s="142" t="s">
        <v>1191</v>
      </c>
      <c r="D443" s="141" t="s">
        <v>607</v>
      </c>
      <c r="E443" s="228">
        <v>100</v>
      </c>
      <c r="F443" s="228">
        <v>-83.138907</v>
      </c>
      <c r="G443" s="228">
        <f t="shared" si="6"/>
        <v>16.861093</v>
      </c>
      <c r="H443" s="311"/>
    </row>
    <row r="444" s="131" customFormat="1" customHeight="1" spans="1:8">
      <c r="A444" s="78">
        <v>433</v>
      </c>
      <c r="B444" s="78" t="s">
        <v>630</v>
      </c>
      <c r="C444" s="142" t="s">
        <v>1191</v>
      </c>
      <c r="D444" s="141" t="s">
        <v>1205</v>
      </c>
      <c r="E444" s="228">
        <v>180</v>
      </c>
      <c r="F444" s="228">
        <v>-180</v>
      </c>
      <c r="G444" s="228">
        <f t="shared" si="6"/>
        <v>0</v>
      </c>
      <c r="H444" s="311"/>
    </row>
    <row r="445" s="131" customFormat="1" customHeight="1" spans="1:8">
      <c r="A445" s="78">
        <v>434</v>
      </c>
      <c r="B445" s="78" t="s">
        <v>630</v>
      </c>
      <c r="C445" s="142" t="s">
        <v>1191</v>
      </c>
      <c r="D445" s="141" t="s">
        <v>1206</v>
      </c>
      <c r="E445" s="228">
        <v>0</v>
      </c>
      <c r="F445" s="228">
        <v>35.926475</v>
      </c>
      <c r="G445" s="228">
        <f t="shared" si="6"/>
        <v>35.926475</v>
      </c>
      <c r="H445" s="311" t="s">
        <v>1207</v>
      </c>
    </row>
    <row r="446" s="131" customFormat="1" customHeight="1" spans="1:8">
      <c r="A446" s="78">
        <v>435</v>
      </c>
      <c r="B446" s="78" t="s">
        <v>630</v>
      </c>
      <c r="C446" s="142" t="s">
        <v>1191</v>
      </c>
      <c r="D446" s="141" t="s">
        <v>1208</v>
      </c>
      <c r="E446" s="228">
        <v>0</v>
      </c>
      <c r="F446" s="228">
        <v>5</v>
      </c>
      <c r="G446" s="228">
        <f t="shared" si="6"/>
        <v>5</v>
      </c>
      <c r="H446" s="311" t="s">
        <v>1207</v>
      </c>
    </row>
    <row r="447" s="131" customFormat="1" customHeight="1" spans="1:8">
      <c r="A447" s="78">
        <v>436</v>
      </c>
      <c r="B447" s="78" t="s">
        <v>814</v>
      </c>
      <c r="C447" s="70" t="s">
        <v>1191</v>
      </c>
      <c r="D447" s="141" t="s">
        <v>1209</v>
      </c>
      <c r="E447" s="228">
        <v>141.7885</v>
      </c>
      <c r="F447" s="228">
        <v>-51.7885</v>
      </c>
      <c r="G447" s="228">
        <f t="shared" si="6"/>
        <v>90</v>
      </c>
      <c r="H447" s="311" t="s">
        <v>1210</v>
      </c>
    </row>
    <row r="448" s="131" customFormat="1" customHeight="1" spans="1:8">
      <c r="A448" s="78">
        <v>437</v>
      </c>
      <c r="B448" s="78" t="s">
        <v>1211</v>
      </c>
      <c r="C448" s="142" t="s">
        <v>1191</v>
      </c>
      <c r="D448" s="141" t="s">
        <v>1212</v>
      </c>
      <c r="E448" s="228">
        <v>1099.050494</v>
      </c>
      <c r="F448" s="228">
        <v>-206</v>
      </c>
      <c r="G448" s="228">
        <v>893.050494</v>
      </c>
      <c r="H448" s="311"/>
    </row>
  </sheetData>
  <autoFilter xmlns:etc="http://www.wps.cn/officeDocument/2017/etCustomData" ref="A4:H448" etc:filterBottomFollowUsedRange="0">
    <extLst/>
  </autoFilter>
  <mergeCells count="8">
    <mergeCell ref="A2:H2"/>
    <mergeCell ref="A5:D5"/>
    <mergeCell ref="A6:D6"/>
    <mergeCell ref="A7:D7"/>
    <mergeCell ref="A8:D8"/>
    <mergeCell ref="A9:D9"/>
    <mergeCell ref="A10:D10"/>
    <mergeCell ref="A11:D11"/>
  </mergeCells>
  <printOptions horizontalCentered="1"/>
  <pageMargins left="0.393055555555556" right="0.393055555555556" top="0.590277777777778" bottom="0.590277777777778" header="0.196527777777778" footer="0.196527777777778"/>
  <pageSetup paperSize="9" scale="69" fitToHeight="0" orientation="landscape" horizontalDpi="600"/>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32"/>
  <sheetViews>
    <sheetView showZeros="0" view="pageBreakPreview" zoomScaleNormal="80" topLeftCell="M1" workbookViewId="0">
      <pane ySplit="6" topLeftCell="A7" activePane="bottomLeft" state="frozen"/>
      <selection/>
      <selection pane="bottomLeft" activeCell="B1" sqref="B1"/>
    </sheetView>
  </sheetViews>
  <sheetFormatPr defaultColWidth="9" defaultRowHeight="30" customHeight="1"/>
  <cols>
    <col min="1" max="1" width="30.125" style="284" customWidth="1"/>
    <col min="2" max="3" width="8.125" style="288" customWidth="1"/>
    <col min="4" max="7" width="8.125" style="289" customWidth="1"/>
    <col min="8" max="8" width="7.875" style="289" customWidth="1"/>
    <col min="9" max="9" width="6.7" style="289" customWidth="1"/>
    <col min="10" max="10" width="5.75" style="289" customWidth="1"/>
    <col min="11" max="11" width="5.875" style="289" customWidth="1"/>
    <col min="12" max="12" width="6.7" style="289" customWidth="1"/>
    <col min="13" max="13" width="14.05" style="289" customWidth="1"/>
    <col min="14" max="15" width="7.625" style="289" customWidth="1"/>
    <col min="16" max="16" width="7.80833333333333" style="289" customWidth="1"/>
    <col min="17" max="17" width="5.375" style="289" customWidth="1"/>
    <col min="18" max="18" width="6.7" style="288" customWidth="1"/>
    <col min="19" max="25" width="6.7" style="289" customWidth="1"/>
    <col min="26" max="26" width="9.5" style="289" customWidth="1"/>
    <col min="27" max="27" width="6.7" style="289" customWidth="1"/>
    <col min="28" max="28" width="5.30833333333333" style="289" customWidth="1"/>
    <col min="29" max="29" width="7.95833333333333" style="289" customWidth="1"/>
    <col min="30" max="34" width="6.7" style="289" customWidth="1"/>
    <col min="35" max="35" width="6.7" style="284" customWidth="1"/>
    <col min="36" max="36" width="12" style="284"/>
    <col min="37" max="16384" width="9" style="284"/>
  </cols>
  <sheetData>
    <row r="1" s="284" customFormat="1" ht="20" customHeight="1" spans="1:34">
      <c r="A1" s="218" t="s">
        <v>1213</v>
      </c>
      <c r="B1" s="288"/>
      <c r="C1" s="288"/>
      <c r="D1" s="289"/>
      <c r="E1" s="289"/>
      <c r="F1" s="289"/>
      <c r="G1" s="289"/>
      <c r="H1" s="289"/>
      <c r="I1" s="289"/>
      <c r="J1" s="289"/>
      <c r="K1" s="289"/>
      <c r="L1" s="289"/>
      <c r="M1" s="289"/>
      <c r="N1" s="289"/>
      <c r="O1" s="289"/>
      <c r="P1" s="289"/>
      <c r="Q1" s="289"/>
      <c r="R1" s="288"/>
      <c r="S1" s="289"/>
      <c r="T1" s="289"/>
      <c r="U1" s="289"/>
      <c r="V1" s="289"/>
      <c r="W1" s="289"/>
      <c r="X1" s="289"/>
      <c r="Y1" s="289"/>
      <c r="Z1" s="289"/>
      <c r="AA1" s="289"/>
      <c r="AB1" s="289"/>
      <c r="AC1" s="289"/>
      <c r="AD1" s="289"/>
      <c r="AE1" s="289"/>
      <c r="AF1" s="289"/>
      <c r="AG1" s="289"/>
      <c r="AH1" s="289"/>
    </row>
    <row r="2" s="285" customFormat="1" customHeight="1" spans="1:35">
      <c r="A2" s="27" t="s">
        <v>1214</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row>
    <row r="3" s="284" customFormat="1" ht="20" customHeight="1" spans="2:35">
      <c r="B3" s="288"/>
      <c r="C3" s="288"/>
      <c r="D3" s="289"/>
      <c r="E3" s="289"/>
      <c r="F3" s="289"/>
      <c r="G3" s="289"/>
      <c r="H3" s="289"/>
      <c r="I3" s="289"/>
      <c r="J3" s="289"/>
      <c r="K3" s="289"/>
      <c r="L3" s="289"/>
      <c r="M3" s="289"/>
      <c r="N3" s="289"/>
      <c r="O3" s="289"/>
      <c r="P3" s="289"/>
      <c r="Q3" s="289"/>
      <c r="R3" s="288"/>
      <c r="S3" s="289"/>
      <c r="T3" s="289"/>
      <c r="U3" s="289"/>
      <c r="V3" s="289"/>
      <c r="W3" s="289"/>
      <c r="X3" s="289"/>
      <c r="Y3" s="289"/>
      <c r="Z3" s="289"/>
      <c r="AA3" s="289"/>
      <c r="AB3" s="289"/>
      <c r="AC3" s="289"/>
      <c r="AD3" s="289"/>
      <c r="AE3" s="289"/>
      <c r="AF3" s="289"/>
      <c r="AG3" s="289"/>
      <c r="AH3" s="192" t="s">
        <v>27</v>
      </c>
      <c r="AI3" s="192"/>
    </row>
    <row r="4" s="286" customFormat="1" customHeight="1" spans="1:35">
      <c r="A4" s="290" t="s">
        <v>614</v>
      </c>
      <c r="B4" s="291" t="s">
        <v>1215</v>
      </c>
      <c r="C4" s="292"/>
      <c r="D4" s="292"/>
      <c r="E4" s="292"/>
      <c r="F4" s="292"/>
      <c r="G4" s="293"/>
      <c r="H4" s="30" t="s">
        <v>1216</v>
      </c>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t="s">
        <v>34</v>
      </c>
    </row>
    <row r="5" s="286" customFormat="1" customHeight="1" spans="1:35">
      <c r="A5" s="290"/>
      <c r="B5" s="290" t="s">
        <v>29</v>
      </c>
      <c r="C5" s="290"/>
      <c r="D5" s="290"/>
      <c r="E5" s="290" t="s">
        <v>32</v>
      </c>
      <c r="F5" s="290"/>
      <c r="G5" s="290"/>
      <c r="H5" s="30" t="s">
        <v>1217</v>
      </c>
      <c r="I5" s="30"/>
      <c r="J5" s="30"/>
      <c r="K5" s="30"/>
      <c r="L5" s="30"/>
      <c r="M5" s="30"/>
      <c r="N5" s="30"/>
      <c r="O5" s="30"/>
      <c r="P5" s="30"/>
      <c r="Q5" s="30"/>
      <c r="R5" s="30"/>
      <c r="S5" s="30"/>
      <c r="T5" s="30"/>
      <c r="U5" s="30"/>
      <c r="V5" s="30"/>
      <c r="W5" s="30"/>
      <c r="X5" s="30"/>
      <c r="Y5" s="30"/>
      <c r="Z5" s="30"/>
      <c r="AA5" s="30"/>
      <c r="AB5" s="30"/>
      <c r="AC5" s="30"/>
      <c r="AD5" s="30"/>
      <c r="AE5" s="30"/>
      <c r="AF5" s="30" t="s">
        <v>1218</v>
      </c>
      <c r="AG5" s="30" t="s">
        <v>1219</v>
      </c>
      <c r="AH5" s="30" t="s">
        <v>94</v>
      </c>
      <c r="AI5" s="30"/>
    </row>
    <row r="6" s="286" customFormat="1" ht="100" customHeight="1" spans="1:35">
      <c r="A6" s="290"/>
      <c r="B6" s="294" t="s">
        <v>1220</v>
      </c>
      <c r="C6" s="294" t="s">
        <v>1221</v>
      </c>
      <c r="D6" s="294" t="s">
        <v>94</v>
      </c>
      <c r="E6" s="294" t="s">
        <v>1220</v>
      </c>
      <c r="F6" s="294" t="s">
        <v>1221</v>
      </c>
      <c r="G6" s="294" t="s">
        <v>94</v>
      </c>
      <c r="H6" s="295" t="s">
        <v>1222</v>
      </c>
      <c r="I6" s="295" t="s">
        <v>1223</v>
      </c>
      <c r="J6" s="295" t="s">
        <v>350</v>
      </c>
      <c r="K6" s="295" t="s">
        <v>1149</v>
      </c>
      <c r="L6" s="295" t="s">
        <v>1224</v>
      </c>
      <c r="M6" s="295" t="s">
        <v>1225</v>
      </c>
      <c r="N6" s="295" t="s">
        <v>1226</v>
      </c>
      <c r="O6" s="295" t="s">
        <v>1227</v>
      </c>
      <c r="P6" s="295" t="s">
        <v>1030</v>
      </c>
      <c r="Q6" s="295" t="s">
        <v>1123</v>
      </c>
      <c r="R6" s="295" t="s">
        <v>1228</v>
      </c>
      <c r="S6" s="295" t="s">
        <v>1229</v>
      </c>
      <c r="T6" s="295" t="s">
        <v>1230</v>
      </c>
      <c r="U6" s="295" t="s">
        <v>1231</v>
      </c>
      <c r="V6" s="295" t="s">
        <v>1232</v>
      </c>
      <c r="W6" s="295" t="s">
        <v>1233</v>
      </c>
      <c r="X6" s="295" t="s">
        <v>1059</v>
      </c>
      <c r="Y6" s="295" t="s">
        <v>1234</v>
      </c>
      <c r="Z6" s="295" t="s">
        <v>1235</v>
      </c>
      <c r="AA6" s="295" t="s">
        <v>1236</v>
      </c>
      <c r="AB6" s="295" t="s">
        <v>575</v>
      </c>
      <c r="AC6" s="295" t="s">
        <v>1237</v>
      </c>
      <c r="AD6" s="295" t="s">
        <v>1238</v>
      </c>
      <c r="AE6" s="295" t="s">
        <v>1239</v>
      </c>
      <c r="AF6" s="30"/>
      <c r="AG6" s="30"/>
      <c r="AH6" s="30"/>
      <c r="AI6" s="30"/>
    </row>
    <row r="7" s="287" customFormat="1" customHeight="1" spans="1:37">
      <c r="A7" s="281" t="s">
        <v>1240</v>
      </c>
      <c r="B7" s="296">
        <v>525</v>
      </c>
      <c r="C7" s="296"/>
      <c r="D7" s="296">
        <f t="shared" ref="D7:D24" si="0">+B7+C7</f>
        <v>525</v>
      </c>
      <c r="E7" s="296">
        <v>525</v>
      </c>
      <c r="F7" s="296"/>
      <c r="G7" s="296">
        <f t="shared" ref="G7:G26" si="1">+E7+F7</f>
        <v>525</v>
      </c>
      <c r="H7" s="296"/>
      <c r="I7" s="296"/>
      <c r="J7" s="296"/>
      <c r="K7" s="296"/>
      <c r="L7" s="296"/>
      <c r="M7" s="296"/>
      <c r="N7" s="296"/>
      <c r="O7" s="296"/>
      <c r="P7" s="296"/>
      <c r="Q7" s="296">
        <v>122</v>
      </c>
      <c r="R7" s="296"/>
      <c r="S7" s="296"/>
      <c r="T7" s="296"/>
      <c r="U7" s="296"/>
      <c r="V7" s="296"/>
      <c r="W7" s="296"/>
      <c r="X7" s="296"/>
      <c r="Y7" s="296"/>
      <c r="Z7" s="296"/>
      <c r="AA7" s="296"/>
      <c r="AB7" s="296"/>
      <c r="AC7" s="296"/>
      <c r="AD7" s="296"/>
      <c r="AE7" s="296">
        <f t="shared" ref="AE7:AE24" si="2">SUM(H7:AD7)</f>
        <v>122</v>
      </c>
      <c r="AF7" s="296">
        <f t="shared" ref="AF7:AF15" si="3">+AH7-AE7</f>
        <v>403</v>
      </c>
      <c r="AG7" s="296"/>
      <c r="AH7" s="296">
        <v>525</v>
      </c>
      <c r="AI7" s="300"/>
      <c r="AK7" s="287">
        <f t="shared" ref="AK7:AK24" si="4">+G7-AH7</f>
        <v>0</v>
      </c>
    </row>
    <row r="8" s="287" customFormat="1" customHeight="1" spans="1:37">
      <c r="A8" s="281" t="s">
        <v>1241</v>
      </c>
      <c r="B8" s="296">
        <v>2564</v>
      </c>
      <c r="C8" s="296"/>
      <c r="D8" s="296">
        <f t="shared" si="0"/>
        <v>2564</v>
      </c>
      <c r="E8" s="296">
        <v>2564</v>
      </c>
      <c r="F8" s="296"/>
      <c r="G8" s="296">
        <f t="shared" si="1"/>
        <v>2564</v>
      </c>
      <c r="H8" s="296"/>
      <c r="I8" s="296"/>
      <c r="J8" s="296"/>
      <c r="K8" s="296"/>
      <c r="L8" s="296"/>
      <c r="M8" s="296"/>
      <c r="N8" s="296"/>
      <c r="O8" s="296"/>
      <c r="P8" s="296"/>
      <c r="Q8" s="296"/>
      <c r="R8" s="296"/>
      <c r="S8" s="296"/>
      <c r="T8" s="296"/>
      <c r="U8" s="296"/>
      <c r="V8" s="296"/>
      <c r="W8" s="296">
        <v>860</v>
      </c>
      <c r="X8" s="296"/>
      <c r="Y8" s="296"/>
      <c r="Z8" s="296"/>
      <c r="AA8" s="296"/>
      <c r="AB8" s="296"/>
      <c r="AC8" s="296"/>
      <c r="AD8" s="296"/>
      <c r="AE8" s="296">
        <f t="shared" si="2"/>
        <v>860</v>
      </c>
      <c r="AF8" s="296">
        <f t="shared" si="3"/>
        <v>1704</v>
      </c>
      <c r="AG8" s="296"/>
      <c r="AH8" s="296">
        <v>2564</v>
      </c>
      <c r="AI8" s="300"/>
      <c r="AK8" s="287">
        <f t="shared" si="4"/>
        <v>0</v>
      </c>
    </row>
    <row r="9" s="287" customFormat="1" customHeight="1" spans="1:37">
      <c r="A9" s="281" t="s">
        <v>1242</v>
      </c>
      <c r="B9" s="296">
        <v>1222</v>
      </c>
      <c r="C9" s="296"/>
      <c r="D9" s="296">
        <f t="shared" si="0"/>
        <v>1222</v>
      </c>
      <c r="E9" s="296">
        <v>1222</v>
      </c>
      <c r="F9" s="296"/>
      <c r="G9" s="296">
        <f t="shared" si="1"/>
        <v>1222</v>
      </c>
      <c r="H9" s="296"/>
      <c r="I9" s="296"/>
      <c r="J9" s="296"/>
      <c r="K9" s="296"/>
      <c r="L9" s="296"/>
      <c r="M9" s="296"/>
      <c r="N9" s="296"/>
      <c r="O9" s="296"/>
      <c r="P9" s="296"/>
      <c r="Q9" s="296"/>
      <c r="R9" s="296"/>
      <c r="S9" s="296"/>
      <c r="T9" s="296"/>
      <c r="U9" s="296"/>
      <c r="V9" s="296"/>
      <c r="W9" s="296"/>
      <c r="X9" s="296"/>
      <c r="Y9" s="296"/>
      <c r="Z9" s="296"/>
      <c r="AA9" s="296"/>
      <c r="AB9" s="296"/>
      <c r="AC9" s="296"/>
      <c r="AD9" s="296"/>
      <c r="AE9" s="296">
        <f t="shared" si="2"/>
        <v>0</v>
      </c>
      <c r="AF9" s="296">
        <f t="shared" si="3"/>
        <v>1222</v>
      </c>
      <c r="AG9" s="296"/>
      <c r="AH9" s="296">
        <v>1222</v>
      </c>
      <c r="AI9" s="300"/>
      <c r="AK9" s="287">
        <f t="shared" si="4"/>
        <v>0</v>
      </c>
    </row>
    <row r="10" s="287" customFormat="1" customHeight="1" spans="1:37">
      <c r="A10" s="281" t="s">
        <v>1243</v>
      </c>
      <c r="B10" s="296">
        <v>44</v>
      </c>
      <c r="C10" s="296"/>
      <c r="D10" s="296">
        <f t="shared" si="0"/>
        <v>44</v>
      </c>
      <c r="E10" s="296">
        <v>44</v>
      </c>
      <c r="F10" s="296"/>
      <c r="G10" s="296">
        <f t="shared" si="1"/>
        <v>44</v>
      </c>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f t="shared" si="2"/>
        <v>0</v>
      </c>
      <c r="AF10" s="296">
        <f t="shared" si="3"/>
        <v>44</v>
      </c>
      <c r="AG10" s="296"/>
      <c r="AH10" s="296">
        <v>44</v>
      </c>
      <c r="AI10" s="300"/>
      <c r="AK10" s="287">
        <f t="shared" si="4"/>
        <v>0</v>
      </c>
    </row>
    <row r="11" s="287" customFormat="1" customHeight="1" spans="1:37">
      <c r="A11" s="281" t="s">
        <v>1244</v>
      </c>
      <c r="B11" s="296">
        <v>1156</v>
      </c>
      <c r="C11" s="296"/>
      <c r="D11" s="296">
        <f t="shared" si="0"/>
        <v>1156</v>
      </c>
      <c r="E11" s="296">
        <v>1156</v>
      </c>
      <c r="F11" s="296"/>
      <c r="G11" s="296">
        <f t="shared" si="1"/>
        <v>1156</v>
      </c>
      <c r="H11" s="296"/>
      <c r="I11" s="296"/>
      <c r="J11" s="296"/>
      <c r="K11" s="296"/>
      <c r="L11" s="296"/>
      <c r="M11" s="296"/>
      <c r="N11" s="296"/>
      <c r="O11" s="296">
        <v>19.53</v>
      </c>
      <c r="P11" s="296"/>
      <c r="Q11" s="296"/>
      <c r="R11" s="296"/>
      <c r="S11" s="296">
        <v>25.59</v>
      </c>
      <c r="T11" s="296"/>
      <c r="U11" s="296"/>
      <c r="V11" s="296"/>
      <c r="W11" s="296"/>
      <c r="X11" s="296"/>
      <c r="Y11" s="296"/>
      <c r="Z11" s="296"/>
      <c r="AA11" s="296"/>
      <c r="AB11" s="296"/>
      <c r="AC11" s="296"/>
      <c r="AD11" s="296"/>
      <c r="AE11" s="296">
        <f t="shared" si="2"/>
        <v>45.12</v>
      </c>
      <c r="AF11" s="296">
        <f t="shared" si="3"/>
        <v>1110.88</v>
      </c>
      <c r="AG11" s="296"/>
      <c r="AH11" s="296">
        <v>1156</v>
      </c>
      <c r="AI11" s="300"/>
      <c r="AK11" s="287">
        <f t="shared" si="4"/>
        <v>0</v>
      </c>
    </row>
    <row r="12" s="287" customFormat="1" customHeight="1" spans="1:37">
      <c r="A12" s="281" t="s">
        <v>1245</v>
      </c>
      <c r="B12" s="296">
        <f>48+697</f>
        <v>745</v>
      </c>
      <c r="C12" s="296">
        <v>726.56</v>
      </c>
      <c r="D12" s="296">
        <f t="shared" si="0"/>
        <v>1471.56</v>
      </c>
      <c r="E12" s="296">
        <v>1059</v>
      </c>
      <c r="F12" s="296">
        <v>726.56</v>
      </c>
      <c r="G12" s="296">
        <f t="shared" si="1"/>
        <v>1785.56</v>
      </c>
      <c r="H12" s="296">
        <v>1564.05</v>
      </c>
      <c r="I12" s="296"/>
      <c r="J12" s="296">
        <v>15</v>
      </c>
      <c r="K12" s="296"/>
      <c r="L12" s="296"/>
      <c r="M12" s="296"/>
      <c r="N12" s="296"/>
      <c r="O12" s="296">
        <v>12.2</v>
      </c>
      <c r="P12" s="296"/>
      <c r="Q12" s="296"/>
      <c r="R12" s="296"/>
      <c r="S12" s="296"/>
      <c r="T12" s="296"/>
      <c r="U12" s="296"/>
      <c r="V12" s="296"/>
      <c r="W12" s="296"/>
      <c r="X12" s="296"/>
      <c r="Y12" s="296"/>
      <c r="Z12" s="296"/>
      <c r="AA12" s="296"/>
      <c r="AB12" s="296"/>
      <c r="AC12" s="296"/>
      <c r="AD12" s="296"/>
      <c r="AE12" s="296">
        <f t="shared" si="2"/>
        <v>1591.25</v>
      </c>
      <c r="AF12" s="296">
        <f t="shared" si="3"/>
        <v>194.31</v>
      </c>
      <c r="AG12" s="296"/>
      <c r="AH12" s="296">
        <v>1785.56</v>
      </c>
      <c r="AI12" s="300"/>
      <c r="AK12" s="287">
        <f t="shared" si="4"/>
        <v>0</v>
      </c>
    </row>
    <row r="13" s="287" customFormat="1" customHeight="1" spans="1:37">
      <c r="A13" s="281" t="s">
        <v>1246</v>
      </c>
      <c r="B13" s="296">
        <v>251.12</v>
      </c>
      <c r="C13" s="296"/>
      <c r="D13" s="296">
        <f t="shared" si="0"/>
        <v>251.12</v>
      </c>
      <c r="E13" s="296">
        <v>251.12</v>
      </c>
      <c r="F13" s="296"/>
      <c r="G13" s="296">
        <f t="shared" si="1"/>
        <v>251.12</v>
      </c>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f t="shared" si="2"/>
        <v>0</v>
      </c>
      <c r="AF13" s="296">
        <f t="shared" si="3"/>
        <v>251.12</v>
      </c>
      <c r="AG13" s="296"/>
      <c r="AH13" s="296">
        <v>251.12</v>
      </c>
      <c r="AI13" s="300"/>
      <c r="AK13" s="287">
        <f t="shared" si="4"/>
        <v>0</v>
      </c>
    </row>
    <row r="14" s="287" customFormat="1" customHeight="1" spans="1:37">
      <c r="A14" s="281" t="s">
        <v>1247</v>
      </c>
      <c r="B14" s="296">
        <v>29</v>
      </c>
      <c r="C14" s="296"/>
      <c r="D14" s="296">
        <f t="shared" si="0"/>
        <v>29</v>
      </c>
      <c r="E14" s="296">
        <v>29</v>
      </c>
      <c r="F14" s="296"/>
      <c r="G14" s="296">
        <f t="shared" si="1"/>
        <v>29</v>
      </c>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f t="shared" si="2"/>
        <v>0</v>
      </c>
      <c r="AF14" s="296">
        <f t="shared" si="3"/>
        <v>29</v>
      </c>
      <c r="AG14" s="296"/>
      <c r="AH14" s="296">
        <v>29</v>
      </c>
      <c r="AI14" s="300"/>
      <c r="AK14" s="287">
        <f t="shared" si="4"/>
        <v>0</v>
      </c>
    </row>
    <row r="15" s="287" customFormat="1" customHeight="1" spans="1:37">
      <c r="A15" s="281" t="s">
        <v>1248</v>
      </c>
      <c r="B15" s="296">
        <v>66</v>
      </c>
      <c r="C15" s="296"/>
      <c r="D15" s="296">
        <f t="shared" si="0"/>
        <v>66</v>
      </c>
      <c r="E15" s="296">
        <v>66</v>
      </c>
      <c r="F15" s="296"/>
      <c r="G15" s="296">
        <f t="shared" si="1"/>
        <v>66</v>
      </c>
      <c r="H15" s="296"/>
      <c r="I15" s="296"/>
      <c r="J15" s="296"/>
      <c r="K15" s="296"/>
      <c r="L15" s="296"/>
      <c r="M15" s="296"/>
      <c r="N15" s="296"/>
      <c r="O15" s="296"/>
      <c r="P15" s="296"/>
      <c r="Q15" s="296"/>
      <c r="R15" s="296"/>
      <c r="S15" s="296"/>
      <c r="T15" s="296"/>
      <c r="U15" s="296"/>
      <c r="V15" s="296"/>
      <c r="W15" s="296"/>
      <c r="X15" s="296">
        <v>29.938</v>
      </c>
      <c r="Y15" s="296"/>
      <c r="Z15" s="296"/>
      <c r="AA15" s="296"/>
      <c r="AB15" s="296"/>
      <c r="AC15" s="296"/>
      <c r="AD15" s="296"/>
      <c r="AE15" s="296">
        <f t="shared" si="2"/>
        <v>29.938</v>
      </c>
      <c r="AF15" s="296">
        <f t="shared" si="3"/>
        <v>36.062</v>
      </c>
      <c r="AG15" s="296"/>
      <c r="AH15" s="296">
        <v>66</v>
      </c>
      <c r="AI15" s="300"/>
      <c r="AK15" s="287">
        <f t="shared" si="4"/>
        <v>0</v>
      </c>
    </row>
    <row r="16" s="287" customFormat="1" customHeight="1" spans="1:37">
      <c r="A16" s="281" t="s">
        <v>1249</v>
      </c>
      <c r="B16" s="296">
        <v>50</v>
      </c>
      <c r="C16" s="296"/>
      <c r="D16" s="296">
        <f t="shared" si="0"/>
        <v>50</v>
      </c>
      <c r="E16" s="296">
        <v>50</v>
      </c>
      <c r="F16" s="296"/>
      <c r="G16" s="296">
        <f t="shared" si="1"/>
        <v>50</v>
      </c>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f t="shared" si="2"/>
        <v>0</v>
      </c>
      <c r="AF16" s="296"/>
      <c r="AG16" s="296">
        <f>+AH16-AE16</f>
        <v>50</v>
      </c>
      <c r="AH16" s="296">
        <v>50</v>
      </c>
      <c r="AI16" s="300"/>
      <c r="AK16" s="287">
        <f t="shared" si="4"/>
        <v>0</v>
      </c>
    </row>
    <row r="17" s="287" customFormat="1" customHeight="1" spans="1:37">
      <c r="A17" s="281" t="s">
        <v>1250</v>
      </c>
      <c r="B17" s="296">
        <v>876</v>
      </c>
      <c r="C17" s="296"/>
      <c r="D17" s="296">
        <f t="shared" si="0"/>
        <v>876</v>
      </c>
      <c r="E17" s="296">
        <v>901</v>
      </c>
      <c r="F17" s="296"/>
      <c r="G17" s="296">
        <f t="shared" si="1"/>
        <v>901</v>
      </c>
      <c r="H17" s="296"/>
      <c r="I17" s="296"/>
      <c r="J17" s="296"/>
      <c r="K17" s="296"/>
      <c r="L17" s="296"/>
      <c r="M17" s="296"/>
      <c r="N17" s="296"/>
      <c r="O17" s="296"/>
      <c r="P17" s="296">
        <v>249</v>
      </c>
      <c r="Q17" s="296"/>
      <c r="R17" s="296"/>
      <c r="S17" s="296"/>
      <c r="T17" s="296"/>
      <c r="U17" s="296"/>
      <c r="V17" s="296">
        <v>197.41</v>
      </c>
      <c r="W17" s="296"/>
      <c r="X17" s="296"/>
      <c r="Y17" s="296">
        <v>40.94</v>
      </c>
      <c r="Z17" s="296"/>
      <c r="AA17" s="296"/>
      <c r="AB17" s="296"/>
      <c r="AC17" s="296"/>
      <c r="AD17" s="296"/>
      <c r="AE17" s="296">
        <f t="shared" si="2"/>
        <v>487.35</v>
      </c>
      <c r="AF17" s="296"/>
      <c r="AG17" s="296">
        <f>+AH17-AE17</f>
        <v>413.65</v>
      </c>
      <c r="AH17" s="296">
        <v>901</v>
      </c>
      <c r="AI17" s="300"/>
      <c r="AK17" s="287">
        <f t="shared" si="4"/>
        <v>0</v>
      </c>
    </row>
    <row r="18" s="287" customFormat="1" customHeight="1" spans="1:37">
      <c r="A18" s="281" t="s">
        <v>1251</v>
      </c>
      <c r="B18" s="296"/>
      <c r="C18" s="296">
        <v>10788</v>
      </c>
      <c r="D18" s="296">
        <f t="shared" si="0"/>
        <v>10788</v>
      </c>
      <c r="E18" s="296"/>
      <c r="F18" s="296">
        <v>10788</v>
      </c>
      <c r="G18" s="296">
        <f t="shared" si="1"/>
        <v>10788</v>
      </c>
      <c r="H18" s="296"/>
      <c r="I18" s="296"/>
      <c r="J18" s="296"/>
      <c r="K18" s="296"/>
      <c r="L18" s="296"/>
      <c r="M18" s="296"/>
      <c r="N18" s="296"/>
      <c r="O18" s="296"/>
      <c r="P18" s="296"/>
      <c r="Q18" s="296"/>
      <c r="R18" s="296"/>
      <c r="S18" s="296"/>
      <c r="T18" s="296">
        <v>2036</v>
      </c>
      <c r="U18" s="296">
        <v>25</v>
      </c>
      <c r="V18" s="296"/>
      <c r="W18" s="296"/>
      <c r="X18" s="296"/>
      <c r="Y18" s="296">
        <v>8.93</v>
      </c>
      <c r="Z18" s="296">
        <v>271.44</v>
      </c>
      <c r="AA18" s="296"/>
      <c r="AB18" s="296"/>
      <c r="AC18" s="296"/>
      <c r="AD18" s="296"/>
      <c r="AE18" s="296">
        <f t="shared" si="2"/>
        <v>2341.37</v>
      </c>
      <c r="AF18" s="296">
        <f t="shared" ref="AF18:AF21" si="5">+AH18-AE18</f>
        <v>8446.63</v>
      </c>
      <c r="AG18" s="296"/>
      <c r="AH18" s="296">
        <v>10788</v>
      </c>
      <c r="AI18" s="300"/>
      <c r="AK18" s="287">
        <f t="shared" si="4"/>
        <v>0</v>
      </c>
    </row>
    <row r="19" s="287" customFormat="1" customHeight="1" spans="1:37">
      <c r="A19" s="281" t="s">
        <v>1252</v>
      </c>
      <c r="B19" s="296">
        <v>1996</v>
      </c>
      <c r="C19" s="296"/>
      <c r="D19" s="296">
        <f t="shared" si="0"/>
        <v>1996</v>
      </c>
      <c r="E19" s="296">
        <v>1996</v>
      </c>
      <c r="F19" s="296"/>
      <c r="G19" s="296">
        <f t="shared" si="1"/>
        <v>1996</v>
      </c>
      <c r="H19" s="296"/>
      <c r="I19" s="296"/>
      <c r="J19" s="296"/>
      <c r="K19" s="296"/>
      <c r="L19" s="296">
        <v>1814.13</v>
      </c>
      <c r="M19" s="296"/>
      <c r="N19" s="296"/>
      <c r="O19" s="296"/>
      <c r="P19" s="296"/>
      <c r="Q19" s="296"/>
      <c r="R19" s="296"/>
      <c r="S19" s="296"/>
      <c r="T19" s="296"/>
      <c r="U19" s="296"/>
      <c r="V19" s="296"/>
      <c r="W19" s="296"/>
      <c r="X19" s="296"/>
      <c r="Y19" s="296"/>
      <c r="Z19" s="296"/>
      <c r="AA19" s="296"/>
      <c r="AB19" s="296"/>
      <c r="AC19" s="296"/>
      <c r="AD19" s="296"/>
      <c r="AE19" s="296">
        <f t="shared" si="2"/>
        <v>1814.13</v>
      </c>
      <c r="AF19" s="296">
        <f t="shared" si="5"/>
        <v>181.87</v>
      </c>
      <c r="AG19" s="296"/>
      <c r="AH19" s="296">
        <v>1996</v>
      </c>
      <c r="AI19" s="300"/>
      <c r="AK19" s="287">
        <f t="shared" si="4"/>
        <v>0</v>
      </c>
    </row>
    <row r="20" s="287" customFormat="1" customHeight="1" spans="1:37">
      <c r="A20" s="281" t="s">
        <v>1253</v>
      </c>
      <c r="B20" s="296">
        <v>500</v>
      </c>
      <c r="C20" s="296">
        <v>760</v>
      </c>
      <c r="D20" s="296">
        <f t="shared" si="0"/>
        <v>1260</v>
      </c>
      <c r="E20" s="296">
        <v>500</v>
      </c>
      <c r="F20" s="296">
        <v>760</v>
      </c>
      <c r="G20" s="296">
        <f t="shared" si="1"/>
        <v>1260</v>
      </c>
      <c r="H20" s="296"/>
      <c r="I20" s="296"/>
      <c r="J20" s="296"/>
      <c r="K20" s="296"/>
      <c r="L20" s="296"/>
      <c r="M20" s="296"/>
      <c r="N20" s="296"/>
      <c r="O20" s="296">
        <v>96.07</v>
      </c>
      <c r="P20" s="296"/>
      <c r="Q20" s="296"/>
      <c r="R20" s="296"/>
      <c r="S20" s="296">
        <v>52.08</v>
      </c>
      <c r="T20" s="296"/>
      <c r="U20" s="296"/>
      <c r="V20" s="296"/>
      <c r="W20" s="296"/>
      <c r="X20" s="296"/>
      <c r="Y20" s="296"/>
      <c r="Z20" s="296"/>
      <c r="AA20" s="296"/>
      <c r="AB20" s="296"/>
      <c r="AC20" s="296">
        <v>99.06</v>
      </c>
      <c r="AD20" s="296"/>
      <c r="AE20" s="296">
        <f t="shared" si="2"/>
        <v>247.21</v>
      </c>
      <c r="AF20" s="296">
        <f t="shared" si="5"/>
        <v>1012.79</v>
      </c>
      <c r="AG20" s="296"/>
      <c r="AH20" s="296">
        <v>1260</v>
      </c>
      <c r="AI20" s="300"/>
      <c r="AK20" s="287">
        <f t="shared" si="4"/>
        <v>0</v>
      </c>
    </row>
    <row r="21" s="287" customFormat="1" customHeight="1" spans="1:37">
      <c r="A21" s="281" t="s">
        <v>1254</v>
      </c>
      <c r="B21" s="296">
        <v>4534</v>
      </c>
      <c r="C21" s="296"/>
      <c r="D21" s="296">
        <f t="shared" si="0"/>
        <v>4534</v>
      </c>
      <c r="E21" s="296">
        <v>4534</v>
      </c>
      <c r="F21" s="296"/>
      <c r="G21" s="296">
        <f t="shared" si="1"/>
        <v>4534</v>
      </c>
      <c r="H21" s="296"/>
      <c r="I21" s="296"/>
      <c r="J21" s="296"/>
      <c r="K21" s="296"/>
      <c r="L21" s="296"/>
      <c r="M21" s="296">
        <v>546.66</v>
      </c>
      <c r="N21" s="296"/>
      <c r="O21" s="296"/>
      <c r="P21" s="296"/>
      <c r="Q21" s="296"/>
      <c r="R21" s="296"/>
      <c r="S21" s="296"/>
      <c r="T21" s="296"/>
      <c r="U21" s="296"/>
      <c r="V21" s="296"/>
      <c r="W21" s="296"/>
      <c r="X21" s="296"/>
      <c r="Y21" s="296"/>
      <c r="Z21" s="296"/>
      <c r="AA21" s="296">
        <v>227.24</v>
      </c>
      <c r="AB21" s="296"/>
      <c r="AC21" s="296"/>
      <c r="AD21" s="296"/>
      <c r="AE21" s="296">
        <f t="shared" si="2"/>
        <v>773.9</v>
      </c>
      <c r="AF21" s="296">
        <f t="shared" si="5"/>
        <v>3760.1</v>
      </c>
      <c r="AG21" s="296"/>
      <c r="AH21" s="296">
        <v>4534</v>
      </c>
      <c r="AI21" s="300"/>
      <c r="AK21" s="287">
        <f t="shared" si="4"/>
        <v>0</v>
      </c>
    </row>
    <row r="22" s="287" customFormat="1" customHeight="1" spans="1:37">
      <c r="A22" s="281" t="s">
        <v>1255</v>
      </c>
      <c r="B22" s="296">
        <v>163</v>
      </c>
      <c r="C22" s="296"/>
      <c r="D22" s="296">
        <f t="shared" si="0"/>
        <v>163</v>
      </c>
      <c r="E22" s="296">
        <v>135.0054</v>
      </c>
      <c r="F22" s="296">
        <v>54.9946</v>
      </c>
      <c r="G22" s="296">
        <f t="shared" si="1"/>
        <v>190</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f t="shared" si="2"/>
        <v>0</v>
      </c>
      <c r="AF22" s="296">
        <f>+AH22-AG22</f>
        <v>135.0054</v>
      </c>
      <c r="AG22" s="296">
        <v>54.9946</v>
      </c>
      <c r="AH22" s="296">
        <v>190</v>
      </c>
      <c r="AI22" s="300"/>
      <c r="AK22" s="287">
        <f t="shared" si="4"/>
        <v>0</v>
      </c>
    </row>
    <row r="23" s="287" customFormat="1" customHeight="1" spans="1:37">
      <c r="A23" s="281" t="s">
        <v>1256</v>
      </c>
      <c r="B23" s="296">
        <v>150</v>
      </c>
      <c r="C23" s="296"/>
      <c r="D23" s="296">
        <f t="shared" si="0"/>
        <v>150</v>
      </c>
      <c r="E23" s="296">
        <v>0</v>
      </c>
      <c r="F23" s="296"/>
      <c r="G23" s="296">
        <f t="shared" si="1"/>
        <v>0</v>
      </c>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f t="shared" si="2"/>
        <v>0</v>
      </c>
      <c r="AF23" s="296"/>
      <c r="AG23" s="296"/>
      <c r="AH23" s="296"/>
      <c r="AI23" s="300"/>
      <c r="AK23" s="287">
        <f t="shared" si="4"/>
        <v>0</v>
      </c>
    </row>
    <row r="24" s="287" customFormat="1" customHeight="1" spans="1:37">
      <c r="A24" s="281" t="s">
        <v>1257</v>
      </c>
      <c r="B24" s="296">
        <v>5860</v>
      </c>
      <c r="C24" s="296"/>
      <c r="D24" s="296">
        <f t="shared" si="0"/>
        <v>5860</v>
      </c>
      <c r="E24" s="296">
        <v>8399</v>
      </c>
      <c r="F24" s="296"/>
      <c r="G24" s="296">
        <f t="shared" si="1"/>
        <v>8399</v>
      </c>
      <c r="H24" s="296">
        <v>110</v>
      </c>
      <c r="I24" s="296"/>
      <c r="J24" s="296"/>
      <c r="K24" s="296">
        <v>135</v>
      </c>
      <c r="L24" s="296"/>
      <c r="M24" s="296"/>
      <c r="N24" s="296"/>
      <c r="O24" s="296"/>
      <c r="P24" s="296"/>
      <c r="Q24" s="296"/>
      <c r="R24" s="296"/>
      <c r="S24" s="296"/>
      <c r="T24" s="296"/>
      <c r="U24" s="296"/>
      <c r="V24" s="296"/>
      <c r="W24" s="296"/>
      <c r="X24" s="296"/>
      <c r="Y24" s="296"/>
      <c r="Z24" s="296"/>
      <c r="AA24" s="296"/>
      <c r="AB24" s="296"/>
      <c r="AC24" s="296"/>
      <c r="AD24" s="296">
        <v>329.43</v>
      </c>
      <c r="AE24" s="296">
        <f t="shared" si="2"/>
        <v>574.43</v>
      </c>
      <c r="AF24" s="296">
        <f>+AH24-AE24</f>
        <v>7824.57</v>
      </c>
      <c r="AG24" s="296"/>
      <c r="AH24" s="296">
        <v>8399</v>
      </c>
      <c r="AI24" s="300"/>
      <c r="AK24" s="287">
        <f t="shared" si="4"/>
        <v>0</v>
      </c>
    </row>
    <row r="25" s="287" customFormat="1" customHeight="1" spans="1:35">
      <c r="A25" s="281" t="s">
        <v>1258</v>
      </c>
      <c r="B25" s="296"/>
      <c r="C25" s="296"/>
      <c r="D25" s="296"/>
      <c r="E25" s="296">
        <v>9000</v>
      </c>
      <c r="F25" s="296"/>
      <c r="G25" s="296">
        <f t="shared" si="1"/>
        <v>9000</v>
      </c>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v>9000</v>
      </c>
      <c r="AG25" s="296"/>
      <c r="AH25" s="296">
        <v>9000</v>
      </c>
      <c r="AI25" s="300"/>
    </row>
    <row r="26" s="287" customFormat="1" customHeight="1" spans="1:37">
      <c r="A26" s="281" t="s">
        <v>1259</v>
      </c>
      <c r="B26" s="296">
        <v>12018</v>
      </c>
      <c r="C26" s="296"/>
      <c r="D26" s="296">
        <f>+B26+C26</f>
        <v>12018</v>
      </c>
      <c r="E26" s="296">
        <v>12114</v>
      </c>
      <c r="F26" s="296"/>
      <c r="G26" s="296">
        <f t="shared" si="1"/>
        <v>12114</v>
      </c>
      <c r="H26" s="296"/>
      <c r="I26" s="296"/>
      <c r="J26" s="296"/>
      <c r="K26" s="296"/>
      <c r="L26" s="296"/>
      <c r="M26" s="296"/>
      <c r="N26" s="296">
        <v>120</v>
      </c>
      <c r="O26" s="296"/>
      <c r="P26" s="296"/>
      <c r="Q26" s="296"/>
      <c r="R26" s="296">
        <v>6638</v>
      </c>
      <c r="S26" s="296"/>
      <c r="T26" s="296"/>
      <c r="U26" s="296"/>
      <c r="V26" s="296"/>
      <c r="W26" s="296"/>
      <c r="X26" s="296"/>
      <c r="Y26" s="296"/>
      <c r="Z26" s="296"/>
      <c r="AA26" s="296"/>
      <c r="AB26" s="296">
        <v>434</v>
      </c>
      <c r="AC26" s="296"/>
      <c r="AD26" s="296">
        <v>535.5</v>
      </c>
      <c r="AE26" s="296">
        <f>SUM(H26:AD26)</f>
        <v>7727.5</v>
      </c>
      <c r="AF26" s="296">
        <f>+AH26-AE26</f>
        <v>4386.5</v>
      </c>
      <c r="AG26" s="296"/>
      <c r="AH26" s="296">
        <v>12114</v>
      </c>
      <c r="AI26" s="300"/>
      <c r="AK26" s="287">
        <f>+G26-AH26</f>
        <v>0</v>
      </c>
    </row>
    <row r="27" s="287" customFormat="1" customHeight="1" spans="1:37">
      <c r="A27" s="297" t="s">
        <v>94</v>
      </c>
      <c r="B27" s="298">
        <f t="shared" ref="B27:F27" si="6">SUM(B7:B26)</f>
        <v>32749.12</v>
      </c>
      <c r="C27" s="298">
        <f t="shared" si="6"/>
        <v>12274.56</v>
      </c>
      <c r="D27" s="298">
        <f>B27+C27</f>
        <v>45023.68</v>
      </c>
      <c r="E27" s="298">
        <f t="shared" si="6"/>
        <v>44545.1254</v>
      </c>
      <c r="F27" s="298">
        <f t="shared" si="6"/>
        <v>12329.5546</v>
      </c>
      <c r="G27" s="298">
        <f>E27+F27</f>
        <v>56874.68</v>
      </c>
      <c r="H27" s="298">
        <f t="shared" ref="H27:AD27" si="7">SUM(H7:H26)</f>
        <v>1674.05</v>
      </c>
      <c r="I27" s="298">
        <f t="shared" si="7"/>
        <v>0</v>
      </c>
      <c r="J27" s="298">
        <f t="shared" si="7"/>
        <v>15</v>
      </c>
      <c r="K27" s="298">
        <f t="shared" si="7"/>
        <v>135</v>
      </c>
      <c r="L27" s="298">
        <f t="shared" si="7"/>
        <v>1814.13</v>
      </c>
      <c r="M27" s="298">
        <f t="shared" si="7"/>
        <v>546.66</v>
      </c>
      <c r="N27" s="298">
        <f t="shared" si="7"/>
        <v>120</v>
      </c>
      <c r="O27" s="298">
        <f t="shared" si="7"/>
        <v>127.8</v>
      </c>
      <c r="P27" s="298">
        <f t="shared" si="7"/>
        <v>249</v>
      </c>
      <c r="Q27" s="298">
        <f t="shared" si="7"/>
        <v>122</v>
      </c>
      <c r="R27" s="298">
        <f t="shared" si="7"/>
        <v>6638</v>
      </c>
      <c r="S27" s="298">
        <f t="shared" si="7"/>
        <v>77.67</v>
      </c>
      <c r="T27" s="298">
        <f t="shared" si="7"/>
        <v>2036</v>
      </c>
      <c r="U27" s="298">
        <f t="shared" si="7"/>
        <v>25</v>
      </c>
      <c r="V27" s="298">
        <f t="shared" si="7"/>
        <v>197.41</v>
      </c>
      <c r="W27" s="298">
        <f t="shared" si="7"/>
        <v>860</v>
      </c>
      <c r="X27" s="298">
        <f t="shared" si="7"/>
        <v>29.938</v>
      </c>
      <c r="Y27" s="298">
        <f t="shared" si="7"/>
        <v>49.87</v>
      </c>
      <c r="Z27" s="298">
        <f t="shared" si="7"/>
        <v>271.44</v>
      </c>
      <c r="AA27" s="298">
        <f t="shared" si="7"/>
        <v>227.24</v>
      </c>
      <c r="AB27" s="298">
        <f t="shared" si="7"/>
        <v>434</v>
      </c>
      <c r="AC27" s="298">
        <f t="shared" si="7"/>
        <v>99.06</v>
      </c>
      <c r="AD27" s="298">
        <f t="shared" si="7"/>
        <v>864.93</v>
      </c>
      <c r="AE27" s="298">
        <f>SUM(H27:AD27)</f>
        <v>16614.198</v>
      </c>
      <c r="AF27" s="298">
        <f t="shared" ref="AF27:AI27" si="8">SUM(AF7:AF26)</f>
        <v>39741.8374</v>
      </c>
      <c r="AG27" s="298">
        <f t="shared" si="8"/>
        <v>518.6446</v>
      </c>
      <c r="AH27" s="298">
        <f t="shared" si="8"/>
        <v>56874.68</v>
      </c>
      <c r="AI27" s="301">
        <f t="shared" si="8"/>
        <v>0</v>
      </c>
      <c r="AK27" s="287">
        <f>+G27-AH27</f>
        <v>0</v>
      </c>
    </row>
    <row r="28" s="287" customFormat="1" customHeight="1" spans="1:35">
      <c r="A28" s="299" t="s">
        <v>1260</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row>
    <row r="29" s="284" customFormat="1" customHeight="1" spans="2:34">
      <c r="B29" s="288"/>
      <c r="C29" s="288"/>
      <c r="D29" s="289"/>
      <c r="E29" s="289"/>
      <c r="F29" s="289"/>
      <c r="G29" s="289"/>
      <c r="H29" s="289"/>
      <c r="I29" s="289"/>
      <c r="J29" s="289"/>
      <c r="K29" s="289"/>
      <c r="L29" s="289"/>
      <c r="M29" s="289"/>
      <c r="N29" s="289"/>
      <c r="O29" s="289"/>
      <c r="P29" s="289"/>
      <c r="Q29" s="289"/>
      <c r="R29" s="288"/>
      <c r="S29" s="289"/>
      <c r="T29" s="289"/>
      <c r="U29" s="289"/>
      <c r="V29" s="289"/>
      <c r="W29" s="289"/>
      <c r="X29" s="289"/>
      <c r="Y29" s="289"/>
      <c r="Z29" s="289"/>
      <c r="AA29" s="289"/>
      <c r="AB29" s="289"/>
      <c r="AC29" s="289"/>
      <c r="AD29" s="289"/>
      <c r="AE29" s="289"/>
      <c r="AF29" s="289"/>
      <c r="AG29" s="289"/>
      <c r="AH29" s="289"/>
    </row>
    <row r="30" s="284" customFormat="1" customHeight="1" spans="2:34">
      <c r="B30" s="288"/>
      <c r="C30" s="288"/>
      <c r="D30" s="289"/>
      <c r="E30" s="289"/>
      <c r="F30" s="289"/>
      <c r="G30" s="289"/>
      <c r="H30" s="289"/>
      <c r="I30" s="289"/>
      <c r="J30" s="289"/>
      <c r="K30" s="289"/>
      <c r="L30" s="289"/>
      <c r="M30" s="289"/>
      <c r="N30" s="289"/>
      <c r="O30" s="289"/>
      <c r="P30" s="289"/>
      <c r="Q30" s="289"/>
      <c r="R30" s="288"/>
      <c r="S30" s="289"/>
      <c r="T30" s="289"/>
      <c r="U30" s="289"/>
      <c r="V30" s="289"/>
      <c r="W30" s="289"/>
      <c r="X30" s="289"/>
      <c r="Y30" s="289"/>
      <c r="Z30" s="289"/>
      <c r="AA30" s="289"/>
      <c r="AB30" s="289"/>
      <c r="AC30" s="289"/>
      <c r="AD30" s="289"/>
      <c r="AE30" s="289"/>
      <c r="AF30" s="289"/>
      <c r="AG30" s="289"/>
      <c r="AH30" s="289"/>
    </row>
    <row r="31" s="284" customFormat="1" customHeight="1" spans="2:34">
      <c r="B31" s="288"/>
      <c r="C31" s="288"/>
      <c r="D31" s="289"/>
      <c r="E31" s="289"/>
      <c r="F31" s="289"/>
      <c r="G31" s="289"/>
      <c r="H31" s="289"/>
      <c r="I31" s="289"/>
      <c r="J31" s="289"/>
      <c r="K31" s="289"/>
      <c r="L31" s="289"/>
      <c r="M31" s="289"/>
      <c r="N31" s="289"/>
      <c r="O31" s="289"/>
      <c r="P31" s="289"/>
      <c r="Q31" s="289"/>
      <c r="R31" s="288"/>
      <c r="S31" s="289"/>
      <c r="T31" s="289"/>
      <c r="U31" s="289"/>
      <c r="V31" s="289"/>
      <c r="W31" s="289"/>
      <c r="X31" s="289"/>
      <c r="Y31" s="289"/>
      <c r="Z31" s="289"/>
      <c r="AA31" s="289"/>
      <c r="AB31" s="289"/>
      <c r="AC31" s="289"/>
      <c r="AD31" s="289"/>
      <c r="AE31" s="289"/>
      <c r="AF31" s="289"/>
      <c r="AG31" s="289"/>
      <c r="AH31" s="289"/>
    </row>
    <row r="32" s="284" customFormat="1" customHeight="1" spans="2:34">
      <c r="B32" s="288"/>
      <c r="C32" s="288"/>
      <c r="D32" s="289"/>
      <c r="E32" s="289"/>
      <c r="F32" s="289"/>
      <c r="G32" s="289"/>
      <c r="H32" s="289"/>
      <c r="I32" s="289"/>
      <c r="J32" s="289"/>
      <c r="K32" s="289"/>
      <c r="L32" s="289"/>
      <c r="M32" s="289"/>
      <c r="N32" s="289"/>
      <c r="O32" s="289"/>
      <c r="P32" s="289"/>
      <c r="Q32" s="289"/>
      <c r="R32" s="288"/>
      <c r="S32" s="289"/>
      <c r="T32" s="289"/>
      <c r="U32" s="289"/>
      <c r="V32" s="289"/>
      <c r="W32" s="289"/>
      <c r="X32" s="289"/>
      <c r="Y32" s="289"/>
      <c r="Z32" s="289"/>
      <c r="AA32" s="289"/>
      <c r="AB32" s="289"/>
      <c r="AC32" s="289"/>
      <c r="AD32" s="289"/>
      <c r="AE32" s="289"/>
      <c r="AF32" s="289"/>
      <c r="AG32" s="289"/>
      <c r="AH32" s="289"/>
    </row>
  </sheetData>
  <mergeCells count="13">
    <mergeCell ref="A2:AI2"/>
    <mergeCell ref="AH3:AI3"/>
    <mergeCell ref="B4:G4"/>
    <mergeCell ref="H4:AH4"/>
    <mergeCell ref="B5:D5"/>
    <mergeCell ref="E5:G5"/>
    <mergeCell ref="H5:AE5"/>
    <mergeCell ref="A28:AI28"/>
    <mergeCell ref="A4:A6"/>
    <mergeCell ref="AF5:AF6"/>
    <mergeCell ref="AG5:AG6"/>
    <mergeCell ref="AH5:AH6"/>
    <mergeCell ref="AI4:AI6"/>
  </mergeCells>
  <printOptions horizontalCentered="1"/>
  <pageMargins left="0.393055555555556" right="0.393055555555556" top="0.590277777777778" bottom="0.590277777777778" header="0.196527777777778" footer="0.196527777777778"/>
  <pageSetup paperSize="9" scale="47"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3"/>
  <sheetViews>
    <sheetView showZeros="0" view="pageBreakPreview" zoomScaleNormal="90" workbookViewId="0">
      <pane ySplit="5" topLeftCell="A20" activePane="bottomLeft" state="frozen"/>
      <selection/>
      <selection pane="bottomLeft" activeCell="G23" sqref="G23:H24"/>
    </sheetView>
  </sheetViews>
  <sheetFormatPr defaultColWidth="9" defaultRowHeight="30" customHeight="1"/>
  <cols>
    <col min="1" max="1" width="40.625" style="131" customWidth="1"/>
    <col min="2" max="9" width="15.625" style="131" customWidth="1"/>
    <col min="10" max="10" width="30.625" style="131" customWidth="1"/>
    <col min="11" max="11" width="10.5" style="82" customWidth="1"/>
    <col min="12" max="12" width="11.625" style="82"/>
    <col min="13" max="13" width="12.875" style="82"/>
    <col min="14" max="92" width="9" style="82"/>
    <col min="93" max="16384" width="9" style="131"/>
  </cols>
  <sheetData>
    <row r="1" s="268" customFormat="1" ht="20" customHeight="1" spans="1:253">
      <c r="A1" s="269" t="s">
        <v>1261</v>
      </c>
      <c r="B1" s="131"/>
      <c r="C1" s="131"/>
      <c r="D1" s="131"/>
      <c r="E1" s="131"/>
      <c r="F1" s="131"/>
      <c r="G1" s="131"/>
      <c r="H1" s="131"/>
      <c r="I1" s="131"/>
      <c r="J1" s="131"/>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row>
    <row r="2" s="131" customFormat="1" customHeight="1" spans="1:92">
      <c r="A2" s="27" t="s">
        <v>1262</v>
      </c>
      <c r="B2" s="27"/>
      <c r="C2" s="27"/>
      <c r="D2" s="27"/>
      <c r="E2" s="27"/>
      <c r="F2" s="27"/>
      <c r="G2" s="27"/>
      <c r="H2" s="27"/>
      <c r="I2" s="27"/>
      <c r="J2" s="27"/>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row>
    <row r="3" s="158" customFormat="1" ht="20" customHeight="1" spans="10:92">
      <c r="J3" s="192" t="s">
        <v>27</v>
      </c>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row>
    <row r="4" s="269" customFormat="1" customHeight="1" spans="1:92">
      <c r="A4" s="30" t="s">
        <v>28</v>
      </c>
      <c r="B4" s="39" t="s">
        <v>29</v>
      </c>
      <c r="C4" s="183"/>
      <c r="D4" s="184" t="s">
        <v>31</v>
      </c>
      <c r="E4" s="184"/>
      <c r="F4" s="184" t="s">
        <v>32</v>
      </c>
      <c r="G4" s="184"/>
      <c r="H4" s="271" t="s">
        <v>33</v>
      </c>
      <c r="I4" s="271"/>
      <c r="J4" s="30" t="s">
        <v>34</v>
      </c>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row>
    <row r="5" s="269" customFormat="1" customHeight="1" spans="1:92">
      <c r="A5" s="30"/>
      <c r="B5" s="272" t="s">
        <v>35</v>
      </c>
      <c r="C5" s="272" t="s">
        <v>36</v>
      </c>
      <c r="D5" s="184" t="s">
        <v>35</v>
      </c>
      <c r="E5" s="273" t="s">
        <v>36</v>
      </c>
      <c r="F5" s="184" t="s">
        <v>35</v>
      </c>
      <c r="G5" s="273" t="s">
        <v>36</v>
      </c>
      <c r="H5" s="271" t="s">
        <v>35</v>
      </c>
      <c r="I5" s="279" t="s">
        <v>36</v>
      </c>
      <c r="J5" s="30"/>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row>
    <row r="6" s="270" customFormat="1" customHeight="1" spans="1:253">
      <c r="A6" s="274" t="s">
        <v>1263</v>
      </c>
      <c r="B6" s="64">
        <f t="shared" ref="B6:G6" si="0">SUM(B7:B15)</f>
        <v>239952.123058037</v>
      </c>
      <c r="C6" s="64">
        <f t="shared" si="0"/>
        <v>239952.123058037</v>
      </c>
      <c r="D6" s="64">
        <f t="shared" si="0"/>
        <v>-118446.898772323</v>
      </c>
      <c r="E6" s="64">
        <f t="shared" si="0"/>
        <v>-134784.373058037</v>
      </c>
      <c r="F6" s="64">
        <f t="shared" si="0"/>
        <v>121505.224285714</v>
      </c>
      <c r="G6" s="64">
        <f t="shared" si="0"/>
        <v>105167.75</v>
      </c>
      <c r="H6" s="275">
        <f t="shared" ref="H6:H13" si="1">IF(B6=0,IF(F6=0,0,100),100*(F6/B6-1))</f>
        <v>-49.3627217224806</v>
      </c>
      <c r="I6" s="275">
        <f t="shared" ref="I6:I13" si="2">IF(C6=0,IF(G6=0,0,100),100*(G6/C6-1))</f>
        <v>-56.1713609116253</v>
      </c>
      <c r="J6" s="280"/>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83"/>
      <c r="CP6" s="283"/>
      <c r="CQ6" s="283"/>
      <c r="CR6" s="283"/>
      <c r="CS6" s="283"/>
      <c r="CT6" s="283"/>
      <c r="CU6" s="283"/>
      <c r="CV6" s="283"/>
      <c r="CW6" s="283"/>
      <c r="CX6" s="283"/>
      <c r="CY6" s="283"/>
      <c r="CZ6" s="283"/>
      <c r="DA6" s="283"/>
      <c r="DB6" s="283"/>
      <c r="DC6" s="283"/>
      <c r="DD6" s="283"/>
      <c r="DE6" s="283"/>
      <c r="DF6" s="283"/>
      <c r="DG6" s="283"/>
      <c r="DH6" s="283"/>
      <c r="DI6" s="283"/>
      <c r="DJ6" s="283"/>
      <c r="DK6" s="283"/>
      <c r="DL6" s="283"/>
      <c r="DM6" s="283"/>
      <c r="DN6" s="283"/>
      <c r="DO6" s="283"/>
      <c r="DP6" s="283"/>
      <c r="DQ6" s="283"/>
      <c r="DR6" s="283"/>
      <c r="DS6" s="283"/>
      <c r="DT6" s="283"/>
      <c r="DU6" s="283"/>
      <c r="DV6" s="283"/>
      <c r="DW6" s="283"/>
      <c r="DX6" s="283"/>
      <c r="DY6" s="283"/>
      <c r="DZ6" s="283"/>
      <c r="EA6" s="283"/>
      <c r="EB6" s="283"/>
      <c r="EC6" s="283"/>
      <c r="ED6" s="283"/>
      <c r="EE6" s="283"/>
      <c r="EF6" s="283"/>
      <c r="EG6" s="283"/>
      <c r="EH6" s="283"/>
      <c r="EI6" s="283"/>
      <c r="EJ6" s="283"/>
      <c r="EK6" s="283"/>
      <c r="EL6" s="283"/>
      <c r="EM6" s="283"/>
      <c r="EN6" s="283"/>
      <c r="EO6" s="283"/>
      <c r="EP6" s="283"/>
      <c r="EQ6" s="283"/>
      <c r="ER6" s="283"/>
      <c r="ES6" s="283"/>
      <c r="ET6" s="283"/>
      <c r="EU6" s="283"/>
      <c r="EV6" s="283"/>
      <c r="EW6" s="283"/>
      <c r="EX6" s="283"/>
      <c r="EY6" s="283"/>
      <c r="EZ6" s="283"/>
      <c r="FA6" s="283"/>
      <c r="FB6" s="283"/>
      <c r="FC6" s="283"/>
      <c r="FD6" s="283"/>
      <c r="FE6" s="283"/>
      <c r="FF6" s="283"/>
      <c r="FG6" s="283"/>
      <c r="FH6" s="283"/>
      <c r="FI6" s="283"/>
      <c r="FJ6" s="283"/>
      <c r="FK6" s="283"/>
      <c r="FL6" s="283"/>
      <c r="FM6" s="283"/>
      <c r="FN6" s="283"/>
      <c r="FO6" s="283"/>
      <c r="FP6" s="283"/>
      <c r="FQ6" s="283"/>
      <c r="FR6" s="283"/>
      <c r="FS6" s="283"/>
      <c r="FT6" s="283"/>
      <c r="FU6" s="283"/>
      <c r="FV6" s="283"/>
      <c r="FW6" s="283"/>
      <c r="FX6" s="283"/>
      <c r="FY6" s="283"/>
      <c r="FZ6" s="283"/>
      <c r="GA6" s="283"/>
      <c r="GB6" s="283"/>
      <c r="GC6" s="283"/>
      <c r="GD6" s="283"/>
      <c r="GE6" s="283"/>
      <c r="GF6" s="283"/>
      <c r="GG6" s="283"/>
      <c r="GH6" s="283"/>
      <c r="GI6" s="283"/>
      <c r="GJ6" s="283"/>
      <c r="GK6" s="283"/>
      <c r="GL6" s="283"/>
      <c r="GM6" s="283"/>
      <c r="GN6" s="283"/>
      <c r="GO6" s="283"/>
      <c r="GP6" s="283"/>
      <c r="GQ6" s="283"/>
      <c r="GR6" s="283"/>
      <c r="GS6" s="283"/>
      <c r="GT6" s="283"/>
      <c r="GU6" s="283"/>
      <c r="GV6" s="283"/>
      <c r="GW6" s="283"/>
      <c r="GX6" s="283"/>
      <c r="GY6" s="283"/>
      <c r="GZ6" s="283"/>
      <c r="HA6" s="283"/>
      <c r="HB6" s="283"/>
      <c r="HC6" s="283"/>
      <c r="HD6" s="283"/>
      <c r="HE6" s="283"/>
      <c r="HF6" s="283"/>
      <c r="HG6" s="283"/>
      <c r="HH6" s="283"/>
      <c r="HI6" s="283"/>
      <c r="HJ6" s="283"/>
      <c r="HK6" s="283"/>
      <c r="HL6" s="283"/>
      <c r="HM6" s="283"/>
      <c r="HN6" s="283"/>
      <c r="HO6" s="283"/>
      <c r="HP6" s="283"/>
      <c r="HQ6" s="283"/>
      <c r="HR6" s="283"/>
      <c r="HS6" s="283"/>
      <c r="HT6" s="283"/>
      <c r="HU6" s="283"/>
      <c r="HV6" s="283"/>
      <c r="HW6" s="283"/>
      <c r="HX6" s="283"/>
      <c r="HY6" s="283"/>
      <c r="HZ6" s="283"/>
      <c r="IA6" s="283"/>
      <c r="IB6" s="283"/>
      <c r="IC6" s="283"/>
      <c r="ID6" s="283"/>
      <c r="IE6" s="283"/>
      <c r="IF6" s="283"/>
      <c r="IG6" s="283"/>
      <c r="IH6" s="283"/>
      <c r="II6" s="283"/>
      <c r="IJ6" s="283"/>
      <c r="IK6" s="283"/>
      <c r="IL6" s="283"/>
      <c r="IM6" s="283"/>
      <c r="IN6" s="283"/>
      <c r="IO6" s="283"/>
      <c r="IP6" s="283"/>
      <c r="IQ6" s="283"/>
      <c r="IR6" s="283"/>
      <c r="IS6" s="283"/>
    </row>
    <row r="7" s="268" customFormat="1" customHeight="1" spans="1:253">
      <c r="A7" s="70" t="s">
        <v>1264</v>
      </c>
      <c r="B7" s="17">
        <f>196292.12*0.05</f>
        <v>9814.606</v>
      </c>
      <c r="C7" s="17">
        <f>196292.12*0.05</f>
        <v>9814.606</v>
      </c>
      <c r="D7" s="17">
        <f>F7-B7</f>
        <v>-6834.606</v>
      </c>
      <c r="E7" s="17">
        <f>G7-C7</f>
        <v>-6834.606</v>
      </c>
      <c r="F7" s="17">
        <v>2980</v>
      </c>
      <c r="G7" s="17">
        <v>2980</v>
      </c>
      <c r="H7" s="148">
        <f t="shared" si="1"/>
        <v>-69.6370898638213</v>
      </c>
      <c r="I7" s="148">
        <f t="shared" si="2"/>
        <v>-69.6370898638213</v>
      </c>
      <c r="J7" s="17"/>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row>
    <row r="8" s="268" customFormat="1" customHeight="1" spans="1:253">
      <c r="A8" s="70" t="s">
        <v>1265</v>
      </c>
      <c r="B8" s="17">
        <f>870.5866*666.67*13*0.7*0.0001+179.811141</f>
        <v>707.96965244602</v>
      </c>
      <c r="C8" s="17">
        <f>870.5866*666.67*13*0.7*0.0001+179.811141</f>
        <v>707.96965244602</v>
      </c>
      <c r="D8" s="17">
        <f t="shared" ref="D8:D15" si="3">F8-B8</f>
        <v>34.09034755398</v>
      </c>
      <c r="E8" s="17">
        <f t="shared" ref="E8:E15" si="4">G8-C8</f>
        <v>-42.9696524460199</v>
      </c>
      <c r="F8" s="17">
        <f>950*0.7+77.06</f>
        <v>742.06</v>
      </c>
      <c r="G8" s="17">
        <f>950*0.7</f>
        <v>665</v>
      </c>
      <c r="H8" s="148">
        <f t="shared" si="1"/>
        <v>4.81522723978332</v>
      </c>
      <c r="I8" s="148">
        <f t="shared" si="2"/>
        <v>-6.06942010827169</v>
      </c>
      <c r="J8" s="17"/>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row>
    <row r="9" s="268" customFormat="1" customHeight="1" spans="1:253">
      <c r="A9" s="70" t="s">
        <v>1266</v>
      </c>
      <c r="B9" s="17">
        <f>196292.12-196292.12*0.05-870.5866*666.67*13*0.0001-256.87-600+1200</f>
        <v>186066.131840791</v>
      </c>
      <c r="C9" s="17">
        <f>196292.12-196292.12*0.05-870.5866*666.67*13*0.0001-256.87-600+1200</f>
        <v>186066.131840791</v>
      </c>
      <c r="D9" s="17">
        <f t="shared" si="3"/>
        <v>-96893.9675550771</v>
      </c>
      <c r="E9" s="17">
        <f t="shared" si="4"/>
        <v>-113154.381840791</v>
      </c>
      <c r="F9" s="17">
        <f>77091.75-F7-(F8/0.7)-1750+1500+16370.5</f>
        <v>89172.1642857143</v>
      </c>
      <c r="G9" s="17">
        <f>77091.75-G7-(G8/0.7)-1750+1500</f>
        <v>72911.75</v>
      </c>
      <c r="H9" s="148">
        <f t="shared" si="1"/>
        <v>-52.0750158002882</v>
      </c>
      <c r="I9" s="148">
        <f t="shared" si="2"/>
        <v>-60.8140668703817</v>
      </c>
      <c r="J9" s="17"/>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row>
    <row r="10" s="268" customFormat="1" customHeight="1" spans="1:253">
      <c r="A10" s="70" t="s">
        <v>1267</v>
      </c>
      <c r="B10" s="17">
        <f>2000+6000+8000</f>
        <v>16000</v>
      </c>
      <c r="C10" s="17">
        <f>2000+6000+8000</f>
        <v>16000</v>
      </c>
      <c r="D10" s="17">
        <f t="shared" si="3"/>
        <v>-15700</v>
      </c>
      <c r="E10" s="17">
        <f t="shared" si="4"/>
        <v>-15700</v>
      </c>
      <c r="F10" s="17">
        <v>300</v>
      </c>
      <c r="G10" s="17">
        <v>300</v>
      </c>
      <c r="H10" s="148">
        <f t="shared" si="1"/>
        <v>-98.125</v>
      </c>
      <c r="I10" s="148">
        <f t="shared" si="2"/>
        <v>-98.125</v>
      </c>
      <c r="J10" s="17"/>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1"/>
    </row>
    <row r="11" s="268" customFormat="1" customHeight="1" spans="1:253">
      <c r="A11" s="70" t="s">
        <v>1268</v>
      </c>
      <c r="B11" s="17">
        <v>5000</v>
      </c>
      <c r="C11" s="17">
        <v>5000</v>
      </c>
      <c r="D11" s="17">
        <f t="shared" si="3"/>
        <v>-4200</v>
      </c>
      <c r="E11" s="17">
        <f t="shared" si="4"/>
        <v>-4200</v>
      </c>
      <c r="F11" s="17">
        <v>800</v>
      </c>
      <c r="G11" s="17">
        <v>800</v>
      </c>
      <c r="H11" s="148">
        <f t="shared" si="1"/>
        <v>-84</v>
      </c>
      <c r="I11" s="148">
        <f t="shared" si="2"/>
        <v>-84</v>
      </c>
      <c r="J11" s="17"/>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c r="IR11" s="131"/>
      <c r="IS11" s="131"/>
    </row>
    <row r="12" s="268" customFormat="1" customHeight="1" spans="1:253">
      <c r="A12" s="70" t="s">
        <v>1269</v>
      </c>
      <c r="B12" s="17">
        <v>20000</v>
      </c>
      <c r="C12" s="17">
        <v>20000</v>
      </c>
      <c r="D12" s="17">
        <f t="shared" si="3"/>
        <v>4083</v>
      </c>
      <c r="E12" s="17">
        <f t="shared" si="4"/>
        <v>4083</v>
      </c>
      <c r="F12" s="17">
        <f>17083+7000</f>
        <v>24083</v>
      </c>
      <c r="G12" s="17">
        <f>17083+7000</f>
        <v>24083</v>
      </c>
      <c r="H12" s="148">
        <f t="shared" si="1"/>
        <v>20.415</v>
      </c>
      <c r="I12" s="148">
        <f t="shared" si="2"/>
        <v>20.415</v>
      </c>
      <c r="J12" s="245"/>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c r="IR12" s="131"/>
      <c r="IS12" s="131"/>
    </row>
    <row r="13" s="268" customFormat="1" customHeight="1" spans="1:253">
      <c r="A13" s="70" t="s">
        <v>1270</v>
      </c>
      <c r="B13" s="17">
        <f>-10000+303.4155648</f>
        <v>-9696.5844352</v>
      </c>
      <c r="C13" s="17">
        <f>-10000+303.4155648</f>
        <v>-9696.5844352</v>
      </c>
      <c r="D13" s="17">
        <f t="shared" si="3"/>
        <v>731.5844352</v>
      </c>
      <c r="E13" s="17">
        <f t="shared" si="4"/>
        <v>731.5844352</v>
      </c>
      <c r="F13" s="17">
        <v>-8965</v>
      </c>
      <c r="G13" s="17">
        <v>-8965</v>
      </c>
      <c r="H13" s="148">
        <f t="shared" si="1"/>
        <v>-7.54476424238872</v>
      </c>
      <c r="I13" s="148">
        <f t="shared" si="2"/>
        <v>-7.54476424238872</v>
      </c>
      <c r="J13" s="17"/>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row>
    <row r="14" s="268" customFormat="1" customHeight="1" spans="1:253">
      <c r="A14" s="70" t="s">
        <v>1271</v>
      </c>
      <c r="B14" s="17">
        <v>60</v>
      </c>
      <c r="C14" s="17">
        <v>60</v>
      </c>
      <c r="D14" s="17">
        <f t="shared" si="3"/>
        <v>33</v>
      </c>
      <c r="E14" s="17">
        <f t="shared" si="4"/>
        <v>33</v>
      </c>
      <c r="F14" s="17">
        <v>93</v>
      </c>
      <c r="G14" s="17">
        <v>93</v>
      </c>
      <c r="H14" s="148">
        <f t="shared" ref="H14:H21" si="5">IF(B14=0,IF(F14=0,0,100),100*(F14/B14-1))</f>
        <v>55</v>
      </c>
      <c r="I14" s="148">
        <f t="shared" ref="I14:I22" si="6">IF(C14=0,IF(G14=0,0,100),100*(G14/C14-1))</f>
        <v>55</v>
      </c>
      <c r="J14" s="17"/>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row>
    <row r="15" s="268" customFormat="1" customHeight="1" spans="1:253">
      <c r="A15" s="70" t="s">
        <v>1272</v>
      </c>
      <c r="B15" s="17">
        <v>12000</v>
      </c>
      <c r="C15" s="17">
        <v>12000</v>
      </c>
      <c r="D15" s="17">
        <f t="shared" si="3"/>
        <v>300</v>
      </c>
      <c r="E15" s="17">
        <f t="shared" si="4"/>
        <v>300</v>
      </c>
      <c r="F15" s="17">
        <v>12300</v>
      </c>
      <c r="G15" s="17">
        <v>12300</v>
      </c>
      <c r="H15" s="148">
        <f t="shared" si="5"/>
        <v>2.49999999999999</v>
      </c>
      <c r="I15" s="148">
        <f t="shared" si="6"/>
        <v>2.49999999999999</v>
      </c>
      <c r="J15" s="17"/>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c r="EZ15" s="131"/>
      <c r="FA15" s="131"/>
      <c r="FB15" s="131"/>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c r="IR15" s="131"/>
      <c r="IS15" s="131"/>
    </row>
    <row r="16" s="270" customFormat="1" customHeight="1" spans="1:253">
      <c r="A16" s="167" t="s">
        <v>75</v>
      </c>
      <c r="B16" s="64">
        <f t="shared" ref="B16:G16" si="7">SUM(B6)</f>
        <v>239952.123058037</v>
      </c>
      <c r="C16" s="64">
        <f t="shared" si="7"/>
        <v>239952.123058037</v>
      </c>
      <c r="D16" s="64">
        <f t="shared" si="7"/>
        <v>-118446.898772323</v>
      </c>
      <c r="E16" s="64">
        <f t="shared" si="7"/>
        <v>-134784.373058037</v>
      </c>
      <c r="F16" s="64">
        <f t="shared" si="7"/>
        <v>121505.224285714</v>
      </c>
      <c r="G16" s="64">
        <f t="shared" si="7"/>
        <v>105167.75</v>
      </c>
      <c r="H16" s="148">
        <f t="shared" si="5"/>
        <v>-49.3627217224806</v>
      </c>
      <c r="I16" s="148">
        <f t="shared" si="6"/>
        <v>-56.1713609116253</v>
      </c>
      <c r="J16" s="17"/>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83"/>
      <c r="CP16" s="283"/>
      <c r="CQ16" s="283"/>
      <c r="CR16" s="283"/>
      <c r="CS16" s="283"/>
      <c r="CT16" s="283"/>
      <c r="CU16" s="283"/>
      <c r="CV16" s="283"/>
      <c r="CW16" s="283"/>
      <c r="CX16" s="283"/>
      <c r="CY16" s="283"/>
      <c r="CZ16" s="283"/>
      <c r="DA16" s="283"/>
      <c r="DB16" s="283"/>
      <c r="DC16" s="283"/>
      <c r="DD16" s="283"/>
      <c r="DE16" s="283"/>
      <c r="DF16" s="283"/>
      <c r="DG16" s="283"/>
      <c r="DH16" s="283"/>
      <c r="DI16" s="283"/>
      <c r="DJ16" s="283"/>
      <c r="DK16" s="283"/>
      <c r="DL16" s="283"/>
      <c r="DM16" s="283"/>
      <c r="DN16" s="283"/>
      <c r="DO16" s="283"/>
      <c r="DP16" s="283"/>
      <c r="DQ16" s="283"/>
      <c r="DR16" s="283"/>
      <c r="DS16" s="283"/>
      <c r="DT16" s="283"/>
      <c r="DU16" s="283"/>
      <c r="DV16" s="283"/>
      <c r="DW16" s="283"/>
      <c r="DX16" s="283"/>
      <c r="DY16" s="283"/>
      <c r="DZ16" s="283"/>
      <c r="EA16" s="283"/>
      <c r="EB16" s="283"/>
      <c r="EC16" s="283"/>
      <c r="ED16" s="283"/>
      <c r="EE16" s="283"/>
      <c r="EF16" s="283"/>
      <c r="EG16" s="283"/>
      <c r="EH16" s="283"/>
      <c r="EI16" s="283"/>
      <c r="EJ16" s="283"/>
      <c r="EK16" s="283"/>
      <c r="EL16" s="283"/>
      <c r="EM16" s="283"/>
      <c r="EN16" s="283"/>
      <c r="EO16" s="283"/>
      <c r="EP16" s="283"/>
      <c r="EQ16" s="283"/>
      <c r="ER16" s="283"/>
      <c r="ES16" s="283"/>
      <c r="ET16" s="283"/>
      <c r="EU16" s="283"/>
      <c r="EV16" s="283"/>
      <c r="EW16" s="283"/>
      <c r="EX16" s="283"/>
      <c r="EY16" s="283"/>
      <c r="EZ16" s="283"/>
      <c r="FA16" s="283"/>
      <c r="FB16" s="283"/>
      <c r="FC16" s="283"/>
      <c r="FD16" s="283"/>
      <c r="FE16" s="283"/>
      <c r="FF16" s="283"/>
      <c r="FG16" s="283"/>
      <c r="FH16" s="283"/>
      <c r="FI16" s="283"/>
      <c r="FJ16" s="283"/>
      <c r="FK16" s="283"/>
      <c r="FL16" s="283"/>
      <c r="FM16" s="283"/>
      <c r="FN16" s="283"/>
      <c r="FO16" s="283"/>
      <c r="FP16" s="283"/>
      <c r="FQ16" s="283"/>
      <c r="FR16" s="283"/>
      <c r="FS16" s="283"/>
      <c r="FT16" s="283"/>
      <c r="FU16" s="283"/>
      <c r="FV16" s="283"/>
      <c r="FW16" s="283"/>
      <c r="FX16" s="283"/>
      <c r="FY16" s="283"/>
      <c r="FZ16" s="283"/>
      <c r="GA16" s="283"/>
      <c r="GB16" s="283"/>
      <c r="GC16" s="283"/>
      <c r="GD16" s="283"/>
      <c r="GE16" s="283"/>
      <c r="GF16" s="283"/>
      <c r="GG16" s="283"/>
      <c r="GH16" s="283"/>
      <c r="GI16" s="283"/>
      <c r="GJ16" s="283"/>
      <c r="GK16" s="283"/>
      <c r="GL16" s="283"/>
      <c r="GM16" s="283"/>
      <c r="GN16" s="283"/>
      <c r="GO16" s="283"/>
      <c r="GP16" s="283"/>
      <c r="GQ16" s="283"/>
      <c r="GR16" s="283"/>
      <c r="GS16" s="283"/>
      <c r="GT16" s="283"/>
      <c r="GU16" s="283"/>
      <c r="GV16" s="283"/>
      <c r="GW16" s="283"/>
      <c r="GX16" s="283"/>
      <c r="GY16" s="283"/>
      <c r="GZ16" s="283"/>
      <c r="HA16" s="283"/>
      <c r="HB16" s="283"/>
      <c r="HC16" s="283"/>
      <c r="HD16" s="283"/>
      <c r="HE16" s="283"/>
      <c r="HF16" s="283"/>
      <c r="HG16" s="283"/>
      <c r="HH16" s="283"/>
      <c r="HI16" s="283"/>
      <c r="HJ16" s="283"/>
      <c r="HK16" s="283"/>
      <c r="HL16" s="283"/>
      <c r="HM16" s="283"/>
      <c r="HN16" s="283"/>
      <c r="HO16" s="283"/>
      <c r="HP16" s="283"/>
      <c r="HQ16" s="283"/>
      <c r="HR16" s="283"/>
      <c r="HS16" s="283"/>
      <c r="HT16" s="283"/>
      <c r="HU16" s="283"/>
      <c r="HV16" s="283"/>
      <c r="HW16" s="283"/>
      <c r="HX16" s="283"/>
      <c r="HY16" s="283"/>
      <c r="HZ16" s="283"/>
      <c r="IA16" s="283"/>
      <c r="IB16" s="283"/>
      <c r="IC16" s="283"/>
      <c r="ID16" s="283"/>
      <c r="IE16" s="283"/>
      <c r="IF16" s="283"/>
      <c r="IG16" s="283"/>
      <c r="IH16" s="283"/>
      <c r="II16" s="283"/>
      <c r="IJ16" s="283"/>
      <c r="IK16" s="283"/>
      <c r="IL16" s="283"/>
      <c r="IM16" s="283"/>
      <c r="IN16" s="283"/>
      <c r="IO16" s="283"/>
      <c r="IP16" s="283"/>
      <c r="IQ16" s="283"/>
      <c r="IR16" s="283"/>
      <c r="IS16" s="283"/>
    </row>
    <row r="17" s="268" customFormat="1" customHeight="1" spans="1:253">
      <c r="A17" s="274" t="s">
        <v>1273</v>
      </c>
      <c r="B17" s="64">
        <f>SUM(B18:B20)</f>
        <v>0</v>
      </c>
      <c r="C17" s="64">
        <f>SUM(C18:C21)</f>
        <v>31024</v>
      </c>
      <c r="D17" s="64"/>
      <c r="E17" s="64">
        <f>SUM(E18:E21)</f>
        <v>112251</v>
      </c>
      <c r="F17" s="276"/>
      <c r="G17" s="64">
        <f>SUM(G18:G21)</f>
        <v>143275</v>
      </c>
      <c r="H17" s="148">
        <f t="shared" si="5"/>
        <v>0</v>
      </c>
      <c r="I17" s="148">
        <f t="shared" si="6"/>
        <v>361.819881382156</v>
      </c>
      <c r="J17" s="199"/>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c r="IR17" s="131"/>
      <c r="IS17" s="131"/>
    </row>
    <row r="18" s="268" customFormat="1" customHeight="1" spans="1:253">
      <c r="A18" s="361" t="s">
        <v>1274</v>
      </c>
      <c r="B18" s="17"/>
      <c r="C18" s="17">
        <v>509</v>
      </c>
      <c r="D18" s="17"/>
      <c r="E18" s="277">
        <f>G18-C18</f>
        <v>391</v>
      </c>
      <c r="F18" s="277"/>
      <c r="G18" s="277">
        <v>900</v>
      </c>
      <c r="H18" s="148">
        <f t="shared" si="5"/>
        <v>0</v>
      </c>
      <c r="I18" s="148">
        <f t="shared" si="6"/>
        <v>76.8172888015717</v>
      </c>
      <c r="J18" s="199"/>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1"/>
      <c r="IL18" s="131"/>
      <c r="IM18" s="131"/>
      <c r="IN18" s="131"/>
      <c r="IO18" s="131"/>
      <c r="IP18" s="131"/>
      <c r="IQ18" s="131"/>
      <c r="IR18" s="131"/>
      <c r="IS18" s="131"/>
    </row>
    <row r="19" s="268" customFormat="1" customHeight="1" spans="1:253">
      <c r="A19" s="361" t="s">
        <v>1275</v>
      </c>
      <c r="B19" s="17"/>
      <c r="C19" s="17">
        <v>5215</v>
      </c>
      <c r="D19" s="17"/>
      <c r="E19" s="277">
        <f>G19-C19</f>
        <v>0</v>
      </c>
      <c r="F19" s="277"/>
      <c r="G19" s="17">
        <v>5215</v>
      </c>
      <c r="H19" s="148">
        <f t="shared" si="5"/>
        <v>0</v>
      </c>
      <c r="I19" s="148">
        <f t="shared" si="6"/>
        <v>0</v>
      </c>
      <c r="J19" s="199"/>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c r="IR19" s="131"/>
      <c r="IS19" s="131"/>
    </row>
    <row r="20" s="268" customFormat="1" customHeight="1" spans="1:253">
      <c r="A20" s="70" t="s">
        <v>1276</v>
      </c>
      <c r="B20" s="17">
        <v>0</v>
      </c>
      <c r="C20" s="17">
        <f>24700</f>
        <v>24700</v>
      </c>
      <c r="D20" s="17"/>
      <c r="E20" s="277">
        <f>G20-C20</f>
        <v>85300</v>
      </c>
      <c r="F20" s="277"/>
      <c r="G20" s="277">
        <v>110000</v>
      </c>
      <c r="H20" s="148">
        <f t="shared" si="5"/>
        <v>0</v>
      </c>
      <c r="I20" s="148">
        <f t="shared" si="6"/>
        <v>345.344129554656</v>
      </c>
      <c r="J20" s="281"/>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c r="IG20" s="131"/>
      <c r="IH20" s="131"/>
      <c r="II20" s="131"/>
      <c r="IJ20" s="131"/>
      <c r="IK20" s="131"/>
      <c r="IL20" s="131"/>
      <c r="IM20" s="131"/>
      <c r="IN20" s="131"/>
      <c r="IO20" s="131"/>
      <c r="IP20" s="131"/>
      <c r="IQ20" s="131"/>
      <c r="IR20" s="131"/>
      <c r="IS20" s="131"/>
    </row>
    <row r="21" s="268" customFormat="1" customHeight="1" spans="1:253">
      <c r="A21" s="70" t="s">
        <v>1277</v>
      </c>
      <c r="B21" s="17"/>
      <c r="C21" s="17">
        <v>600</v>
      </c>
      <c r="D21" s="17"/>
      <c r="E21" s="277">
        <f>G21-C21</f>
        <v>26560</v>
      </c>
      <c r="F21" s="277"/>
      <c r="G21" s="277">
        <f>30960-3800</f>
        <v>27160</v>
      </c>
      <c r="H21" s="148"/>
      <c r="I21" s="148">
        <f t="shared" si="6"/>
        <v>4426.66666666667</v>
      </c>
      <c r="J21" s="281"/>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c r="IR21" s="131"/>
      <c r="IS21" s="131"/>
    </row>
    <row r="22" s="270" customFormat="1" customHeight="1" spans="1:253">
      <c r="A22" s="167" t="s">
        <v>89</v>
      </c>
      <c r="B22" s="64">
        <f t="shared" ref="B22:G22" si="8">+B17+B16</f>
        <v>239952.123058037</v>
      </c>
      <c r="C22" s="64">
        <f t="shared" si="8"/>
        <v>270976.123058037</v>
      </c>
      <c r="D22" s="64">
        <f t="shared" si="8"/>
        <v>-118446.898772323</v>
      </c>
      <c r="E22" s="64">
        <f t="shared" si="8"/>
        <v>-22533.3730580374</v>
      </c>
      <c r="F22" s="64">
        <f t="shared" si="8"/>
        <v>121505.224285714</v>
      </c>
      <c r="G22" s="64">
        <f t="shared" si="8"/>
        <v>248442.75</v>
      </c>
      <c r="H22" s="148">
        <f>IF(B22=0,IF(F22=0,0,100),100*(F22/B22-1))</f>
        <v>-49.3627217224806</v>
      </c>
      <c r="I22" s="148">
        <f t="shared" si="6"/>
        <v>-8.31563047095897</v>
      </c>
      <c r="J22" s="28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83"/>
      <c r="CP22" s="283"/>
      <c r="CQ22" s="283"/>
      <c r="CR22" s="283"/>
      <c r="CS22" s="283"/>
      <c r="CT22" s="283"/>
      <c r="CU22" s="283"/>
      <c r="CV22" s="283"/>
      <c r="CW22" s="283"/>
      <c r="CX22" s="283"/>
      <c r="CY22" s="283"/>
      <c r="CZ22" s="283"/>
      <c r="DA22" s="283"/>
      <c r="DB22" s="283"/>
      <c r="DC22" s="283"/>
      <c r="DD22" s="283"/>
      <c r="DE22" s="283"/>
      <c r="DF22" s="283"/>
      <c r="DG22" s="283"/>
      <c r="DH22" s="283"/>
      <c r="DI22" s="283"/>
      <c r="DJ22" s="283"/>
      <c r="DK22" s="283"/>
      <c r="DL22" s="283"/>
      <c r="DM22" s="283"/>
      <c r="DN22" s="283"/>
      <c r="DO22" s="283"/>
      <c r="DP22" s="283"/>
      <c r="DQ22" s="283"/>
      <c r="DR22" s="283"/>
      <c r="DS22" s="283"/>
      <c r="DT22" s="283"/>
      <c r="DU22" s="283"/>
      <c r="DV22" s="283"/>
      <c r="DW22" s="283"/>
      <c r="DX22" s="283"/>
      <c r="DY22" s="283"/>
      <c r="DZ22" s="283"/>
      <c r="EA22" s="283"/>
      <c r="EB22" s="283"/>
      <c r="EC22" s="283"/>
      <c r="ED22" s="283"/>
      <c r="EE22" s="283"/>
      <c r="EF22" s="283"/>
      <c r="EG22" s="283"/>
      <c r="EH22" s="283"/>
      <c r="EI22" s="283"/>
      <c r="EJ22" s="283"/>
      <c r="EK22" s="283"/>
      <c r="EL22" s="283"/>
      <c r="EM22" s="283"/>
      <c r="EN22" s="283"/>
      <c r="EO22" s="283"/>
      <c r="EP22" s="283"/>
      <c r="EQ22" s="283"/>
      <c r="ER22" s="283"/>
      <c r="ES22" s="283"/>
      <c r="ET22" s="283"/>
      <c r="EU22" s="283"/>
      <c r="EV22" s="283"/>
      <c r="EW22" s="283"/>
      <c r="EX22" s="283"/>
      <c r="EY22" s="283"/>
      <c r="EZ22" s="283"/>
      <c r="FA22" s="283"/>
      <c r="FB22" s="283"/>
      <c r="FC22" s="283"/>
      <c r="FD22" s="283"/>
      <c r="FE22" s="283"/>
      <c r="FF22" s="283"/>
      <c r="FG22" s="283"/>
      <c r="FH22" s="283"/>
      <c r="FI22" s="283"/>
      <c r="FJ22" s="283"/>
      <c r="FK22" s="283"/>
      <c r="FL22" s="283"/>
      <c r="FM22" s="283"/>
      <c r="FN22" s="283"/>
      <c r="FO22" s="283"/>
      <c r="FP22" s="283"/>
      <c r="FQ22" s="283"/>
      <c r="FR22" s="283"/>
      <c r="FS22" s="283"/>
      <c r="FT22" s="283"/>
      <c r="FU22" s="283"/>
      <c r="FV22" s="283"/>
      <c r="FW22" s="283"/>
      <c r="FX22" s="283"/>
      <c r="FY22" s="283"/>
      <c r="FZ22" s="283"/>
      <c r="GA22" s="283"/>
      <c r="GB22" s="283"/>
      <c r="GC22" s="283"/>
      <c r="GD22" s="283"/>
      <c r="GE22" s="283"/>
      <c r="GF22" s="283"/>
      <c r="GG22" s="283"/>
      <c r="GH22" s="283"/>
      <c r="GI22" s="283"/>
      <c r="GJ22" s="283"/>
      <c r="GK22" s="283"/>
      <c r="GL22" s="283"/>
      <c r="GM22" s="283"/>
      <c r="GN22" s="283"/>
      <c r="GO22" s="283"/>
      <c r="GP22" s="283"/>
      <c r="GQ22" s="283"/>
      <c r="GR22" s="283"/>
      <c r="GS22" s="283"/>
      <c r="GT22" s="283"/>
      <c r="GU22" s="283"/>
      <c r="GV22" s="283"/>
      <c r="GW22" s="283"/>
      <c r="GX22" s="283"/>
      <c r="GY22" s="283"/>
      <c r="GZ22" s="283"/>
      <c r="HA22" s="283"/>
      <c r="HB22" s="283"/>
      <c r="HC22" s="283"/>
      <c r="HD22" s="283"/>
      <c r="HE22" s="283"/>
      <c r="HF22" s="283"/>
      <c r="HG22" s="283"/>
      <c r="HH22" s="283"/>
      <c r="HI22" s="283"/>
      <c r="HJ22" s="283"/>
      <c r="HK22" s="283"/>
      <c r="HL22" s="283"/>
      <c r="HM22" s="283"/>
      <c r="HN22" s="283"/>
      <c r="HO22" s="283"/>
      <c r="HP22" s="283"/>
      <c r="HQ22" s="283"/>
      <c r="HR22" s="283"/>
      <c r="HS22" s="283"/>
      <c r="HT22" s="283"/>
      <c r="HU22" s="283"/>
      <c r="HV22" s="283"/>
      <c r="HW22" s="283"/>
      <c r="HX22" s="283"/>
      <c r="HY22" s="283"/>
      <c r="HZ22" s="283"/>
      <c r="IA22" s="283"/>
      <c r="IB22" s="283"/>
      <c r="IC22" s="283"/>
      <c r="ID22" s="283"/>
      <c r="IE22" s="283"/>
      <c r="IF22" s="283"/>
      <c r="IG22" s="283"/>
      <c r="IH22" s="283"/>
      <c r="II22" s="283"/>
      <c r="IJ22" s="283"/>
      <c r="IK22" s="283"/>
      <c r="IL22" s="283"/>
      <c r="IM22" s="283"/>
      <c r="IN22" s="283"/>
      <c r="IO22" s="283"/>
      <c r="IP22" s="283"/>
      <c r="IQ22" s="283"/>
      <c r="IR22" s="283"/>
      <c r="IS22" s="283"/>
    </row>
    <row r="23" s="131" customFormat="1" customHeight="1" spans="11:9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row>
  </sheetData>
  <mergeCells count="7">
    <mergeCell ref="A2:J2"/>
    <mergeCell ref="B4:C4"/>
    <mergeCell ref="D4:E4"/>
    <mergeCell ref="F4:G4"/>
    <mergeCell ref="H4:I4"/>
    <mergeCell ref="A4:A5"/>
    <mergeCell ref="J4:J5"/>
  </mergeCells>
  <printOptions horizontalCentered="1"/>
  <pageMargins left="0.393055555555556" right="0.393055555555556" top="0.590277777777778" bottom="0.590277777777778" header="0.196527777777778" footer="0.196527777777778"/>
  <pageSetup paperSize="9" scale="66"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1"/>
  <sheetViews>
    <sheetView topLeftCell="A20" workbookViewId="0">
      <selection activeCell="B1" sqref="B1"/>
    </sheetView>
  </sheetViews>
  <sheetFormatPr defaultColWidth="9" defaultRowHeight="30" customHeight="1"/>
  <cols>
    <col min="1" max="1" width="8.625" style="55" customWidth="1"/>
    <col min="2" max="2" width="20.625" style="24" customWidth="1"/>
    <col min="3" max="3" width="15.625" style="217" customWidth="1"/>
    <col min="4" max="4" width="40.625" style="216" customWidth="1"/>
    <col min="5" max="5" width="13.625" style="216" customWidth="1"/>
    <col min="6" max="6" width="12.625" style="72" hidden="1" customWidth="1"/>
    <col min="7" max="7" width="13.625" style="72" customWidth="1"/>
    <col min="8" max="8" width="12.625" style="72" hidden="1" customWidth="1"/>
    <col min="9" max="10" width="13.625" style="72" customWidth="1"/>
    <col min="11" max="11" width="9.125" style="72" hidden="1" customWidth="1"/>
    <col min="12" max="12" width="13.625" style="216" customWidth="1"/>
    <col min="13" max="13" width="80.625" style="213" customWidth="1"/>
    <col min="14" max="25" width="10.625" style="213" hidden="1" customWidth="1"/>
    <col min="26" max="16384" width="9" style="213"/>
  </cols>
  <sheetData>
    <row r="1" s="131" customFormat="1" ht="20" customHeight="1" spans="1:10">
      <c r="A1" s="218" t="s">
        <v>1278</v>
      </c>
      <c r="B1" s="163"/>
      <c r="C1" s="219"/>
      <c r="D1" s="219"/>
      <c r="E1" s="219"/>
      <c r="F1" s="219"/>
      <c r="G1" s="219"/>
      <c r="H1" s="219"/>
      <c r="I1" s="219"/>
      <c r="J1" s="219"/>
    </row>
    <row r="2" s="212" customFormat="1" customHeight="1" spans="1:13">
      <c r="A2" s="220" t="s">
        <v>1279</v>
      </c>
      <c r="B2" s="220"/>
      <c r="C2" s="220"/>
      <c r="D2" s="220"/>
      <c r="E2" s="221"/>
      <c r="F2" s="222"/>
      <c r="G2" s="222"/>
      <c r="H2" s="222"/>
      <c r="I2" s="222"/>
      <c r="J2" s="222"/>
      <c r="K2" s="222"/>
      <c r="L2" s="220"/>
      <c r="M2" s="241"/>
    </row>
    <row r="3" s="213" customFormat="1" ht="20" customHeight="1" spans="1:15">
      <c r="A3" s="55"/>
      <c r="B3" s="24"/>
      <c r="C3" s="217"/>
      <c r="D3" s="216"/>
      <c r="E3" s="216"/>
      <c r="F3" s="72"/>
      <c r="G3" s="72"/>
      <c r="H3" s="72"/>
      <c r="I3" s="72"/>
      <c r="J3" s="72"/>
      <c r="K3" s="72"/>
      <c r="L3" s="216"/>
      <c r="M3" s="72" t="s">
        <v>27</v>
      </c>
      <c r="N3" s="24"/>
      <c r="O3" s="24"/>
    </row>
    <row r="4" s="60" customFormat="1" customHeight="1" spans="1:25">
      <c r="A4" s="223" t="s">
        <v>611</v>
      </c>
      <c r="B4" s="223" t="s">
        <v>1280</v>
      </c>
      <c r="C4" s="223" t="s">
        <v>1281</v>
      </c>
      <c r="D4" s="223" t="s">
        <v>1282</v>
      </c>
      <c r="E4" s="223" t="s">
        <v>1283</v>
      </c>
      <c r="F4" s="135" t="s">
        <v>1284</v>
      </c>
      <c r="G4" s="30" t="s">
        <v>29</v>
      </c>
      <c r="H4" s="224" t="s">
        <v>1285</v>
      </c>
      <c r="I4" s="223" t="s">
        <v>31</v>
      </c>
      <c r="J4" s="223" t="s">
        <v>32</v>
      </c>
      <c r="K4" s="135" t="s">
        <v>1286</v>
      </c>
      <c r="L4" s="30" t="s">
        <v>1287</v>
      </c>
      <c r="M4" s="223" t="s">
        <v>34</v>
      </c>
      <c r="N4" s="242" t="s">
        <v>1288</v>
      </c>
      <c r="O4" s="242" t="s">
        <v>1289</v>
      </c>
      <c r="P4" s="242" t="s">
        <v>1290</v>
      </c>
      <c r="Q4" s="242" t="s">
        <v>1291</v>
      </c>
      <c r="R4" s="242" t="s">
        <v>1292</v>
      </c>
      <c r="S4" s="242" t="s">
        <v>1293</v>
      </c>
      <c r="T4" s="242" t="s">
        <v>1294</v>
      </c>
      <c r="U4" s="242" t="s">
        <v>1295</v>
      </c>
      <c r="V4" s="242" t="s">
        <v>1296</v>
      </c>
      <c r="W4" s="242" t="s">
        <v>1297</v>
      </c>
      <c r="X4" s="242" t="s">
        <v>1298</v>
      </c>
      <c r="Y4" s="242" t="s">
        <v>1299</v>
      </c>
    </row>
    <row r="5" s="214" customFormat="1" customHeight="1" spans="1:25">
      <c r="A5" s="225">
        <v>1</v>
      </c>
      <c r="B5" s="225" t="s">
        <v>1300</v>
      </c>
      <c r="C5" s="226" t="s">
        <v>1301</v>
      </c>
      <c r="D5" s="78" t="s">
        <v>1302</v>
      </c>
      <c r="E5" s="148">
        <v>39.19</v>
      </c>
      <c r="F5" s="227">
        <v>19930</v>
      </c>
      <c r="G5" s="228">
        <v>19930</v>
      </c>
      <c r="H5" s="227">
        <v>0</v>
      </c>
      <c r="I5" s="227">
        <v>-12469.5</v>
      </c>
      <c r="J5" s="227">
        <f t="shared" ref="J5:J7" si="0">G5+I5</f>
        <v>7460.5</v>
      </c>
      <c r="K5" s="243">
        <f t="shared" ref="K5:K30" si="1">G5-H5</f>
        <v>19930</v>
      </c>
      <c r="L5" s="244" t="s">
        <v>1303</v>
      </c>
      <c r="M5" s="245" t="s">
        <v>1304</v>
      </c>
      <c r="N5" s="246"/>
      <c r="O5" s="246"/>
      <c r="P5" s="246"/>
      <c r="Q5" s="246"/>
      <c r="R5" s="246"/>
      <c r="S5" s="246"/>
      <c r="T5" s="246"/>
      <c r="U5" s="246"/>
      <c r="V5" s="246"/>
      <c r="W5" s="246"/>
      <c r="X5" s="246"/>
      <c r="Y5" s="246"/>
    </row>
    <row r="6" s="214" customFormat="1" customHeight="1" spans="1:25">
      <c r="A6" s="225">
        <v>2</v>
      </c>
      <c r="B6" s="225" t="s">
        <v>1300</v>
      </c>
      <c r="C6" s="226" t="s">
        <v>1301</v>
      </c>
      <c r="D6" s="78" t="s">
        <v>1305</v>
      </c>
      <c r="E6" s="148">
        <v>181.96</v>
      </c>
      <c r="F6" s="227">
        <v>92526.66</v>
      </c>
      <c r="G6" s="227">
        <v>66871</v>
      </c>
      <c r="H6" s="227">
        <v>0</v>
      </c>
      <c r="I6" s="227">
        <v>-66871</v>
      </c>
      <c r="J6" s="227">
        <f t="shared" si="0"/>
        <v>0</v>
      </c>
      <c r="K6" s="243">
        <f t="shared" si="1"/>
        <v>66871</v>
      </c>
      <c r="L6" s="244" t="s">
        <v>1303</v>
      </c>
      <c r="M6" s="245" t="s">
        <v>1306</v>
      </c>
      <c r="N6" s="246"/>
      <c r="O6" s="246"/>
      <c r="P6" s="246"/>
      <c r="Q6" s="246"/>
      <c r="R6" s="246"/>
      <c r="S6" s="246"/>
      <c r="T6" s="246"/>
      <c r="U6" s="246"/>
      <c r="V6" s="246"/>
      <c r="W6" s="246"/>
      <c r="X6" s="246"/>
      <c r="Y6" s="246"/>
    </row>
    <row r="7" s="214" customFormat="1" customHeight="1" spans="1:25">
      <c r="A7" s="229" t="s">
        <v>1307</v>
      </c>
      <c r="B7" s="229"/>
      <c r="C7" s="229"/>
      <c r="D7" s="229"/>
      <c r="E7" s="230">
        <f t="shared" ref="E7:I7" si="2">SUM(E5:E6)</f>
        <v>221.15</v>
      </c>
      <c r="F7" s="230">
        <f t="shared" si="2"/>
        <v>112456.66</v>
      </c>
      <c r="G7" s="230">
        <f t="shared" si="2"/>
        <v>86801</v>
      </c>
      <c r="H7" s="230">
        <f t="shared" si="2"/>
        <v>0</v>
      </c>
      <c r="I7" s="230">
        <f t="shared" si="2"/>
        <v>-79340.5</v>
      </c>
      <c r="J7" s="230">
        <f t="shared" si="0"/>
        <v>7460.5</v>
      </c>
      <c r="K7" s="247">
        <f t="shared" si="1"/>
        <v>86801</v>
      </c>
      <c r="L7" s="248"/>
      <c r="M7" s="249"/>
      <c r="N7" s="246"/>
      <c r="O7" s="246"/>
      <c r="P7" s="246"/>
      <c r="Q7" s="246"/>
      <c r="R7" s="246"/>
      <c r="S7" s="246"/>
      <c r="T7" s="246"/>
      <c r="U7" s="246"/>
      <c r="V7" s="246"/>
      <c r="W7" s="246"/>
      <c r="X7" s="246"/>
      <c r="Y7" s="246"/>
    </row>
    <row r="8" s="214" customFormat="1" customHeight="1" spans="1:25">
      <c r="A8" s="226">
        <v>3</v>
      </c>
      <c r="B8" s="231" t="s">
        <v>1308</v>
      </c>
      <c r="C8" s="78" t="s">
        <v>1301</v>
      </c>
      <c r="D8" s="232" t="s">
        <v>1309</v>
      </c>
      <c r="E8" s="148">
        <v>73.46</v>
      </c>
      <c r="F8" s="148">
        <v>21150</v>
      </c>
      <c r="G8" s="228">
        <v>21150</v>
      </c>
      <c r="H8" s="228">
        <v>0</v>
      </c>
      <c r="I8" s="227">
        <f>J8-G8</f>
        <v>-2150</v>
      </c>
      <c r="J8" s="227">
        <f>11500+7000-3000+2000+1500</f>
        <v>19000</v>
      </c>
      <c r="K8" s="243">
        <f t="shared" si="1"/>
        <v>21150</v>
      </c>
      <c r="L8" s="244" t="s">
        <v>1303</v>
      </c>
      <c r="M8" s="245"/>
      <c r="N8" s="246"/>
      <c r="O8" s="246"/>
      <c r="P8" s="246"/>
      <c r="Q8" s="246"/>
      <c r="R8" s="246"/>
      <c r="S8" s="246"/>
      <c r="T8" s="246"/>
      <c r="U8" s="246"/>
      <c r="V8" s="246"/>
      <c r="W8" s="246"/>
      <c r="X8" s="246"/>
      <c r="Y8" s="246"/>
    </row>
    <row r="9" s="214" customFormat="1" customHeight="1" spans="1:25">
      <c r="A9" s="233">
        <v>4</v>
      </c>
      <c r="B9" s="231" t="s">
        <v>1308</v>
      </c>
      <c r="C9" s="78" t="s">
        <v>1301</v>
      </c>
      <c r="D9" s="78" t="s">
        <v>1310</v>
      </c>
      <c r="E9" s="148">
        <v>78.79</v>
      </c>
      <c r="F9" s="228">
        <v>12842.5</v>
      </c>
      <c r="G9" s="228">
        <v>12842.5</v>
      </c>
      <c r="H9" s="228">
        <v>12842.5</v>
      </c>
      <c r="I9" s="227">
        <v>0</v>
      </c>
      <c r="J9" s="227">
        <f t="shared" ref="J9:J30" si="3">G9+I9</f>
        <v>12842.5</v>
      </c>
      <c r="K9" s="243">
        <f t="shared" si="1"/>
        <v>0</v>
      </c>
      <c r="L9" s="244" t="s">
        <v>1303</v>
      </c>
      <c r="M9" s="245"/>
      <c r="N9" s="246">
        <v>3500</v>
      </c>
      <c r="O9" s="246"/>
      <c r="P9" s="246"/>
      <c r="Q9" s="246"/>
      <c r="R9" s="246">
        <v>9342.5</v>
      </c>
      <c r="S9" s="246"/>
      <c r="T9" s="246"/>
      <c r="U9" s="246"/>
      <c r="V9" s="246"/>
      <c r="W9" s="246"/>
      <c r="X9" s="246"/>
      <c r="Y9" s="246"/>
    </row>
    <row r="10" s="213" customFormat="1" customHeight="1" spans="1:25">
      <c r="A10" s="226">
        <v>5</v>
      </c>
      <c r="B10" s="231" t="s">
        <v>1308</v>
      </c>
      <c r="C10" s="78" t="s">
        <v>1301</v>
      </c>
      <c r="D10" s="234" t="s">
        <v>1311</v>
      </c>
      <c r="E10" s="148">
        <v>130.56</v>
      </c>
      <c r="F10" s="148">
        <v>47001.6</v>
      </c>
      <c r="G10" s="228">
        <v>35000</v>
      </c>
      <c r="H10" s="228">
        <v>0</v>
      </c>
      <c r="I10" s="227">
        <v>-35000</v>
      </c>
      <c r="J10" s="227">
        <f t="shared" si="3"/>
        <v>0</v>
      </c>
      <c r="K10" s="243">
        <f t="shared" si="1"/>
        <v>35000</v>
      </c>
      <c r="L10" s="244" t="s">
        <v>1303</v>
      </c>
      <c r="M10" s="245"/>
      <c r="N10" s="246"/>
      <c r="O10" s="246"/>
      <c r="P10" s="246"/>
      <c r="Q10" s="246"/>
      <c r="R10" s="246"/>
      <c r="S10" s="246"/>
      <c r="T10" s="246"/>
      <c r="U10" s="246"/>
      <c r="V10" s="246"/>
      <c r="W10" s="246"/>
      <c r="X10" s="246"/>
      <c r="Y10" s="246"/>
    </row>
    <row r="11" s="213" customFormat="1" customHeight="1" spans="1:25">
      <c r="A11" s="226">
        <v>6</v>
      </c>
      <c r="B11" s="231" t="s">
        <v>1308</v>
      </c>
      <c r="C11" s="78" t="s">
        <v>1312</v>
      </c>
      <c r="D11" s="234" t="s">
        <v>1313</v>
      </c>
      <c r="E11" s="148">
        <v>8.08</v>
      </c>
      <c r="F11" s="148">
        <v>1519.04</v>
      </c>
      <c r="G11" s="228">
        <v>1519.04</v>
      </c>
      <c r="H11" s="228">
        <v>0</v>
      </c>
      <c r="I11" s="227">
        <v>-1519.04</v>
      </c>
      <c r="J11" s="227">
        <f t="shared" si="3"/>
        <v>0</v>
      </c>
      <c r="K11" s="243">
        <f t="shared" si="1"/>
        <v>1519.04</v>
      </c>
      <c r="L11" s="244" t="s">
        <v>1303</v>
      </c>
      <c r="M11" s="245"/>
      <c r="N11" s="246"/>
      <c r="O11" s="246"/>
      <c r="P11" s="246"/>
      <c r="Q11" s="246"/>
      <c r="R11" s="246"/>
      <c r="S11" s="246"/>
      <c r="T11" s="246"/>
      <c r="U11" s="246"/>
      <c r="V11" s="246"/>
      <c r="W11" s="246"/>
      <c r="X11" s="246"/>
      <c r="Y11" s="246"/>
    </row>
    <row r="12" s="215" customFormat="1" customHeight="1" spans="1:25">
      <c r="A12" s="233">
        <v>7</v>
      </c>
      <c r="B12" s="231" t="s">
        <v>1308</v>
      </c>
      <c r="C12" s="78" t="s">
        <v>1312</v>
      </c>
      <c r="D12" s="234" t="s">
        <v>1314</v>
      </c>
      <c r="E12" s="148">
        <v>8.079</v>
      </c>
      <c r="F12" s="148">
        <v>1700</v>
      </c>
      <c r="G12" s="148">
        <v>1700</v>
      </c>
      <c r="H12" s="148">
        <v>0</v>
      </c>
      <c r="I12" s="227">
        <v>17</v>
      </c>
      <c r="J12" s="227">
        <f t="shared" si="3"/>
        <v>1717</v>
      </c>
      <c r="K12" s="243">
        <f t="shared" si="1"/>
        <v>1700</v>
      </c>
      <c r="L12" s="244" t="s">
        <v>1303</v>
      </c>
      <c r="M12" s="245" t="s">
        <v>1315</v>
      </c>
      <c r="N12" s="246"/>
      <c r="O12" s="246"/>
      <c r="P12" s="246"/>
      <c r="Q12" s="246"/>
      <c r="R12" s="246"/>
      <c r="S12" s="246"/>
      <c r="T12" s="246"/>
      <c r="U12" s="246"/>
      <c r="V12" s="246"/>
      <c r="W12" s="246"/>
      <c r="X12" s="246"/>
      <c r="Y12" s="246"/>
    </row>
    <row r="13" s="213" customFormat="1" customHeight="1" spans="1:25">
      <c r="A13" s="226">
        <v>8</v>
      </c>
      <c r="B13" s="231" t="s">
        <v>1316</v>
      </c>
      <c r="C13" s="78" t="s">
        <v>1317</v>
      </c>
      <c r="D13" s="234" t="s">
        <v>1318</v>
      </c>
      <c r="E13" s="148">
        <v>45.431</v>
      </c>
      <c r="F13" s="148">
        <v>2150</v>
      </c>
      <c r="G13" s="148">
        <v>2271</v>
      </c>
      <c r="H13" s="148">
        <v>2271</v>
      </c>
      <c r="I13" s="227">
        <v>0</v>
      </c>
      <c r="J13" s="227">
        <f t="shared" si="3"/>
        <v>2271</v>
      </c>
      <c r="K13" s="243">
        <f t="shared" si="1"/>
        <v>0</v>
      </c>
      <c r="L13" s="244" t="s">
        <v>1303</v>
      </c>
      <c r="M13" s="245" t="s">
        <v>1319</v>
      </c>
      <c r="N13" s="246"/>
      <c r="O13" s="246"/>
      <c r="P13" s="246"/>
      <c r="Q13" s="246"/>
      <c r="R13" s="246">
        <v>433</v>
      </c>
      <c r="S13" s="246">
        <v>1838</v>
      </c>
      <c r="T13" s="246"/>
      <c r="U13" s="246"/>
      <c r="V13" s="246"/>
      <c r="W13" s="246"/>
      <c r="X13" s="246"/>
      <c r="Y13" s="246"/>
    </row>
    <row r="14" s="213" customFormat="1" customHeight="1" spans="1:25">
      <c r="A14" s="226">
        <v>9</v>
      </c>
      <c r="B14" s="231" t="s">
        <v>1316</v>
      </c>
      <c r="C14" s="78" t="s">
        <v>1317</v>
      </c>
      <c r="D14" s="78" t="s">
        <v>1320</v>
      </c>
      <c r="E14" s="148">
        <v>83.99</v>
      </c>
      <c r="F14" s="148">
        <v>10557</v>
      </c>
      <c r="G14" s="148">
        <v>4200</v>
      </c>
      <c r="H14" s="148">
        <v>2100</v>
      </c>
      <c r="I14" s="227">
        <v>-2100</v>
      </c>
      <c r="J14" s="227">
        <f t="shared" si="3"/>
        <v>2100</v>
      </c>
      <c r="K14" s="243">
        <f t="shared" si="1"/>
        <v>2100</v>
      </c>
      <c r="L14" s="244" t="s">
        <v>1303</v>
      </c>
      <c r="M14" s="245" t="s">
        <v>1321</v>
      </c>
      <c r="N14" s="246"/>
      <c r="O14" s="246"/>
      <c r="P14" s="246"/>
      <c r="Q14" s="246"/>
      <c r="R14" s="246">
        <v>800</v>
      </c>
      <c r="S14" s="246">
        <v>1300</v>
      </c>
      <c r="T14" s="246"/>
      <c r="U14" s="246"/>
      <c r="V14" s="246"/>
      <c r="W14" s="246"/>
      <c r="X14" s="246"/>
      <c r="Y14" s="246"/>
    </row>
    <row r="15" s="213" customFormat="1" customHeight="1" spans="1:25">
      <c r="A15" s="233">
        <v>10</v>
      </c>
      <c r="B15" s="231" t="s">
        <v>1316</v>
      </c>
      <c r="C15" s="78" t="s">
        <v>1317</v>
      </c>
      <c r="D15" s="78" t="s">
        <v>1322</v>
      </c>
      <c r="E15" s="148">
        <v>205.284</v>
      </c>
      <c r="F15" s="148"/>
      <c r="G15" s="148">
        <v>9648</v>
      </c>
      <c r="H15" s="148">
        <v>11205</v>
      </c>
      <c r="I15" s="227">
        <v>1557</v>
      </c>
      <c r="J15" s="227">
        <f t="shared" si="3"/>
        <v>11205</v>
      </c>
      <c r="K15" s="243">
        <f t="shared" si="1"/>
        <v>-1557</v>
      </c>
      <c r="L15" s="244" t="s">
        <v>1303</v>
      </c>
      <c r="M15" s="245" t="s">
        <v>1323</v>
      </c>
      <c r="N15" s="246"/>
      <c r="O15" s="246"/>
      <c r="P15" s="246"/>
      <c r="Q15" s="246"/>
      <c r="R15" s="246"/>
      <c r="S15" s="246"/>
      <c r="T15" s="246"/>
      <c r="U15" s="246"/>
      <c r="V15" s="246"/>
      <c r="W15" s="246"/>
      <c r="X15" s="246"/>
      <c r="Y15" s="246"/>
    </row>
    <row r="16" s="213" customFormat="1" customHeight="1" spans="1:25">
      <c r="A16" s="226">
        <v>11</v>
      </c>
      <c r="B16" s="231" t="s">
        <v>1316</v>
      </c>
      <c r="C16" s="78" t="s">
        <v>1317</v>
      </c>
      <c r="D16" s="78" t="s">
        <v>1324</v>
      </c>
      <c r="E16" s="148">
        <v>52.423</v>
      </c>
      <c r="F16" s="148">
        <v>2862</v>
      </c>
      <c r="G16" s="148">
        <v>2862</v>
      </c>
      <c r="H16" s="148">
        <v>2862</v>
      </c>
      <c r="I16" s="227">
        <v>0</v>
      </c>
      <c r="J16" s="227">
        <f t="shared" si="3"/>
        <v>2862</v>
      </c>
      <c r="K16" s="243">
        <f t="shared" si="1"/>
        <v>0</v>
      </c>
      <c r="L16" s="244" t="s">
        <v>1303</v>
      </c>
      <c r="M16" s="245" t="s">
        <v>1325</v>
      </c>
      <c r="N16" s="246"/>
      <c r="O16" s="246"/>
      <c r="P16" s="246"/>
      <c r="Q16" s="246"/>
      <c r="R16" s="246"/>
      <c r="S16" s="246">
        <v>2862</v>
      </c>
      <c r="T16" s="246"/>
      <c r="U16" s="246"/>
      <c r="V16" s="246"/>
      <c r="W16" s="246"/>
      <c r="X16" s="246"/>
      <c r="Y16" s="246"/>
    </row>
    <row r="17" s="213" customFormat="1" customHeight="1" spans="1:25">
      <c r="A17" s="226">
        <v>12</v>
      </c>
      <c r="B17" s="231" t="s">
        <v>1316</v>
      </c>
      <c r="C17" s="78" t="s">
        <v>1317</v>
      </c>
      <c r="D17" s="78" t="s">
        <v>1326</v>
      </c>
      <c r="E17" s="148">
        <v>281.514</v>
      </c>
      <c r="F17" s="148">
        <v>15371</v>
      </c>
      <c r="G17" s="148">
        <v>15370.75</v>
      </c>
      <c r="H17" s="148">
        <v>15370.75</v>
      </c>
      <c r="I17" s="227">
        <v>0</v>
      </c>
      <c r="J17" s="227">
        <f t="shared" si="3"/>
        <v>15370.75</v>
      </c>
      <c r="K17" s="243">
        <f t="shared" si="1"/>
        <v>0</v>
      </c>
      <c r="L17" s="244" t="s">
        <v>1303</v>
      </c>
      <c r="M17" s="245" t="s">
        <v>1327</v>
      </c>
      <c r="N17" s="246"/>
      <c r="O17" s="246"/>
      <c r="P17" s="246">
        <v>15370.75</v>
      </c>
      <c r="Q17" s="246"/>
      <c r="R17" s="246"/>
      <c r="S17" s="246"/>
      <c r="T17" s="246"/>
      <c r="U17" s="246"/>
      <c r="V17" s="246"/>
      <c r="W17" s="246"/>
      <c r="X17" s="246"/>
      <c r="Y17" s="246"/>
    </row>
    <row r="18" s="213" customFormat="1" customHeight="1" spans="1:25">
      <c r="A18" s="226">
        <v>13</v>
      </c>
      <c r="B18" s="231" t="s">
        <v>1316</v>
      </c>
      <c r="C18" s="78" t="s">
        <v>1328</v>
      </c>
      <c r="D18" s="78" t="s">
        <v>1329</v>
      </c>
      <c r="E18" s="148">
        <v>25.3466</v>
      </c>
      <c r="F18" s="148">
        <v>3528</v>
      </c>
      <c r="G18" s="148">
        <v>3528</v>
      </c>
      <c r="H18" s="148">
        <v>2377.9426</v>
      </c>
      <c r="I18" s="227">
        <v>-1150</v>
      </c>
      <c r="J18" s="227">
        <f t="shared" si="3"/>
        <v>2378</v>
      </c>
      <c r="K18" s="243">
        <f t="shared" si="1"/>
        <v>1150.0574</v>
      </c>
      <c r="L18" s="244" t="s">
        <v>1303</v>
      </c>
      <c r="M18" s="245" t="s">
        <v>1330</v>
      </c>
      <c r="N18" s="246"/>
      <c r="O18" s="246"/>
      <c r="P18" s="246"/>
      <c r="Q18" s="246"/>
      <c r="R18" s="246"/>
      <c r="S18" s="246"/>
      <c r="T18" s="246"/>
      <c r="U18" s="246">
        <v>2377.9426</v>
      </c>
      <c r="V18" s="246"/>
      <c r="W18" s="246"/>
      <c r="X18" s="246"/>
      <c r="Y18" s="246"/>
    </row>
    <row r="19" s="213" customFormat="1" customHeight="1" spans="1:25">
      <c r="A19" s="226">
        <v>14</v>
      </c>
      <c r="B19" s="231" t="s">
        <v>1316</v>
      </c>
      <c r="C19" s="78" t="s">
        <v>1317</v>
      </c>
      <c r="D19" s="78" t="s">
        <v>1331</v>
      </c>
      <c r="E19" s="148">
        <v>20.394</v>
      </c>
      <c r="F19" s="148"/>
      <c r="G19" s="148">
        <v>0</v>
      </c>
      <c r="H19" s="148">
        <v>1385</v>
      </c>
      <c r="I19" s="227">
        <v>1385</v>
      </c>
      <c r="J19" s="227">
        <f t="shared" si="3"/>
        <v>1385</v>
      </c>
      <c r="K19" s="243">
        <f t="shared" si="1"/>
        <v>-1385</v>
      </c>
      <c r="L19" s="244" t="s">
        <v>1303</v>
      </c>
      <c r="M19" s="245" t="s">
        <v>1332</v>
      </c>
      <c r="N19" s="246"/>
      <c r="O19" s="246"/>
      <c r="P19" s="246"/>
      <c r="Q19" s="246"/>
      <c r="R19" s="246"/>
      <c r="S19" s="246"/>
      <c r="T19" s="246"/>
      <c r="U19" s="246"/>
      <c r="V19" s="246">
        <f>265+1120</f>
        <v>1385</v>
      </c>
      <c r="W19" s="246"/>
      <c r="X19" s="246"/>
      <c r="Y19" s="246"/>
    </row>
    <row r="20" s="213" customFormat="1" customHeight="1" spans="1:25">
      <c r="A20" s="226">
        <v>15</v>
      </c>
      <c r="B20" s="78" t="s">
        <v>1333</v>
      </c>
      <c r="C20" s="231" t="s">
        <v>1334</v>
      </c>
      <c r="D20" s="231"/>
      <c r="E20" s="235"/>
      <c r="F20" s="235"/>
      <c r="G20" s="235">
        <v>0</v>
      </c>
      <c r="H20" s="148">
        <v>0</v>
      </c>
      <c r="I20" s="227">
        <v>7000</v>
      </c>
      <c r="J20" s="227">
        <f t="shared" si="3"/>
        <v>7000</v>
      </c>
      <c r="K20" s="243">
        <f t="shared" si="1"/>
        <v>0</v>
      </c>
      <c r="L20" s="244" t="s">
        <v>1335</v>
      </c>
      <c r="M20" s="245"/>
      <c r="N20" s="246"/>
      <c r="O20" s="246"/>
      <c r="P20" s="246"/>
      <c r="Q20" s="246"/>
      <c r="R20" s="246"/>
      <c r="S20" s="246"/>
      <c r="T20" s="246"/>
      <c r="U20" s="246"/>
      <c r="V20" s="246"/>
      <c r="W20" s="246"/>
      <c r="X20" s="246"/>
      <c r="Y20" s="246"/>
    </row>
    <row r="21" s="213" customFormat="1" customHeight="1" spans="1:25">
      <c r="A21" s="226">
        <v>16</v>
      </c>
      <c r="B21" s="78" t="s">
        <v>898</v>
      </c>
      <c r="C21" s="231" t="s">
        <v>1336</v>
      </c>
      <c r="D21" s="231"/>
      <c r="E21" s="235"/>
      <c r="F21" s="235">
        <v>20000</v>
      </c>
      <c r="G21" s="235">
        <v>20000</v>
      </c>
      <c r="H21" s="148">
        <v>1083.1024</v>
      </c>
      <c r="I21" s="148">
        <f>-20000+16000+1083</f>
        <v>-2917</v>
      </c>
      <c r="J21" s="227">
        <f t="shared" si="3"/>
        <v>17083</v>
      </c>
      <c r="K21" s="243">
        <f t="shared" si="1"/>
        <v>18916.8976</v>
      </c>
      <c r="L21" s="244" t="s">
        <v>1335</v>
      </c>
      <c r="M21" s="245" t="s">
        <v>1337</v>
      </c>
      <c r="N21" s="246"/>
      <c r="O21" s="246"/>
      <c r="P21" s="246"/>
      <c r="Q21" s="246">
        <v>894.92</v>
      </c>
      <c r="R21" s="246">
        <v>124.9024</v>
      </c>
      <c r="S21" s="246"/>
      <c r="T21" s="246"/>
      <c r="U21" s="246"/>
      <c r="V21" s="246">
        <v>63.28</v>
      </c>
      <c r="W21" s="246"/>
      <c r="X21" s="246"/>
      <c r="Y21" s="246"/>
    </row>
    <row r="22" s="213" customFormat="1" customHeight="1" spans="1:25">
      <c r="A22" s="226">
        <v>17</v>
      </c>
      <c r="B22" s="78" t="s">
        <v>898</v>
      </c>
      <c r="C22" s="231" t="s">
        <v>1338</v>
      </c>
      <c r="D22" s="231"/>
      <c r="E22" s="235"/>
      <c r="F22" s="235">
        <v>5000</v>
      </c>
      <c r="G22" s="235">
        <v>5000</v>
      </c>
      <c r="H22" s="148">
        <v>670.0343</v>
      </c>
      <c r="I22" s="227">
        <v>-4200</v>
      </c>
      <c r="J22" s="227">
        <f t="shared" si="3"/>
        <v>800</v>
      </c>
      <c r="K22" s="243">
        <f t="shared" si="1"/>
        <v>4329.9657</v>
      </c>
      <c r="L22" s="244" t="s">
        <v>1339</v>
      </c>
      <c r="M22" s="245"/>
      <c r="N22" s="246">
        <v>1.1153</v>
      </c>
      <c r="O22" s="246">
        <v>294.2216</v>
      </c>
      <c r="P22" s="246">
        <v>4.4877</v>
      </c>
      <c r="Q22" s="246">
        <v>0.3994</v>
      </c>
      <c r="R22" s="246">
        <v>0.6082</v>
      </c>
      <c r="S22" s="246">
        <v>2.6603</v>
      </c>
      <c r="T22" s="246">
        <v>1.0633</v>
      </c>
      <c r="U22" s="246">
        <v>363.5795</v>
      </c>
      <c r="V22" s="246">
        <v>1.899</v>
      </c>
      <c r="W22" s="246"/>
      <c r="X22" s="246"/>
      <c r="Y22" s="246"/>
    </row>
    <row r="23" s="213" customFormat="1" customHeight="1" spans="1:25">
      <c r="A23" s="226">
        <v>18</v>
      </c>
      <c r="B23" s="78" t="s">
        <v>898</v>
      </c>
      <c r="C23" s="231" t="s">
        <v>1340</v>
      </c>
      <c r="D23" s="231"/>
      <c r="E23" s="235"/>
      <c r="F23" s="235">
        <v>16000</v>
      </c>
      <c r="G23" s="235">
        <f>2000+6000+8000</f>
        <v>16000</v>
      </c>
      <c r="H23" s="148">
        <v>265.598144</v>
      </c>
      <c r="I23" s="227">
        <v>-15700</v>
      </c>
      <c r="J23" s="227">
        <f t="shared" si="3"/>
        <v>300</v>
      </c>
      <c r="K23" s="243">
        <f t="shared" si="1"/>
        <v>15734.401856</v>
      </c>
      <c r="L23" s="244" t="s">
        <v>1341</v>
      </c>
      <c r="M23" s="245" t="s">
        <v>1342</v>
      </c>
      <c r="N23" s="250">
        <v>20.061</v>
      </c>
      <c r="O23" s="246"/>
      <c r="P23" s="246"/>
      <c r="Q23" s="246"/>
      <c r="R23" s="246">
        <v>242.23</v>
      </c>
      <c r="S23" s="246">
        <v>3.307144</v>
      </c>
      <c r="T23" s="246"/>
      <c r="U23" s="246"/>
      <c r="V23" s="246"/>
      <c r="W23" s="246"/>
      <c r="X23" s="246"/>
      <c r="Y23" s="246"/>
    </row>
    <row r="24" s="213" customFormat="1" customHeight="1" spans="1:25">
      <c r="A24" s="226">
        <v>19</v>
      </c>
      <c r="B24" s="231" t="s">
        <v>1191</v>
      </c>
      <c r="C24" s="231" t="s">
        <v>1343</v>
      </c>
      <c r="D24" s="231"/>
      <c r="E24" s="235"/>
      <c r="F24" s="235">
        <v>-10000</v>
      </c>
      <c r="G24" s="235">
        <v>-10000</v>
      </c>
      <c r="H24" s="148">
        <v>-6490.445117</v>
      </c>
      <c r="I24" s="227">
        <f>2000-3000</f>
        <v>-1000</v>
      </c>
      <c r="J24" s="227">
        <f t="shared" si="3"/>
        <v>-11000</v>
      </c>
      <c r="K24" s="243">
        <f t="shared" si="1"/>
        <v>-3509.554883</v>
      </c>
      <c r="L24" s="244"/>
      <c r="M24" s="245" t="s">
        <v>1344</v>
      </c>
      <c r="N24" s="246">
        <v>-2309.804</v>
      </c>
      <c r="O24" s="246">
        <f>-727.8488-256.873058+179.811141</f>
        <v>-804.910717</v>
      </c>
      <c r="P24" s="246">
        <f>-1750-540.7024</f>
        <v>-2290.7024</v>
      </c>
      <c r="Q24" s="246">
        <v>-896.8456</v>
      </c>
      <c r="R24" s="246">
        <v>-124.9024</v>
      </c>
      <c r="S24" s="246"/>
      <c r="T24" s="246"/>
      <c r="U24" s="246"/>
      <c r="V24" s="246">
        <v>-63.28</v>
      </c>
      <c r="W24" s="246"/>
      <c r="X24" s="246"/>
      <c r="Y24" s="246"/>
    </row>
    <row r="25" s="213" customFormat="1" customHeight="1" spans="1:25">
      <c r="A25" s="236" t="s">
        <v>1345</v>
      </c>
      <c r="B25" s="236"/>
      <c r="C25" s="236"/>
      <c r="D25" s="236"/>
      <c r="E25" s="237">
        <f t="shared" ref="E25:I25" si="4">SUM(E8:E24)</f>
        <v>1013.3516</v>
      </c>
      <c r="F25" s="237">
        <f t="shared" si="4"/>
        <v>149681.14</v>
      </c>
      <c r="G25" s="237">
        <f t="shared" si="4"/>
        <v>141091.29</v>
      </c>
      <c r="H25" s="237">
        <f t="shared" si="4"/>
        <v>45942.482327</v>
      </c>
      <c r="I25" s="237">
        <f t="shared" si="4"/>
        <v>-55777.04</v>
      </c>
      <c r="J25" s="237">
        <f t="shared" si="3"/>
        <v>85314.25</v>
      </c>
      <c r="K25" s="251">
        <f t="shared" si="1"/>
        <v>95148.807673</v>
      </c>
      <c r="L25" s="252"/>
      <c r="M25" s="253"/>
      <c r="N25" s="254">
        <f t="shared" ref="N25:Y25" si="5">SUM(N8:N24)</f>
        <v>1211.3723</v>
      </c>
      <c r="O25" s="254">
        <f t="shared" si="5"/>
        <v>-510.689117</v>
      </c>
      <c r="P25" s="254">
        <f t="shared" si="5"/>
        <v>13084.5353</v>
      </c>
      <c r="Q25" s="254">
        <f t="shared" si="5"/>
        <v>-1.52620000000002</v>
      </c>
      <c r="R25" s="254">
        <f t="shared" si="5"/>
        <v>10818.3382</v>
      </c>
      <c r="S25" s="254">
        <f t="shared" si="5"/>
        <v>6005.967444</v>
      </c>
      <c r="T25" s="254">
        <f t="shared" si="5"/>
        <v>1.0633</v>
      </c>
      <c r="U25" s="254">
        <f t="shared" si="5"/>
        <v>2741.5221</v>
      </c>
      <c r="V25" s="254">
        <f t="shared" si="5"/>
        <v>1386.899</v>
      </c>
      <c r="W25" s="254">
        <f t="shared" si="5"/>
        <v>0</v>
      </c>
      <c r="X25" s="254">
        <f t="shared" si="5"/>
        <v>0</v>
      </c>
      <c r="Y25" s="254">
        <f t="shared" si="5"/>
        <v>0</v>
      </c>
    </row>
    <row r="26" s="24" customFormat="1" customHeight="1" spans="1:25">
      <c r="A26" s="229" t="s">
        <v>1346</v>
      </c>
      <c r="B26" s="229"/>
      <c r="C26" s="229"/>
      <c r="D26" s="229"/>
      <c r="E26" s="238">
        <f t="shared" ref="E26:I26" si="6">E25+E7</f>
        <v>1234.5016</v>
      </c>
      <c r="F26" s="238">
        <f t="shared" si="6"/>
        <v>262137.8</v>
      </c>
      <c r="G26" s="238">
        <f t="shared" si="6"/>
        <v>227892.29</v>
      </c>
      <c r="H26" s="238">
        <f t="shared" si="6"/>
        <v>45942.482327</v>
      </c>
      <c r="I26" s="238">
        <f t="shared" si="6"/>
        <v>-135117.54</v>
      </c>
      <c r="J26" s="238">
        <f t="shared" si="3"/>
        <v>92774.75</v>
      </c>
      <c r="K26" s="238">
        <f t="shared" si="1"/>
        <v>181949.807673</v>
      </c>
      <c r="L26" s="255"/>
      <c r="M26" s="256"/>
      <c r="N26" s="257">
        <f t="shared" ref="N26:Y26" si="7">N25+N7</f>
        <v>1211.3723</v>
      </c>
      <c r="O26" s="257">
        <f t="shared" si="7"/>
        <v>-510.689117</v>
      </c>
      <c r="P26" s="257">
        <f t="shared" si="7"/>
        <v>13084.5353</v>
      </c>
      <c r="Q26" s="257">
        <f t="shared" si="7"/>
        <v>-1.52620000000002</v>
      </c>
      <c r="R26" s="257">
        <f t="shared" si="7"/>
        <v>10818.3382</v>
      </c>
      <c r="S26" s="257">
        <f t="shared" si="7"/>
        <v>6005.967444</v>
      </c>
      <c r="T26" s="257">
        <f t="shared" si="7"/>
        <v>1.0633</v>
      </c>
      <c r="U26" s="257">
        <f t="shared" si="7"/>
        <v>2741.5221</v>
      </c>
      <c r="V26" s="257">
        <f t="shared" si="7"/>
        <v>1386.899</v>
      </c>
      <c r="W26" s="257">
        <f t="shared" si="7"/>
        <v>0</v>
      </c>
      <c r="X26" s="257">
        <f t="shared" si="7"/>
        <v>0</v>
      </c>
      <c r="Y26" s="257">
        <f t="shared" si="7"/>
        <v>0</v>
      </c>
    </row>
    <row r="27" s="216" customFormat="1" customHeight="1" spans="1:25">
      <c r="A27" s="229" t="s">
        <v>1347</v>
      </c>
      <c r="B27" s="229"/>
      <c r="C27" s="229"/>
      <c r="D27" s="229"/>
      <c r="E27" s="239"/>
      <c r="F27" s="240">
        <v>12000</v>
      </c>
      <c r="G27" s="240">
        <v>12000</v>
      </c>
      <c r="H27" s="238">
        <v>10082.415248</v>
      </c>
      <c r="I27" s="238">
        <f>-700+1300-300</f>
        <v>300</v>
      </c>
      <c r="J27" s="240">
        <f t="shared" si="3"/>
        <v>12300</v>
      </c>
      <c r="K27" s="247">
        <f t="shared" si="1"/>
        <v>1917.584752</v>
      </c>
      <c r="L27" s="258"/>
      <c r="M27" s="259"/>
      <c r="N27" s="260">
        <v>2.9852</v>
      </c>
      <c r="O27" s="260">
        <v>15.4869</v>
      </c>
      <c r="P27" s="261">
        <v>259.0052</v>
      </c>
      <c r="Q27" s="261">
        <v>3073.1982</v>
      </c>
      <c r="R27" s="261">
        <f>118.278048+0.6848</f>
        <v>118.962848</v>
      </c>
      <c r="S27" s="261">
        <v>4405.6663</v>
      </c>
      <c r="T27" s="261">
        <f>0.4301+483.11</f>
        <v>483.5401</v>
      </c>
      <c r="U27" s="261">
        <v>1601.9127</v>
      </c>
      <c r="V27" s="261"/>
      <c r="W27" s="261">
        <f>79.6602+41.9976</f>
        <v>121.6578</v>
      </c>
      <c r="X27" s="261"/>
      <c r="Y27" s="261"/>
    </row>
    <row r="28" s="216" customFormat="1" customHeight="1" spans="1:25">
      <c r="A28" s="229" t="s">
        <v>1348</v>
      </c>
      <c r="B28" s="229"/>
      <c r="C28" s="229"/>
      <c r="D28" s="229"/>
      <c r="E28" s="239"/>
      <c r="F28" s="240">
        <v>60</v>
      </c>
      <c r="G28" s="240">
        <v>60</v>
      </c>
      <c r="H28" s="238">
        <v>0</v>
      </c>
      <c r="I28" s="238">
        <v>33</v>
      </c>
      <c r="J28" s="240">
        <f t="shared" si="3"/>
        <v>93</v>
      </c>
      <c r="K28" s="247">
        <f t="shared" si="1"/>
        <v>60</v>
      </c>
      <c r="L28" s="258"/>
      <c r="M28" s="262"/>
      <c r="N28" s="263"/>
      <c r="O28" s="263"/>
      <c r="P28" s="263"/>
      <c r="Q28" s="263"/>
      <c r="R28" s="263"/>
      <c r="S28" s="263"/>
      <c r="T28" s="263"/>
      <c r="U28" s="263"/>
      <c r="V28" s="263"/>
      <c r="W28" s="263"/>
      <c r="X28" s="263"/>
      <c r="Y28" s="263"/>
    </row>
    <row r="29" s="213" customFormat="1" customHeight="1" spans="1:25">
      <c r="A29" s="229" t="s">
        <v>1349</v>
      </c>
      <c r="B29" s="229"/>
      <c r="C29" s="229"/>
      <c r="D29" s="229"/>
      <c r="E29" s="240"/>
      <c r="F29" s="240">
        <f t="shared" ref="F29:I29" si="8">F26+F27+F28</f>
        <v>274197.8</v>
      </c>
      <c r="G29" s="240">
        <f t="shared" si="8"/>
        <v>239952.29</v>
      </c>
      <c r="H29" s="240">
        <f t="shared" si="8"/>
        <v>56024.897575</v>
      </c>
      <c r="I29" s="240">
        <f t="shared" si="8"/>
        <v>-134784.54</v>
      </c>
      <c r="J29" s="240">
        <f t="shared" si="3"/>
        <v>105167.75</v>
      </c>
      <c r="K29" s="264">
        <f t="shared" si="1"/>
        <v>183927.392425</v>
      </c>
      <c r="L29" s="258"/>
      <c r="M29" s="265"/>
      <c r="N29" s="266">
        <f t="shared" ref="N29:Y29" si="9">N26+N27+N28</f>
        <v>1214.3575</v>
      </c>
      <c r="O29" s="266">
        <f t="shared" si="9"/>
        <v>-495.202217</v>
      </c>
      <c r="P29" s="266">
        <f t="shared" si="9"/>
        <v>13343.5405</v>
      </c>
      <c r="Q29" s="266">
        <f t="shared" si="9"/>
        <v>3071.672</v>
      </c>
      <c r="R29" s="266">
        <f t="shared" si="9"/>
        <v>10937.301048</v>
      </c>
      <c r="S29" s="267">
        <f t="shared" si="9"/>
        <v>10411.633744</v>
      </c>
      <c r="T29" s="266">
        <f t="shared" si="9"/>
        <v>484.6034</v>
      </c>
      <c r="U29" s="266">
        <f t="shared" si="9"/>
        <v>4343.4348</v>
      </c>
      <c r="V29" s="266">
        <f t="shared" si="9"/>
        <v>1386.899</v>
      </c>
      <c r="W29" s="266">
        <f t="shared" si="9"/>
        <v>121.6578</v>
      </c>
      <c r="X29" s="266">
        <f t="shared" si="9"/>
        <v>0</v>
      </c>
      <c r="Y29" s="266">
        <f t="shared" si="9"/>
        <v>0</v>
      </c>
    </row>
    <row r="30" s="213" customFormat="1" customHeight="1" spans="1:25">
      <c r="A30" s="229" t="s">
        <v>1350</v>
      </c>
      <c r="B30" s="229"/>
      <c r="C30" s="229"/>
      <c r="D30" s="229"/>
      <c r="E30" s="238"/>
      <c r="F30" s="240">
        <f t="shared" ref="F30:I30" si="10">F25+F27+F28</f>
        <v>161741.14</v>
      </c>
      <c r="G30" s="240">
        <f t="shared" si="10"/>
        <v>153151.29</v>
      </c>
      <c r="H30" s="240">
        <f t="shared" si="10"/>
        <v>56024.897575</v>
      </c>
      <c r="I30" s="240">
        <f t="shared" si="10"/>
        <v>-55444.04</v>
      </c>
      <c r="J30" s="240">
        <f t="shared" si="3"/>
        <v>97707.25</v>
      </c>
      <c r="K30" s="264">
        <f t="shared" si="1"/>
        <v>97126.392425</v>
      </c>
      <c r="L30" s="255"/>
      <c r="M30" s="256"/>
      <c r="N30" s="266">
        <f t="shared" ref="N30:Y30" si="11">N25+N27+N28</f>
        <v>1214.3575</v>
      </c>
      <c r="O30" s="266">
        <f t="shared" si="11"/>
        <v>-495.202217</v>
      </c>
      <c r="P30" s="266">
        <f t="shared" si="11"/>
        <v>13343.5405</v>
      </c>
      <c r="Q30" s="266">
        <f t="shared" si="11"/>
        <v>3071.672</v>
      </c>
      <c r="R30" s="266">
        <f t="shared" si="11"/>
        <v>10937.301048</v>
      </c>
      <c r="S30" s="266">
        <f t="shared" si="11"/>
        <v>10411.633744</v>
      </c>
      <c r="T30" s="266">
        <f t="shared" si="11"/>
        <v>484.6034</v>
      </c>
      <c r="U30" s="266">
        <f t="shared" si="11"/>
        <v>4343.4348</v>
      </c>
      <c r="V30" s="266">
        <f t="shared" si="11"/>
        <v>1386.899</v>
      </c>
      <c r="W30" s="266">
        <f t="shared" si="11"/>
        <v>121.6578</v>
      </c>
      <c r="X30" s="266">
        <f t="shared" si="11"/>
        <v>0</v>
      </c>
      <c r="Y30" s="266">
        <f t="shared" si="11"/>
        <v>0</v>
      </c>
    </row>
    <row r="31" s="213" customFormat="1" customHeight="1" spans="1:12">
      <c r="A31" s="55"/>
      <c r="B31" s="24"/>
      <c r="C31" s="217"/>
      <c r="D31" s="216"/>
      <c r="E31" s="216"/>
      <c r="F31" s="72"/>
      <c r="G31" s="72"/>
      <c r="H31" s="72"/>
      <c r="I31" s="72"/>
      <c r="J31" s="72"/>
      <c r="K31" s="72"/>
      <c r="L31" s="216"/>
    </row>
  </sheetData>
  <mergeCells count="14">
    <mergeCell ref="A2:M2"/>
    <mergeCell ref="F3:L3"/>
    <mergeCell ref="A7:D7"/>
    <mergeCell ref="C20:D20"/>
    <mergeCell ref="C21:D21"/>
    <mergeCell ref="C22:D22"/>
    <mergeCell ref="C23:D23"/>
    <mergeCell ref="C24:D24"/>
    <mergeCell ref="A25:D25"/>
    <mergeCell ref="A26:D26"/>
    <mergeCell ref="A27:D27"/>
    <mergeCell ref="A28:D28"/>
    <mergeCell ref="A29:D29"/>
    <mergeCell ref="A30:D30"/>
  </mergeCells>
  <dataValidations count="1">
    <dataValidation allowBlank="1" showInputMessage="1" showErrorMessage="1" sqref="C5:C6 C8:C20"/>
  </dataValidations>
  <printOptions horizontalCentered="1"/>
  <pageMargins left="0.393055555555556" right="0.393055555555556" top="0.590277777777778" bottom="0.590277777777778" header="0.196527777777778" footer="0.196527777777778"/>
  <pageSetup paperSize="9" scale="55"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U122"/>
  <sheetViews>
    <sheetView showZeros="0" topLeftCell="A101" workbookViewId="0">
      <selection activeCell="D4" sqref="D4:R10"/>
    </sheetView>
  </sheetViews>
  <sheetFormatPr defaultColWidth="9" defaultRowHeight="30" customHeight="1"/>
  <cols>
    <col min="1" max="1" width="12.625" style="160" customWidth="1"/>
    <col min="2" max="2" width="6" style="161" hidden="1" customWidth="1"/>
    <col min="3" max="3" width="45.625" style="131" customWidth="1"/>
    <col min="4" max="4" width="10.625" style="131" customWidth="1"/>
    <col min="5" max="8" width="10.625" style="162" hidden="1" customWidth="1"/>
    <col min="9" max="12" width="10.625" style="131" customWidth="1"/>
    <col min="13" max="15" width="10.625" style="159" hidden="1" customWidth="1"/>
    <col min="16" max="18" width="10.625" style="131" customWidth="1"/>
    <col min="19" max="19" width="15.625" style="163" customWidth="1"/>
    <col min="20" max="20" width="15.625" style="131" customWidth="1"/>
    <col min="21" max="21" width="10.5" style="131" customWidth="1"/>
    <col min="22" max="16384" width="9" style="131"/>
  </cols>
  <sheetData>
    <row r="1" s="131" customFormat="1" ht="20" customHeight="1" spans="1:19">
      <c r="A1" s="164" t="s">
        <v>1351</v>
      </c>
      <c r="B1" s="161"/>
      <c r="E1" s="162"/>
      <c r="F1" s="162"/>
      <c r="G1" s="162"/>
      <c r="H1" s="162"/>
      <c r="M1" s="159"/>
      <c r="N1" s="159"/>
      <c r="O1" s="159"/>
      <c r="S1" s="163"/>
    </row>
    <row r="2" s="131" customFormat="1" customHeight="1" spans="1:20">
      <c r="A2" s="27" t="s">
        <v>1352</v>
      </c>
      <c r="B2" s="109"/>
      <c r="C2" s="27"/>
      <c r="D2" s="27"/>
      <c r="E2" s="165"/>
      <c r="F2" s="165"/>
      <c r="G2" s="165"/>
      <c r="H2" s="165"/>
      <c r="I2" s="27"/>
      <c r="J2" s="27"/>
      <c r="K2" s="27"/>
      <c r="L2" s="27"/>
      <c r="M2" s="109"/>
      <c r="N2" s="109"/>
      <c r="O2" s="109"/>
      <c r="P2" s="27"/>
      <c r="Q2" s="27"/>
      <c r="R2" s="27"/>
      <c r="S2" s="27"/>
      <c r="T2" s="27"/>
    </row>
    <row r="3" s="158" customFormat="1" ht="20" customHeight="1" spans="1:20">
      <c r="A3" s="110"/>
      <c r="B3" s="111"/>
      <c r="E3" s="166"/>
      <c r="F3" s="166"/>
      <c r="G3" s="166"/>
      <c r="H3" s="166"/>
      <c r="M3" s="112"/>
      <c r="N3" s="112"/>
      <c r="O3" s="112"/>
      <c r="S3" s="191"/>
      <c r="T3" s="192" t="s">
        <v>27</v>
      </c>
    </row>
    <row r="4" s="131" customFormat="1" customHeight="1" spans="1:20">
      <c r="A4" s="97" t="s">
        <v>92</v>
      </c>
      <c r="B4" s="167"/>
      <c r="C4" s="97" t="s">
        <v>93</v>
      </c>
      <c r="D4" s="39" t="s">
        <v>29</v>
      </c>
      <c r="E4" s="168"/>
      <c r="F4" s="168"/>
      <c r="G4" s="168"/>
      <c r="H4" s="168"/>
      <c r="I4" s="40"/>
      <c r="J4" s="183"/>
      <c r="K4" s="184" t="s">
        <v>31</v>
      </c>
      <c r="L4" s="184"/>
      <c r="M4" s="185" t="s">
        <v>1353</v>
      </c>
      <c r="N4" s="186"/>
      <c r="O4" s="187"/>
      <c r="P4" s="184" t="s">
        <v>32</v>
      </c>
      <c r="Q4" s="184"/>
      <c r="R4" s="184"/>
      <c r="S4" s="193" t="s">
        <v>33</v>
      </c>
      <c r="T4" s="97" t="s">
        <v>34</v>
      </c>
    </row>
    <row r="5" s="131" customFormat="1" customHeight="1" spans="1:20">
      <c r="A5" s="113"/>
      <c r="B5" s="167"/>
      <c r="C5" s="113"/>
      <c r="D5" s="30" t="s">
        <v>94</v>
      </c>
      <c r="E5" s="169" t="s">
        <v>1354</v>
      </c>
      <c r="F5" s="170" t="s">
        <v>1355</v>
      </c>
      <c r="G5" s="170" t="s">
        <v>1356</v>
      </c>
      <c r="H5" s="170" t="s">
        <v>1357</v>
      </c>
      <c r="I5" s="188" t="s">
        <v>95</v>
      </c>
      <c r="J5" s="189" t="s">
        <v>96</v>
      </c>
      <c r="K5" s="184" t="s">
        <v>1358</v>
      </c>
      <c r="L5" s="184" t="s">
        <v>96</v>
      </c>
      <c r="M5" s="190" t="s">
        <v>1359</v>
      </c>
      <c r="N5" s="190" t="s">
        <v>1360</v>
      </c>
      <c r="O5" s="190" t="s">
        <v>1361</v>
      </c>
      <c r="P5" s="30" t="s">
        <v>94</v>
      </c>
      <c r="Q5" s="184" t="s">
        <v>95</v>
      </c>
      <c r="R5" s="184" t="s">
        <v>96</v>
      </c>
      <c r="S5" s="194"/>
      <c r="T5" s="113"/>
    </row>
    <row r="6" s="131" customFormat="1" ht="25" hidden="1" customHeight="1" spans="1:20">
      <c r="A6" s="171" t="s">
        <v>1362</v>
      </c>
      <c r="B6" s="172"/>
      <c r="C6" s="173" t="s">
        <v>1363</v>
      </c>
      <c r="D6" s="174">
        <f>+I6+J6</f>
        <v>0</v>
      </c>
      <c r="E6" s="175">
        <f t="shared" ref="E6:J6" si="0">E7</f>
        <v>0</v>
      </c>
      <c r="F6" s="175">
        <f t="shared" si="0"/>
        <v>0</v>
      </c>
      <c r="G6" s="175">
        <f t="shared" si="0"/>
        <v>0</v>
      </c>
      <c r="H6" s="175">
        <f t="shared" si="0"/>
        <v>0</v>
      </c>
      <c r="I6" s="176">
        <f t="shared" si="0"/>
        <v>0</v>
      </c>
      <c r="J6" s="176">
        <f t="shared" si="0"/>
        <v>0</v>
      </c>
      <c r="K6" s="176"/>
      <c r="L6" s="176"/>
      <c r="M6" s="176"/>
      <c r="N6" s="176"/>
      <c r="O6" s="176"/>
      <c r="P6" s="176"/>
      <c r="Q6" s="176"/>
      <c r="R6" s="176"/>
      <c r="S6" s="195" t="e">
        <f>IF(#REF!=0,IF(D6=0,0,100),100*(D6/#REF!-1))</f>
        <v>#REF!</v>
      </c>
      <c r="T6" s="93"/>
    </row>
    <row r="7" s="131" customFormat="1" ht="25" hidden="1" customHeight="1" spans="1:20">
      <c r="A7" s="171" t="s">
        <v>1364</v>
      </c>
      <c r="B7" s="172"/>
      <c r="C7" s="173" t="s">
        <v>1365</v>
      </c>
      <c r="D7" s="176">
        <f>+I7+J7</f>
        <v>0</v>
      </c>
      <c r="E7" s="175">
        <f t="shared" ref="E7:J7" si="1">E8+E9</f>
        <v>0</v>
      </c>
      <c r="F7" s="175">
        <f t="shared" si="1"/>
        <v>0</v>
      </c>
      <c r="G7" s="175">
        <f t="shared" si="1"/>
        <v>0</v>
      </c>
      <c r="H7" s="175">
        <f t="shared" si="1"/>
        <v>0</v>
      </c>
      <c r="I7" s="176">
        <f t="shared" si="1"/>
        <v>0</v>
      </c>
      <c r="J7" s="176">
        <f t="shared" si="1"/>
        <v>0</v>
      </c>
      <c r="K7" s="176"/>
      <c r="L7" s="176"/>
      <c r="M7" s="176"/>
      <c r="N7" s="176"/>
      <c r="O7" s="176"/>
      <c r="P7" s="176"/>
      <c r="Q7" s="176"/>
      <c r="R7" s="176"/>
      <c r="S7" s="195" t="e">
        <f>IF(#REF!=0,IF(D7=0,0,100),100*(D7/#REF!-1))</f>
        <v>#REF!</v>
      </c>
      <c r="T7" s="93"/>
    </row>
    <row r="8" s="131" customFormat="1" ht="25" hidden="1" customHeight="1" spans="1:20">
      <c r="A8" s="171" t="s">
        <v>1366</v>
      </c>
      <c r="B8" s="172"/>
      <c r="C8" s="173" t="s">
        <v>1367</v>
      </c>
      <c r="D8" s="176">
        <f>+I8+J8</f>
        <v>0</v>
      </c>
      <c r="E8" s="175">
        <v>0</v>
      </c>
      <c r="F8" s="175">
        <v>0</v>
      </c>
      <c r="G8" s="175">
        <v>0</v>
      </c>
      <c r="H8" s="175">
        <v>0</v>
      </c>
      <c r="I8" s="176">
        <f t="shared" ref="I7:I39" si="2">SUM(E8:H8)</f>
        <v>0</v>
      </c>
      <c r="J8" s="176"/>
      <c r="K8" s="176"/>
      <c r="L8" s="176"/>
      <c r="M8" s="176"/>
      <c r="N8" s="176"/>
      <c r="O8" s="176"/>
      <c r="P8" s="176"/>
      <c r="Q8" s="176"/>
      <c r="R8" s="176"/>
      <c r="S8" s="195" t="e">
        <f>IF(#REF!=0,IF(D8=0,0,100),100*(D8/#REF!-1))</f>
        <v>#REF!</v>
      </c>
      <c r="T8" s="93"/>
    </row>
    <row r="9" s="131" customFormat="1" ht="25" hidden="1" customHeight="1" spans="1:20">
      <c r="A9" s="171" t="s">
        <v>1368</v>
      </c>
      <c r="B9" s="172"/>
      <c r="C9" s="173" t="s">
        <v>1369</v>
      </c>
      <c r="D9" s="176">
        <f>+I9+J9</f>
        <v>0</v>
      </c>
      <c r="E9" s="175">
        <v>0</v>
      </c>
      <c r="F9" s="175">
        <v>0</v>
      </c>
      <c r="G9" s="175">
        <v>0</v>
      </c>
      <c r="H9" s="175">
        <v>0</v>
      </c>
      <c r="I9" s="176">
        <f t="shared" si="2"/>
        <v>0</v>
      </c>
      <c r="J9" s="176"/>
      <c r="K9" s="176"/>
      <c r="L9" s="176"/>
      <c r="M9" s="176"/>
      <c r="N9" s="176"/>
      <c r="O9" s="176"/>
      <c r="P9" s="176"/>
      <c r="Q9" s="176"/>
      <c r="R9" s="176"/>
      <c r="S9" s="195" t="e">
        <f>IF(#REF!=0,IF(D9=0,0,100),100*(D9/#REF!-1))</f>
        <v>#REF!</v>
      </c>
      <c r="T9" s="93"/>
    </row>
    <row r="10" s="131" customFormat="1" customHeight="1" spans="1:20">
      <c r="A10" s="145">
        <v>207</v>
      </c>
      <c r="B10" s="177"/>
      <c r="C10" s="178" t="s">
        <v>1370</v>
      </c>
      <c r="D10" s="17">
        <f>I10+J10</f>
        <v>3.7</v>
      </c>
      <c r="E10" s="179">
        <f>E11</f>
        <v>0</v>
      </c>
      <c r="F10" s="179">
        <f>F11</f>
        <v>3.7</v>
      </c>
      <c r="G10" s="179">
        <f>G11</f>
        <v>0</v>
      </c>
      <c r="H10" s="179">
        <f>H11</f>
        <v>0</v>
      </c>
      <c r="I10" s="17">
        <f t="shared" si="2"/>
        <v>3.7</v>
      </c>
      <c r="J10" s="17"/>
      <c r="K10" s="17">
        <f>Q10-I10</f>
        <v>0.2</v>
      </c>
      <c r="L10" s="17">
        <f>R10-J10</f>
        <v>1.6</v>
      </c>
      <c r="M10" s="179"/>
      <c r="N10" s="179"/>
      <c r="O10" s="179">
        <f>O11</f>
        <v>3.9</v>
      </c>
      <c r="P10" s="17">
        <f>Q10+R10</f>
        <v>5.5</v>
      </c>
      <c r="Q10" s="17">
        <f>Q11</f>
        <v>3.9</v>
      </c>
      <c r="R10" s="17">
        <f>R11</f>
        <v>1.6</v>
      </c>
      <c r="S10" s="196">
        <f>IF(D10=0,IF(P10=0,0,100),100*(P10/D10-1))</f>
        <v>48.6486486486486</v>
      </c>
      <c r="T10" s="197"/>
    </row>
    <row r="11" s="131" customFormat="1" customHeight="1" spans="1:20">
      <c r="A11" s="145">
        <v>20707</v>
      </c>
      <c r="B11" s="177"/>
      <c r="C11" s="178" t="s">
        <v>1371</v>
      </c>
      <c r="D11" s="17">
        <f>I11+J11</f>
        <v>3.7</v>
      </c>
      <c r="E11" s="179">
        <f>E12</f>
        <v>0</v>
      </c>
      <c r="F11" s="179">
        <f>F12</f>
        <v>3.7</v>
      </c>
      <c r="G11" s="179">
        <f>G12</f>
        <v>0</v>
      </c>
      <c r="H11" s="179">
        <f>H12</f>
        <v>0</v>
      </c>
      <c r="I11" s="17">
        <f t="shared" si="2"/>
        <v>3.7</v>
      </c>
      <c r="J11" s="17"/>
      <c r="K11" s="17">
        <f>Q11-I11</f>
        <v>0.2</v>
      </c>
      <c r="L11" s="17">
        <f>R11-J11</f>
        <v>1.6</v>
      </c>
      <c r="M11" s="179">
        <v>0</v>
      </c>
      <c r="N11" s="179"/>
      <c r="O11" s="179">
        <f>O12</f>
        <v>3.9</v>
      </c>
      <c r="P11" s="17">
        <f>Q11+R11</f>
        <v>5.5</v>
      </c>
      <c r="Q11" s="17">
        <f>Q12</f>
        <v>3.9</v>
      </c>
      <c r="R11" s="17">
        <f>R12</f>
        <v>1.6</v>
      </c>
      <c r="S11" s="196">
        <f t="shared" ref="S10:S12" si="3">IF(D11=0,IF(P11=0,0,100),100*(P11/D11-1))</f>
        <v>48.6486486486486</v>
      </c>
      <c r="T11" s="198"/>
    </row>
    <row r="12" s="131" customFormat="1" customHeight="1" spans="1:20">
      <c r="A12" s="145">
        <v>2070799</v>
      </c>
      <c r="B12" s="177"/>
      <c r="C12" s="178" t="s">
        <v>1372</v>
      </c>
      <c r="D12" s="17">
        <f>I12+J12</f>
        <v>3.7</v>
      </c>
      <c r="E12" s="179">
        <v>0</v>
      </c>
      <c r="F12" s="179">
        <v>3.7</v>
      </c>
      <c r="G12" s="179">
        <v>0</v>
      </c>
      <c r="H12" s="179">
        <v>0</v>
      </c>
      <c r="I12" s="17">
        <f t="shared" si="2"/>
        <v>3.7</v>
      </c>
      <c r="J12" s="17"/>
      <c r="K12" s="17">
        <f>Q12-I12</f>
        <v>0.2</v>
      </c>
      <c r="L12" s="17">
        <f>R12-J12</f>
        <v>1.6</v>
      </c>
      <c r="M12" s="179">
        <v>0</v>
      </c>
      <c r="N12" s="179"/>
      <c r="O12" s="179">
        <f>3.7+0.2</f>
        <v>3.9</v>
      </c>
      <c r="P12" s="17">
        <f>Q12+R12</f>
        <v>5.5</v>
      </c>
      <c r="Q12" s="17">
        <f>M12+N12+O12+G12</f>
        <v>3.9</v>
      </c>
      <c r="R12" s="17">
        <v>1.6</v>
      </c>
      <c r="S12" s="196">
        <f t="shared" si="3"/>
        <v>48.6486486486486</v>
      </c>
      <c r="T12" s="199"/>
    </row>
    <row r="13" s="159" customFormat="1" ht="25" hidden="1" customHeight="1" spans="1:20">
      <c r="A13" s="180">
        <v>208</v>
      </c>
      <c r="B13" s="177"/>
      <c r="C13" s="178" t="s">
        <v>1373</v>
      </c>
      <c r="D13" s="179">
        <f t="shared" ref="D11:D43" si="4">I13+J13</f>
        <v>0</v>
      </c>
      <c r="E13" s="179">
        <f>E14+E17</f>
        <v>0</v>
      </c>
      <c r="F13" s="179">
        <f>F14+F17</f>
        <v>0</v>
      </c>
      <c r="G13" s="179">
        <f>G14+G17</f>
        <v>0</v>
      </c>
      <c r="H13" s="179">
        <f>H14+H17</f>
        <v>0</v>
      </c>
      <c r="I13" s="179">
        <f t="shared" si="2"/>
        <v>0</v>
      </c>
      <c r="J13" s="179"/>
      <c r="K13" s="179"/>
      <c r="L13" s="179"/>
      <c r="M13" s="179"/>
      <c r="N13" s="179"/>
      <c r="O13" s="179"/>
      <c r="P13" s="179"/>
      <c r="Q13" s="179"/>
      <c r="R13" s="179"/>
      <c r="S13" s="200" t="e">
        <f>IF(#REF!=0,IF(D13=0,0,100),100*(D13/#REF!-1))</f>
        <v>#REF!</v>
      </c>
      <c r="T13" s="93"/>
    </row>
    <row r="14" s="159" customFormat="1" ht="25" hidden="1" customHeight="1" spans="1:20">
      <c r="A14" s="180">
        <v>20811</v>
      </c>
      <c r="B14" s="177"/>
      <c r="C14" s="178" t="s">
        <v>335</v>
      </c>
      <c r="D14" s="179">
        <f t="shared" si="4"/>
        <v>0</v>
      </c>
      <c r="E14" s="179">
        <f>SUM(E15:E16)</f>
        <v>0</v>
      </c>
      <c r="F14" s="179">
        <f>SUM(F15:F16)</f>
        <v>0</v>
      </c>
      <c r="G14" s="179">
        <f>SUM(G15:G16)</f>
        <v>0</v>
      </c>
      <c r="H14" s="179">
        <f>SUM(H15:H16)</f>
        <v>0</v>
      </c>
      <c r="I14" s="179">
        <f t="shared" si="2"/>
        <v>0</v>
      </c>
      <c r="J14" s="179"/>
      <c r="K14" s="179"/>
      <c r="L14" s="179"/>
      <c r="M14" s="179"/>
      <c r="N14" s="179"/>
      <c r="O14" s="179"/>
      <c r="P14" s="179"/>
      <c r="Q14" s="179"/>
      <c r="R14" s="179"/>
      <c r="S14" s="200" t="e">
        <f>IF(#REF!=0,IF(D14=0,0,100),100*(D14/#REF!-1))</f>
        <v>#REF!</v>
      </c>
      <c r="T14" s="93"/>
    </row>
    <row r="15" s="159" customFormat="1" ht="25" hidden="1" customHeight="1" spans="1:20">
      <c r="A15" s="181">
        <v>2081107</v>
      </c>
      <c r="B15" s="177"/>
      <c r="C15" s="178" t="s">
        <v>1374</v>
      </c>
      <c r="D15" s="179">
        <f t="shared" si="4"/>
        <v>0</v>
      </c>
      <c r="E15" s="179">
        <v>0</v>
      </c>
      <c r="F15" s="179">
        <v>0</v>
      </c>
      <c r="G15" s="179">
        <v>0</v>
      </c>
      <c r="H15" s="179">
        <v>0</v>
      </c>
      <c r="I15" s="179">
        <f t="shared" si="2"/>
        <v>0</v>
      </c>
      <c r="J15" s="179"/>
      <c r="K15" s="179"/>
      <c r="L15" s="179"/>
      <c r="M15" s="179"/>
      <c r="N15" s="179"/>
      <c r="O15" s="179"/>
      <c r="P15" s="179"/>
      <c r="Q15" s="179"/>
      <c r="R15" s="179"/>
      <c r="S15" s="200" t="e">
        <f>IF(#REF!=0,IF(D15=0,0,100),100*(D15/#REF!-1))</f>
        <v>#REF!</v>
      </c>
      <c r="T15" s="93"/>
    </row>
    <row r="16" s="159" customFormat="1" ht="25" hidden="1" customHeight="1" spans="1:20">
      <c r="A16" s="181">
        <v>2081199</v>
      </c>
      <c r="B16" s="177"/>
      <c r="C16" s="178" t="s">
        <v>1375</v>
      </c>
      <c r="D16" s="179">
        <f t="shared" si="4"/>
        <v>0</v>
      </c>
      <c r="E16" s="179">
        <v>0</v>
      </c>
      <c r="F16" s="179">
        <v>0</v>
      </c>
      <c r="G16" s="179">
        <v>0</v>
      </c>
      <c r="H16" s="179">
        <v>0</v>
      </c>
      <c r="I16" s="179">
        <f t="shared" si="2"/>
        <v>0</v>
      </c>
      <c r="J16" s="179"/>
      <c r="K16" s="179"/>
      <c r="L16" s="179"/>
      <c r="M16" s="179"/>
      <c r="N16" s="179"/>
      <c r="O16" s="179"/>
      <c r="P16" s="179"/>
      <c r="Q16" s="179"/>
      <c r="R16" s="179"/>
      <c r="S16" s="200" t="e">
        <f>IF(#REF!=0,IF(D16=0,0,100),100*(D16/#REF!-1))</f>
        <v>#REF!</v>
      </c>
      <c r="T16" s="93"/>
    </row>
    <row r="17" s="159" customFormat="1" ht="25" hidden="1" customHeight="1" spans="1:20">
      <c r="A17" s="180">
        <v>20860</v>
      </c>
      <c r="B17" s="177"/>
      <c r="C17" s="178" t="s">
        <v>1376</v>
      </c>
      <c r="D17" s="179">
        <f t="shared" si="4"/>
        <v>0</v>
      </c>
      <c r="E17" s="179">
        <f>E18</f>
        <v>0</v>
      </c>
      <c r="F17" s="179">
        <f>F18</f>
        <v>0</v>
      </c>
      <c r="G17" s="179">
        <f>G18</f>
        <v>0</v>
      </c>
      <c r="H17" s="179">
        <f>H18</f>
        <v>0</v>
      </c>
      <c r="I17" s="179">
        <f t="shared" si="2"/>
        <v>0</v>
      </c>
      <c r="J17" s="179"/>
      <c r="K17" s="179"/>
      <c r="L17" s="179"/>
      <c r="M17" s="179"/>
      <c r="N17" s="179"/>
      <c r="O17" s="179"/>
      <c r="P17" s="179"/>
      <c r="Q17" s="179"/>
      <c r="R17" s="179"/>
      <c r="S17" s="200" t="e">
        <f>IF(#REF!=0,IF(D17=0,0,100),100*(D17/#REF!-1))</f>
        <v>#REF!</v>
      </c>
      <c r="T17" s="93"/>
    </row>
    <row r="18" s="159" customFormat="1" ht="25" hidden="1" customHeight="1" spans="1:20">
      <c r="A18" s="181">
        <v>2086099</v>
      </c>
      <c r="B18" s="177"/>
      <c r="C18" s="178" t="s">
        <v>1375</v>
      </c>
      <c r="D18" s="179">
        <f t="shared" si="4"/>
        <v>0</v>
      </c>
      <c r="E18" s="179">
        <v>0</v>
      </c>
      <c r="F18" s="179">
        <v>0</v>
      </c>
      <c r="G18" s="179">
        <v>0</v>
      </c>
      <c r="H18" s="179">
        <v>0</v>
      </c>
      <c r="I18" s="179">
        <f t="shared" si="2"/>
        <v>0</v>
      </c>
      <c r="J18" s="179"/>
      <c r="K18" s="179"/>
      <c r="L18" s="179"/>
      <c r="M18" s="179"/>
      <c r="N18" s="179"/>
      <c r="O18" s="179"/>
      <c r="P18" s="179"/>
      <c r="Q18" s="179"/>
      <c r="R18" s="179"/>
      <c r="S18" s="200" t="e">
        <f>IF(#REF!=0,IF(D18=0,0,100),100*(D18/#REF!-1))</f>
        <v>#REF!</v>
      </c>
      <c r="T18" s="93"/>
    </row>
    <row r="19" s="131" customFormat="1" customHeight="1" spans="1:20">
      <c r="A19" s="145">
        <v>212</v>
      </c>
      <c r="B19" s="177"/>
      <c r="C19" s="178" t="s">
        <v>1377</v>
      </c>
      <c r="D19" s="17">
        <f t="shared" si="4"/>
        <v>81584.449135</v>
      </c>
      <c r="E19" s="179">
        <f>E20+E39+E48+E51+E55+E43+E47+E23</f>
        <v>2839.5326</v>
      </c>
      <c r="F19" s="179">
        <f>F20+F39+F48+F51+F55+F43+F47+F23</f>
        <v>4182.96</v>
      </c>
      <c r="G19" s="179">
        <f>G20+G39+G48+G51+G55+G43+G47+G23</f>
        <v>19407</v>
      </c>
      <c r="H19" s="179">
        <f>H20+H39+H48+H51+H55+H43+H47+H23</f>
        <v>54858.956535</v>
      </c>
      <c r="I19" s="17">
        <f t="shared" si="2"/>
        <v>81288.449135</v>
      </c>
      <c r="J19" s="17">
        <f>J20+J23+J39+J43+J47+J51+J55</f>
        <v>296</v>
      </c>
      <c r="K19" s="17">
        <f>Q19-I19</f>
        <v>-6979.19309700001</v>
      </c>
      <c r="L19" s="17">
        <f>R19-J19</f>
        <v>-135.06</v>
      </c>
      <c r="M19" s="179">
        <f t="shared" ref="K19:R19" si="5">M20+M23+M39+M43+M47+M51+M55</f>
        <v>53548.266038</v>
      </c>
      <c r="N19" s="179">
        <f t="shared" si="5"/>
        <v>0</v>
      </c>
      <c r="O19" s="179">
        <f t="shared" si="5"/>
        <v>1353.99</v>
      </c>
      <c r="P19" s="17">
        <f>Q19+R19</f>
        <v>74470.196038</v>
      </c>
      <c r="Q19" s="17">
        <f>M19+N19+O19+G19</f>
        <v>74309.256038</v>
      </c>
      <c r="R19" s="17">
        <f t="shared" si="5"/>
        <v>160.94</v>
      </c>
      <c r="S19" s="196">
        <f t="shared" ref="S19:S29" si="6">IF(D19=0,IF(P19=0,0,100),100*(P19/D19-1))</f>
        <v>-8.72010925173725</v>
      </c>
      <c r="T19" s="199"/>
    </row>
    <row r="20" s="159" customFormat="1" ht="25" hidden="1" customHeight="1" spans="1:20">
      <c r="A20" s="180">
        <v>21207</v>
      </c>
      <c r="B20" s="177"/>
      <c r="C20" s="178" t="s">
        <v>1378</v>
      </c>
      <c r="D20" s="179">
        <f t="shared" si="4"/>
        <v>0</v>
      </c>
      <c r="E20" s="179">
        <f>SUM(E21:E22)</f>
        <v>0</v>
      </c>
      <c r="F20" s="179">
        <f>SUM(F21:F22)</f>
        <v>0</v>
      </c>
      <c r="G20" s="179">
        <f>SUM(G21:G22)</f>
        <v>0</v>
      </c>
      <c r="H20" s="179">
        <f>SUM(H21:H22)</f>
        <v>0</v>
      </c>
      <c r="I20" s="179">
        <f t="shared" si="2"/>
        <v>0</v>
      </c>
      <c r="J20" s="179"/>
      <c r="K20" s="179"/>
      <c r="L20" s="179"/>
      <c r="M20" s="179"/>
      <c r="N20" s="179"/>
      <c r="O20" s="179"/>
      <c r="P20" s="179"/>
      <c r="Q20" s="179"/>
      <c r="R20" s="179"/>
      <c r="S20" s="200" t="e">
        <f>IF(#REF!=0,IF(D20=0,0,100),100*(D20/#REF!-1))</f>
        <v>#REF!</v>
      </c>
      <c r="T20" s="93"/>
    </row>
    <row r="21" s="159" customFormat="1" ht="25" hidden="1" customHeight="1" spans="1:20">
      <c r="A21" s="181">
        <v>2120705</v>
      </c>
      <c r="B21" s="177"/>
      <c r="C21" s="178" t="s">
        <v>1379</v>
      </c>
      <c r="D21" s="179">
        <f t="shared" si="4"/>
        <v>0</v>
      </c>
      <c r="E21" s="179">
        <v>0</v>
      </c>
      <c r="F21" s="179">
        <v>0</v>
      </c>
      <c r="G21" s="179">
        <v>0</v>
      </c>
      <c r="H21" s="179">
        <v>0</v>
      </c>
      <c r="I21" s="179">
        <f t="shared" si="2"/>
        <v>0</v>
      </c>
      <c r="J21" s="179"/>
      <c r="K21" s="179"/>
      <c r="L21" s="179"/>
      <c r="M21" s="179"/>
      <c r="N21" s="179"/>
      <c r="O21" s="179"/>
      <c r="P21" s="179"/>
      <c r="Q21" s="179"/>
      <c r="R21" s="179"/>
      <c r="S21" s="200" t="e">
        <f>IF(#REF!=0,IF(D21=0,0,100),100*(D21/#REF!-1))</f>
        <v>#REF!</v>
      </c>
      <c r="T21" s="93"/>
    </row>
    <row r="22" s="159" customFormat="1" ht="25" hidden="1" customHeight="1" spans="1:20">
      <c r="A22" s="180">
        <v>2120799</v>
      </c>
      <c r="B22" s="177"/>
      <c r="C22" s="178" t="s">
        <v>1380</v>
      </c>
      <c r="D22" s="179">
        <f t="shared" si="4"/>
        <v>0</v>
      </c>
      <c r="E22" s="179">
        <v>0</v>
      </c>
      <c r="F22" s="179">
        <v>0</v>
      </c>
      <c r="G22" s="179">
        <v>0</v>
      </c>
      <c r="H22" s="179">
        <v>0</v>
      </c>
      <c r="I22" s="179">
        <f t="shared" si="2"/>
        <v>0</v>
      </c>
      <c r="J22" s="179"/>
      <c r="K22" s="179"/>
      <c r="L22" s="179"/>
      <c r="M22" s="179"/>
      <c r="N22" s="179"/>
      <c r="O22" s="179"/>
      <c r="P22" s="179"/>
      <c r="Q22" s="179"/>
      <c r="R22" s="179"/>
      <c r="S22" s="200" t="e">
        <f>IF(#REF!=0,IF(D22=0,0,100),100*(D22/#REF!-1))</f>
        <v>#REF!</v>
      </c>
      <c r="T22" s="93"/>
    </row>
    <row r="23" s="131" customFormat="1" customHeight="1" spans="1:20">
      <c r="A23" s="145">
        <v>21208</v>
      </c>
      <c r="B23" s="177"/>
      <c r="C23" s="178" t="s">
        <v>1381</v>
      </c>
      <c r="D23" s="17">
        <f t="shared" ref="D23:D29" si="7">I23+J23</f>
        <v>70835.400135</v>
      </c>
      <c r="E23" s="179">
        <f>SUM(E24:E38)</f>
        <v>2701.5326</v>
      </c>
      <c r="F23" s="179">
        <f>SUM(F24:F38)</f>
        <v>4182.96</v>
      </c>
      <c r="G23" s="179">
        <f>SUM(G24:G38)</f>
        <v>19351</v>
      </c>
      <c r="H23" s="179">
        <f>SUM(H24:H38)</f>
        <v>44333.907535</v>
      </c>
      <c r="I23" s="17">
        <f t="shared" si="2"/>
        <v>70569.400135</v>
      </c>
      <c r="J23" s="17">
        <f>SUM(J24:J38)</f>
        <v>266</v>
      </c>
      <c r="K23" s="17">
        <f t="shared" ref="K23:K29" si="8">Q23-I23</f>
        <v>-3532.19309700001</v>
      </c>
      <c r="L23" s="17">
        <f t="shared" ref="L23:L29" si="9">R23-J23</f>
        <v>-135.06</v>
      </c>
      <c r="M23" s="179">
        <f t="shared" ref="K23:R23" si="10">SUM(M24:M38)</f>
        <v>46332.217038</v>
      </c>
      <c r="N23" s="179">
        <f t="shared" si="10"/>
        <v>0</v>
      </c>
      <c r="O23" s="179">
        <f t="shared" si="10"/>
        <v>1353.99</v>
      </c>
      <c r="P23" s="17">
        <f t="shared" ref="P23:P29" si="11">Q23+R23</f>
        <v>67168.147038</v>
      </c>
      <c r="Q23" s="17">
        <f t="shared" ref="Q23:Q29" si="12">M23+N23+O23+G23</f>
        <v>67037.207038</v>
      </c>
      <c r="R23" s="17">
        <f t="shared" si="10"/>
        <v>130.94</v>
      </c>
      <c r="S23" s="196">
        <f t="shared" si="6"/>
        <v>-5.17714742912563</v>
      </c>
      <c r="T23" s="199"/>
    </row>
    <row r="24" s="131" customFormat="1" customHeight="1" spans="1:20">
      <c r="A24" s="141">
        <v>2120801</v>
      </c>
      <c r="B24" s="177"/>
      <c r="C24" s="182" t="s">
        <v>1382</v>
      </c>
      <c r="D24" s="17">
        <f t="shared" si="7"/>
        <v>15076.7607</v>
      </c>
      <c r="E24" s="179">
        <v>300</v>
      </c>
      <c r="F24" s="179">
        <v>0</v>
      </c>
      <c r="G24" s="179">
        <v>0</v>
      </c>
      <c r="H24" s="179">
        <f>13528.7607+1248</f>
        <v>14776.7607</v>
      </c>
      <c r="I24" s="17">
        <f t="shared" si="2"/>
        <v>15076.7607</v>
      </c>
      <c r="J24" s="17"/>
      <c r="K24" s="17">
        <f t="shared" si="8"/>
        <v>-236.200000000001</v>
      </c>
      <c r="L24" s="17">
        <f t="shared" si="9"/>
        <v>0</v>
      </c>
      <c r="M24" s="179">
        <v>14840.5607</v>
      </c>
      <c r="N24" s="179"/>
      <c r="O24" s="179"/>
      <c r="P24" s="17">
        <f t="shared" si="11"/>
        <v>14840.5607</v>
      </c>
      <c r="Q24" s="17">
        <f t="shared" si="12"/>
        <v>14840.5607</v>
      </c>
      <c r="R24" s="17"/>
      <c r="S24" s="196">
        <f t="shared" si="6"/>
        <v>-1.56664952571676</v>
      </c>
      <c r="T24" s="199"/>
    </row>
    <row r="25" s="131" customFormat="1" customHeight="1" spans="1:20">
      <c r="A25" s="141">
        <v>2120802</v>
      </c>
      <c r="B25" s="177"/>
      <c r="C25" s="182" t="s">
        <v>1383</v>
      </c>
      <c r="D25" s="17">
        <f t="shared" si="7"/>
        <v>18696.08</v>
      </c>
      <c r="E25" s="179">
        <v>0</v>
      </c>
      <c r="F25" s="179">
        <v>0</v>
      </c>
      <c r="G25" s="179">
        <v>2020</v>
      </c>
      <c r="H25" s="179">
        <v>16676.08</v>
      </c>
      <c r="I25" s="17">
        <f t="shared" si="2"/>
        <v>18696.08</v>
      </c>
      <c r="J25" s="17"/>
      <c r="K25" s="17">
        <f t="shared" si="8"/>
        <v>1760.16</v>
      </c>
      <c r="L25" s="17">
        <f t="shared" si="9"/>
        <v>0</v>
      </c>
      <c r="M25" s="179">
        <f>23971.02-5534.78</f>
        <v>18436.24</v>
      </c>
      <c r="N25" s="179"/>
      <c r="O25" s="179"/>
      <c r="P25" s="17">
        <f t="shared" si="11"/>
        <v>20456.24</v>
      </c>
      <c r="Q25" s="17">
        <f t="shared" si="12"/>
        <v>20456.24</v>
      </c>
      <c r="R25" s="17"/>
      <c r="S25" s="196">
        <f t="shared" si="6"/>
        <v>9.41459386138699</v>
      </c>
      <c r="T25" s="199"/>
    </row>
    <row r="26" s="131" customFormat="1" customHeight="1" spans="1:20">
      <c r="A26" s="141">
        <v>2120803</v>
      </c>
      <c r="B26" s="177"/>
      <c r="C26" s="178" t="s">
        <v>1384</v>
      </c>
      <c r="D26" s="17">
        <f t="shared" si="7"/>
        <v>14564.676835</v>
      </c>
      <c r="E26" s="179">
        <f>20.98-3.48</f>
        <v>17.5</v>
      </c>
      <c r="F26" s="179">
        <v>0</v>
      </c>
      <c r="G26" s="179">
        <v>10486</v>
      </c>
      <c r="H26" s="179">
        <v>4061.176835</v>
      </c>
      <c r="I26" s="17">
        <f t="shared" si="2"/>
        <v>14564.676835</v>
      </c>
      <c r="J26" s="17"/>
      <c r="K26" s="17">
        <f t="shared" si="8"/>
        <v>-3661.656835</v>
      </c>
      <c r="L26" s="17">
        <f t="shared" si="9"/>
        <v>0</v>
      </c>
      <c r="M26" s="179">
        <v>417.02</v>
      </c>
      <c r="N26" s="179"/>
      <c r="O26" s="179"/>
      <c r="P26" s="17">
        <f t="shared" si="11"/>
        <v>10903.02</v>
      </c>
      <c r="Q26" s="17">
        <f t="shared" si="12"/>
        <v>10903.02</v>
      </c>
      <c r="R26" s="17"/>
      <c r="S26" s="196">
        <f t="shared" si="6"/>
        <v>-25.1406665350842</v>
      </c>
      <c r="T26" s="199"/>
    </row>
    <row r="27" s="131" customFormat="1" customHeight="1" spans="1:20">
      <c r="A27" s="141">
        <v>2120804</v>
      </c>
      <c r="B27" s="177"/>
      <c r="C27" s="182" t="s">
        <v>1385</v>
      </c>
      <c r="D27" s="17">
        <f t="shared" si="7"/>
        <v>3916.7852</v>
      </c>
      <c r="E27" s="179">
        <v>152.8252</v>
      </c>
      <c r="F27" s="179">
        <v>845</v>
      </c>
      <c r="G27" s="179">
        <v>0</v>
      </c>
      <c r="H27" s="179">
        <v>2700.96</v>
      </c>
      <c r="I27" s="17">
        <f t="shared" si="2"/>
        <v>3698.7852</v>
      </c>
      <c r="J27" s="17">
        <v>218</v>
      </c>
      <c r="K27" s="17">
        <f t="shared" si="8"/>
        <v>653.8465</v>
      </c>
      <c r="L27" s="17">
        <f t="shared" si="9"/>
        <v>-164.82</v>
      </c>
      <c r="M27" s="179">
        <f>3030.6417+1071</f>
        <v>4101.6417</v>
      </c>
      <c r="N27" s="179"/>
      <c r="O27" s="179">
        <f>225.99+25</f>
        <v>250.99</v>
      </c>
      <c r="P27" s="17">
        <f t="shared" si="11"/>
        <v>4405.8117</v>
      </c>
      <c r="Q27" s="17">
        <f t="shared" si="12"/>
        <v>4352.6317</v>
      </c>
      <c r="R27" s="17">
        <v>53.18</v>
      </c>
      <c r="S27" s="196">
        <f t="shared" si="6"/>
        <v>12.4854051225479</v>
      </c>
      <c r="T27" s="199"/>
    </row>
    <row r="28" s="131" customFormat="1" customHeight="1" spans="1:20">
      <c r="A28" s="141">
        <v>2120805</v>
      </c>
      <c r="B28" s="177"/>
      <c r="C28" s="178" t="s">
        <v>1386</v>
      </c>
      <c r="D28" s="17">
        <f t="shared" si="7"/>
        <v>617</v>
      </c>
      <c r="E28" s="179">
        <v>0</v>
      </c>
      <c r="F28" s="179">
        <v>0</v>
      </c>
      <c r="G28" s="179">
        <v>617</v>
      </c>
      <c r="H28" s="179">
        <v>0</v>
      </c>
      <c r="I28" s="17">
        <f t="shared" si="2"/>
        <v>617</v>
      </c>
      <c r="J28" s="17"/>
      <c r="K28" s="17">
        <f t="shared" si="8"/>
        <v>0</v>
      </c>
      <c r="L28" s="17">
        <f t="shared" si="9"/>
        <v>0</v>
      </c>
      <c r="M28" s="179">
        <v>0</v>
      </c>
      <c r="N28" s="179"/>
      <c r="O28" s="179"/>
      <c r="P28" s="17">
        <f t="shared" si="11"/>
        <v>617</v>
      </c>
      <c r="Q28" s="17">
        <f t="shared" si="12"/>
        <v>617</v>
      </c>
      <c r="R28" s="17"/>
      <c r="S28" s="196">
        <f t="shared" si="6"/>
        <v>0</v>
      </c>
      <c r="T28" s="199"/>
    </row>
    <row r="29" s="131" customFormat="1" customHeight="1" spans="1:20">
      <c r="A29" s="141">
        <v>2120806</v>
      </c>
      <c r="B29" s="177"/>
      <c r="C29" s="182" t="s">
        <v>1387</v>
      </c>
      <c r="D29" s="17">
        <f t="shared" si="7"/>
        <v>1365.8</v>
      </c>
      <c r="E29" s="179">
        <v>36</v>
      </c>
      <c r="F29" s="179">
        <v>0</v>
      </c>
      <c r="G29" s="179">
        <v>0</v>
      </c>
      <c r="H29" s="179">
        <v>1329.8</v>
      </c>
      <c r="I29" s="17">
        <f t="shared" si="2"/>
        <v>1365.8</v>
      </c>
      <c r="J29" s="17"/>
      <c r="K29" s="17">
        <f t="shared" si="8"/>
        <v>-535.89</v>
      </c>
      <c r="L29" s="17">
        <f t="shared" si="9"/>
        <v>0</v>
      </c>
      <c r="M29" s="179">
        <v>829.91</v>
      </c>
      <c r="N29" s="179"/>
      <c r="O29" s="179"/>
      <c r="P29" s="17">
        <f t="shared" si="11"/>
        <v>829.91</v>
      </c>
      <c r="Q29" s="17">
        <f t="shared" si="12"/>
        <v>829.91</v>
      </c>
      <c r="R29" s="17"/>
      <c r="S29" s="196">
        <f t="shared" si="6"/>
        <v>-39.2363449992678</v>
      </c>
      <c r="T29" s="199"/>
    </row>
    <row r="30" s="159" customFormat="1" ht="25" hidden="1" customHeight="1" spans="1:20">
      <c r="A30" s="181">
        <v>2120807</v>
      </c>
      <c r="B30" s="177"/>
      <c r="C30" s="182" t="s">
        <v>1388</v>
      </c>
      <c r="D30" s="179">
        <f t="shared" si="4"/>
        <v>0</v>
      </c>
      <c r="E30" s="179">
        <v>0</v>
      </c>
      <c r="F30" s="179">
        <v>0</v>
      </c>
      <c r="G30" s="179">
        <v>0</v>
      </c>
      <c r="H30" s="179">
        <v>0</v>
      </c>
      <c r="I30" s="179">
        <f t="shared" si="2"/>
        <v>0</v>
      </c>
      <c r="J30" s="179"/>
      <c r="K30" s="179"/>
      <c r="L30" s="179"/>
      <c r="M30" s="179"/>
      <c r="N30" s="179"/>
      <c r="O30" s="179"/>
      <c r="P30" s="179"/>
      <c r="Q30" s="179"/>
      <c r="R30" s="179"/>
      <c r="S30" s="200" t="e">
        <f>IF(#REF!=0,IF(D30=0,0,100),100*(D30/#REF!-1))</f>
        <v>#REF!</v>
      </c>
      <c r="T30" s="93"/>
    </row>
    <row r="31" s="159" customFormat="1" ht="25" hidden="1" customHeight="1" spans="1:20">
      <c r="A31" s="181">
        <v>2120808</v>
      </c>
      <c r="B31" s="177"/>
      <c r="C31" s="178" t="s">
        <v>1389</v>
      </c>
      <c r="D31" s="179">
        <f t="shared" si="4"/>
        <v>0</v>
      </c>
      <c r="E31" s="179">
        <v>0</v>
      </c>
      <c r="F31" s="179">
        <v>0</v>
      </c>
      <c r="G31" s="179">
        <v>0</v>
      </c>
      <c r="H31" s="179">
        <v>0</v>
      </c>
      <c r="I31" s="179">
        <f t="shared" si="2"/>
        <v>0</v>
      </c>
      <c r="J31" s="179"/>
      <c r="K31" s="179"/>
      <c r="L31" s="179"/>
      <c r="M31" s="179"/>
      <c r="N31" s="179"/>
      <c r="O31" s="179"/>
      <c r="P31" s="179"/>
      <c r="Q31" s="179"/>
      <c r="R31" s="179"/>
      <c r="S31" s="200" t="e">
        <f>IF(#REF!=0,IF(D31=0,0,100),100*(D31/#REF!-1))</f>
        <v>#REF!</v>
      </c>
      <c r="T31" s="93"/>
    </row>
    <row r="32" s="159" customFormat="1" ht="25" hidden="1" customHeight="1" spans="1:20">
      <c r="A32" s="180">
        <v>2120809</v>
      </c>
      <c r="B32" s="177"/>
      <c r="C32" s="178" t="s">
        <v>1390</v>
      </c>
      <c r="D32" s="179">
        <f t="shared" si="4"/>
        <v>0</v>
      </c>
      <c r="E32" s="179">
        <v>0</v>
      </c>
      <c r="F32" s="179">
        <v>0</v>
      </c>
      <c r="G32" s="179">
        <v>0</v>
      </c>
      <c r="H32" s="179">
        <v>0</v>
      </c>
      <c r="I32" s="179">
        <f t="shared" si="2"/>
        <v>0</v>
      </c>
      <c r="J32" s="179"/>
      <c r="K32" s="179"/>
      <c r="L32" s="179"/>
      <c r="M32" s="179"/>
      <c r="N32" s="179"/>
      <c r="O32" s="179"/>
      <c r="P32" s="179"/>
      <c r="Q32" s="179"/>
      <c r="R32" s="179"/>
      <c r="S32" s="200" t="e">
        <f>IF(#REF!=0,IF(D32=0,0,100),100*(D32/#REF!-1))</f>
        <v>#REF!</v>
      </c>
      <c r="T32" s="93"/>
    </row>
    <row r="33" s="159" customFormat="1" ht="25" hidden="1" customHeight="1" spans="1:20">
      <c r="A33" s="180">
        <v>2120810</v>
      </c>
      <c r="B33" s="177"/>
      <c r="C33" s="178" t="s">
        <v>1391</v>
      </c>
      <c r="D33" s="179">
        <f t="shared" si="4"/>
        <v>0</v>
      </c>
      <c r="E33" s="179">
        <v>0</v>
      </c>
      <c r="F33" s="179">
        <v>0</v>
      </c>
      <c r="G33" s="179">
        <v>0</v>
      </c>
      <c r="H33" s="179">
        <v>0</v>
      </c>
      <c r="I33" s="179">
        <f t="shared" si="2"/>
        <v>0</v>
      </c>
      <c r="J33" s="179"/>
      <c r="K33" s="179"/>
      <c r="L33" s="179"/>
      <c r="M33" s="179"/>
      <c r="N33" s="179"/>
      <c r="O33" s="179"/>
      <c r="P33" s="179"/>
      <c r="Q33" s="179"/>
      <c r="R33" s="179"/>
      <c r="S33" s="200"/>
      <c r="T33" s="93"/>
    </row>
    <row r="34" s="131" customFormat="1" customHeight="1" spans="1:20">
      <c r="A34" s="141">
        <v>2120811</v>
      </c>
      <c r="B34" s="177"/>
      <c r="C34" s="178" t="s">
        <v>1392</v>
      </c>
      <c r="D34" s="17">
        <f t="shared" si="4"/>
        <v>0</v>
      </c>
      <c r="E34" s="179">
        <v>0</v>
      </c>
      <c r="F34" s="179">
        <v>0</v>
      </c>
      <c r="G34" s="179">
        <v>0</v>
      </c>
      <c r="H34" s="179">
        <v>0</v>
      </c>
      <c r="I34" s="17">
        <f t="shared" si="2"/>
        <v>0</v>
      </c>
      <c r="J34" s="17"/>
      <c r="K34" s="17">
        <f>Q34-I34</f>
        <v>0</v>
      </c>
      <c r="L34" s="17">
        <f>R34-J34</f>
        <v>0</v>
      </c>
      <c r="M34" s="179">
        <v>0</v>
      </c>
      <c r="N34" s="179"/>
      <c r="O34" s="179"/>
      <c r="P34" s="17">
        <f>Q34+R34</f>
        <v>0</v>
      </c>
      <c r="Q34" s="17">
        <f>M34+N34+O34+G34</f>
        <v>0</v>
      </c>
      <c r="R34" s="17"/>
      <c r="S34" s="196">
        <f t="shared" ref="S34:S38" si="13">IF(D34=0,IF(P34=0,0,100),100*(P34/D34-1))</f>
        <v>0</v>
      </c>
      <c r="T34" s="199"/>
    </row>
    <row r="35" s="159" customFormat="1" ht="25" hidden="1" customHeight="1" spans="1:20">
      <c r="A35" s="181">
        <v>2120812</v>
      </c>
      <c r="B35" s="177"/>
      <c r="C35" s="178" t="s">
        <v>1393</v>
      </c>
      <c r="D35" s="179">
        <f t="shared" si="4"/>
        <v>0</v>
      </c>
      <c r="E35" s="179">
        <v>0</v>
      </c>
      <c r="F35" s="179">
        <v>0</v>
      </c>
      <c r="G35" s="179">
        <v>0</v>
      </c>
      <c r="H35" s="179">
        <v>0</v>
      </c>
      <c r="I35" s="179">
        <f t="shared" si="2"/>
        <v>0</v>
      </c>
      <c r="J35" s="179"/>
      <c r="K35" s="179"/>
      <c r="L35" s="179"/>
      <c r="M35" s="179"/>
      <c r="N35" s="179"/>
      <c r="O35" s="179"/>
      <c r="P35" s="179"/>
      <c r="Q35" s="179"/>
      <c r="R35" s="179"/>
      <c r="S35" s="200" t="e">
        <f>IF(#REF!=0,IF(D35=0,0,100),100*(D35/#REF!-1))</f>
        <v>#REF!</v>
      </c>
      <c r="T35" s="93"/>
    </row>
    <row r="36" s="131" customFormat="1" customHeight="1" spans="1:20">
      <c r="A36" s="141">
        <v>2120814</v>
      </c>
      <c r="B36" s="177"/>
      <c r="C36" s="178" t="s">
        <v>1394</v>
      </c>
      <c r="D36" s="17">
        <f t="shared" si="4"/>
        <v>344</v>
      </c>
      <c r="E36" s="179"/>
      <c r="F36" s="179">
        <v>160</v>
      </c>
      <c r="G36" s="179"/>
      <c r="H36" s="179">
        <v>184</v>
      </c>
      <c r="I36" s="17">
        <f t="shared" si="2"/>
        <v>344</v>
      </c>
      <c r="J36" s="17"/>
      <c r="K36" s="17">
        <f>Q36-I36</f>
        <v>-155.81</v>
      </c>
      <c r="L36" s="17">
        <f>R36-J36</f>
        <v>15.05</v>
      </c>
      <c r="M36" s="179">
        <v>78.19</v>
      </c>
      <c r="N36" s="179"/>
      <c r="O36" s="179">
        <v>110</v>
      </c>
      <c r="P36" s="17">
        <f>Q36+R36</f>
        <v>203.24</v>
      </c>
      <c r="Q36" s="17">
        <f>M36+N36+O36+G36</f>
        <v>188.19</v>
      </c>
      <c r="R36" s="17">
        <v>15.05</v>
      </c>
      <c r="S36" s="196">
        <f t="shared" si="13"/>
        <v>-40.9186046511628</v>
      </c>
      <c r="T36" s="199"/>
    </row>
    <row r="37" s="131" customFormat="1" customHeight="1" spans="1:20">
      <c r="A37" s="145">
        <v>2120816</v>
      </c>
      <c r="B37" s="177"/>
      <c r="C37" s="178" t="s">
        <v>1395</v>
      </c>
      <c r="D37" s="17">
        <f t="shared" si="4"/>
        <v>207.25</v>
      </c>
      <c r="E37" s="179">
        <v>0</v>
      </c>
      <c r="F37" s="179">
        <v>0</v>
      </c>
      <c r="G37" s="179">
        <v>0</v>
      </c>
      <c r="H37" s="179">
        <v>207.25</v>
      </c>
      <c r="I37" s="17">
        <f t="shared" si="2"/>
        <v>207.25</v>
      </c>
      <c r="J37" s="17"/>
      <c r="K37" s="17">
        <f>Q37-I37</f>
        <v>161.98</v>
      </c>
      <c r="L37" s="17">
        <f>R37-J37</f>
        <v>0</v>
      </c>
      <c r="M37" s="179">
        <v>224.23</v>
      </c>
      <c r="N37" s="179"/>
      <c r="O37" s="179">
        <v>145</v>
      </c>
      <c r="P37" s="17">
        <f>Q37+R37</f>
        <v>369.23</v>
      </c>
      <c r="Q37" s="17">
        <f>M37+N37+O37+G37</f>
        <v>369.23</v>
      </c>
      <c r="R37" s="17"/>
      <c r="S37" s="196">
        <f t="shared" si="13"/>
        <v>78.1568154402895</v>
      </c>
      <c r="T37" s="199"/>
    </row>
    <row r="38" s="131" customFormat="1" customHeight="1" spans="1:20">
      <c r="A38" s="141">
        <v>2120899</v>
      </c>
      <c r="B38" s="177"/>
      <c r="C38" s="178" t="s">
        <v>1396</v>
      </c>
      <c r="D38" s="17">
        <f t="shared" si="4"/>
        <v>16047.0474</v>
      </c>
      <c r="E38" s="179">
        <v>2195.2074</v>
      </c>
      <c r="F38" s="179">
        <v>3177.96</v>
      </c>
      <c r="G38" s="179">
        <v>6228</v>
      </c>
      <c r="H38" s="179">
        <v>4397.88</v>
      </c>
      <c r="I38" s="17">
        <f t="shared" si="2"/>
        <v>15999.0474</v>
      </c>
      <c r="J38" s="17">
        <v>48</v>
      </c>
      <c r="K38" s="17">
        <f>Q38-I38</f>
        <v>-1518.622762</v>
      </c>
      <c r="L38" s="17">
        <f>R38-J38</f>
        <v>14.71</v>
      </c>
      <c r="M38" s="179">
        <v>7404.424638</v>
      </c>
      <c r="N38" s="179"/>
      <c r="O38" s="179">
        <v>848</v>
      </c>
      <c r="P38" s="17">
        <f>Q38+R38</f>
        <v>14543.134638</v>
      </c>
      <c r="Q38" s="17">
        <f>M38+N38+O38+G38</f>
        <v>14480.424638</v>
      </c>
      <c r="R38" s="17">
        <v>62.71</v>
      </c>
      <c r="S38" s="196">
        <f t="shared" si="13"/>
        <v>-9.37189705066864</v>
      </c>
      <c r="T38" s="199"/>
    </row>
    <row r="39" s="159" customFormat="1" ht="25" hidden="1" customHeight="1" spans="1:20">
      <c r="A39" s="180">
        <v>21209</v>
      </c>
      <c r="B39" s="177"/>
      <c r="C39" s="178" t="s">
        <v>1397</v>
      </c>
      <c r="D39" s="179">
        <f t="shared" si="4"/>
        <v>0</v>
      </c>
      <c r="E39" s="179">
        <f>SUM(E40:E42)</f>
        <v>0</v>
      </c>
      <c r="F39" s="179">
        <f>SUM(F40:F42)</f>
        <v>0</v>
      </c>
      <c r="G39" s="179">
        <f>SUM(G40:G42)</f>
        <v>0</v>
      </c>
      <c r="H39" s="179">
        <f>SUM(H40:H42)</f>
        <v>0</v>
      </c>
      <c r="I39" s="179">
        <f t="shared" si="2"/>
        <v>0</v>
      </c>
      <c r="J39" s="179"/>
      <c r="K39" s="179"/>
      <c r="L39" s="179"/>
      <c r="M39" s="179"/>
      <c r="N39" s="179"/>
      <c r="O39" s="179"/>
      <c r="P39" s="179"/>
      <c r="Q39" s="179"/>
      <c r="R39" s="179"/>
      <c r="S39" s="200" t="e">
        <f>IF(#REF!=0,IF(D39=0,0,100),100*(D39/#REF!-1))</f>
        <v>#REF!</v>
      </c>
      <c r="T39" s="93"/>
    </row>
    <row r="40" s="159" customFormat="1" ht="25" hidden="1" customHeight="1" spans="1:20">
      <c r="A40" s="180">
        <v>2120901</v>
      </c>
      <c r="B40" s="177"/>
      <c r="C40" s="178" t="s">
        <v>1398</v>
      </c>
      <c r="D40" s="179">
        <f t="shared" si="4"/>
        <v>0</v>
      </c>
      <c r="E40" s="179">
        <v>0</v>
      </c>
      <c r="F40" s="179">
        <v>0</v>
      </c>
      <c r="G40" s="179">
        <v>0</v>
      </c>
      <c r="H40" s="179">
        <v>0</v>
      </c>
      <c r="I40" s="179">
        <f t="shared" ref="I40:I73" si="14">SUM(E40:H40)</f>
        <v>0</v>
      </c>
      <c r="J40" s="179"/>
      <c r="K40" s="179"/>
      <c r="L40" s="179"/>
      <c r="M40" s="179"/>
      <c r="N40" s="179"/>
      <c r="O40" s="179"/>
      <c r="P40" s="179"/>
      <c r="Q40" s="179"/>
      <c r="R40" s="179"/>
      <c r="S40" s="200" t="e">
        <f>IF(#REF!=0,IF(D40=0,0,100),100*(D40/#REF!-1))</f>
        <v>#REF!</v>
      </c>
      <c r="T40" s="93"/>
    </row>
    <row r="41" s="159" customFormat="1" ht="25" hidden="1" customHeight="1" spans="1:20">
      <c r="A41" s="180">
        <v>2120902</v>
      </c>
      <c r="B41" s="177"/>
      <c r="C41" s="178" t="s">
        <v>1399</v>
      </c>
      <c r="D41" s="179">
        <f t="shared" si="4"/>
        <v>0</v>
      </c>
      <c r="E41" s="179">
        <v>0</v>
      </c>
      <c r="F41" s="179">
        <v>0</v>
      </c>
      <c r="G41" s="179">
        <v>0</v>
      </c>
      <c r="H41" s="179">
        <v>0</v>
      </c>
      <c r="I41" s="179">
        <f t="shared" si="14"/>
        <v>0</v>
      </c>
      <c r="J41" s="179"/>
      <c r="K41" s="179"/>
      <c r="L41" s="179"/>
      <c r="M41" s="179"/>
      <c r="N41" s="179"/>
      <c r="O41" s="179"/>
      <c r="P41" s="179"/>
      <c r="Q41" s="179"/>
      <c r="R41" s="179"/>
      <c r="S41" s="200" t="e">
        <f>IF(#REF!=0,IF(D41=0,0,100),100*(D41/#REF!-1))</f>
        <v>#REF!</v>
      </c>
      <c r="T41" s="93"/>
    </row>
    <row r="42" s="159" customFormat="1" ht="25" hidden="1" customHeight="1" spans="1:20">
      <c r="A42" s="181">
        <v>2120999</v>
      </c>
      <c r="B42" s="177"/>
      <c r="C42" s="178" t="s">
        <v>1400</v>
      </c>
      <c r="D42" s="179">
        <f t="shared" si="4"/>
        <v>0</v>
      </c>
      <c r="E42" s="179">
        <v>0</v>
      </c>
      <c r="F42" s="179">
        <v>0</v>
      </c>
      <c r="G42" s="179">
        <v>0</v>
      </c>
      <c r="H42" s="179">
        <v>0</v>
      </c>
      <c r="I42" s="179">
        <f t="shared" si="14"/>
        <v>0</v>
      </c>
      <c r="J42" s="179"/>
      <c r="K42" s="179"/>
      <c r="L42" s="179"/>
      <c r="M42" s="179"/>
      <c r="N42" s="179"/>
      <c r="O42" s="179"/>
      <c r="P42" s="179"/>
      <c r="Q42" s="179"/>
      <c r="R42" s="179"/>
      <c r="S42" s="200" t="e">
        <f>IF(#REF!=0,IF(D42=0,0,100),100*(D42/#REF!-1))</f>
        <v>#REF!</v>
      </c>
      <c r="T42" s="93"/>
    </row>
    <row r="43" s="131" customFormat="1" customHeight="1" spans="1:20">
      <c r="A43" s="145">
        <v>21210</v>
      </c>
      <c r="B43" s="177"/>
      <c r="C43" s="178" t="s">
        <v>1401</v>
      </c>
      <c r="D43" s="17">
        <f t="shared" si="4"/>
        <v>100</v>
      </c>
      <c r="E43" s="179">
        <f>SUM(E44:E46)</f>
        <v>100</v>
      </c>
      <c r="F43" s="179">
        <f>SUM(F44:F46)</f>
        <v>0</v>
      </c>
      <c r="G43" s="179">
        <f>SUM(G44:G46)</f>
        <v>0</v>
      </c>
      <c r="H43" s="179">
        <f>SUM(H44:H46)</f>
        <v>0</v>
      </c>
      <c r="I43" s="17">
        <f t="shared" si="14"/>
        <v>100</v>
      </c>
      <c r="J43" s="17"/>
      <c r="K43" s="17">
        <f>Q43-I43</f>
        <v>-100</v>
      </c>
      <c r="L43" s="17">
        <f>R43-J43</f>
        <v>0</v>
      </c>
      <c r="M43" s="179">
        <f>M46</f>
        <v>0</v>
      </c>
      <c r="N43" s="179">
        <f>N46</f>
        <v>0</v>
      </c>
      <c r="O43" s="179">
        <f>O46</f>
        <v>0</v>
      </c>
      <c r="P43" s="17">
        <f>Q43+R43</f>
        <v>0</v>
      </c>
      <c r="Q43" s="17">
        <f>M43+N43+O43+G43</f>
        <v>0</v>
      </c>
      <c r="R43" s="17">
        <f>R46</f>
        <v>0</v>
      </c>
      <c r="S43" s="196">
        <f t="shared" ref="S43:S47" si="15">IF(D43=0,IF(P43=0,0,100),100*(P43/D43-1))</f>
        <v>-100</v>
      </c>
      <c r="T43" s="199"/>
    </row>
    <row r="44" s="159" customFormat="1" ht="25" hidden="1" customHeight="1" spans="1:20">
      <c r="A44" s="181">
        <v>2121001</v>
      </c>
      <c r="B44" s="177"/>
      <c r="C44" s="178" t="s">
        <v>1382</v>
      </c>
      <c r="D44" s="179">
        <f t="shared" ref="D44:D76" si="16">I44+J44</f>
        <v>0</v>
      </c>
      <c r="E44" s="179">
        <v>0</v>
      </c>
      <c r="F44" s="179">
        <v>0</v>
      </c>
      <c r="G44" s="179">
        <v>0</v>
      </c>
      <c r="H44" s="179">
        <v>0</v>
      </c>
      <c r="I44" s="179">
        <f t="shared" si="14"/>
        <v>0</v>
      </c>
      <c r="J44" s="179"/>
      <c r="K44" s="179"/>
      <c r="L44" s="179"/>
      <c r="M44" s="179"/>
      <c r="N44" s="179"/>
      <c r="O44" s="179"/>
      <c r="P44" s="179"/>
      <c r="Q44" s="179"/>
      <c r="R44" s="179"/>
      <c r="S44" s="200"/>
      <c r="T44" s="93"/>
    </row>
    <row r="45" s="159" customFormat="1" ht="25" hidden="1" customHeight="1" spans="1:20">
      <c r="A45" s="181">
        <v>2121002</v>
      </c>
      <c r="B45" s="177"/>
      <c r="C45" s="178" t="s">
        <v>1383</v>
      </c>
      <c r="D45" s="179">
        <f t="shared" si="16"/>
        <v>0</v>
      </c>
      <c r="E45" s="179">
        <v>0</v>
      </c>
      <c r="F45" s="179">
        <v>0</v>
      </c>
      <c r="G45" s="179">
        <v>0</v>
      </c>
      <c r="H45" s="179">
        <v>0</v>
      </c>
      <c r="I45" s="179">
        <f t="shared" si="14"/>
        <v>0</v>
      </c>
      <c r="J45" s="179"/>
      <c r="K45" s="179"/>
      <c r="L45" s="179"/>
      <c r="M45" s="179"/>
      <c r="N45" s="179"/>
      <c r="O45" s="179"/>
      <c r="P45" s="179"/>
      <c r="Q45" s="179"/>
      <c r="R45" s="179"/>
      <c r="S45" s="200"/>
      <c r="T45" s="93"/>
    </row>
    <row r="46" s="131" customFormat="1" customHeight="1" spans="1:20">
      <c r="A46" s="141">
        <v>2121099</v>
      </c>
      <c r="B46" s="177"/>
      <c r="C46" s="178" t="s">
        <v>1402</v>
      </c>
      <c r="D46" s="17">
        <f t="shared" si="16"/>
        <v>100</v>
      </c>
      <c r="E46" s="179">
        <v>100</v>
      </c>
      <c r="F46" s="179">
        <v>0</v>
      </c>
      <c r="G46" s="179">
        <v>0</v>
      </c>
      <c r="H46" s="179">
        <v>0</v>
      </c>
      <c r="I46" s="17">
        <f t="shared" si="14"/>
        <v>100</v>
      </c>
      <c r="J46" s="17"/>
      <c r="K46" s="17">
        <f>Q46-I46</f>
        <v>-100</v>
      </c>
      <c r="L46" s="17">
        <f>R46-J46</f>
        <v>0</v>
      </c>
      <c r="M46" s="179">
        <v>0</v>
      </c>
      <c r="N46" s="179"/>
      <c r="O46" s="179"/>
      <c r="P46" s="17">
        <f>Q46+R46</f>
        <v>0</v>
      </c>
      <c r="Q46" s="17">
        <f>M46+N46+O46+G46</f>
        <v>0</v>
      </c>
      <c r="R46" s="17"/>
      <c r="S46" s="196">
        <f t="shared" si="15"/>
        <v>-100</v>
      </c>
      <c r="T46" s="199"/>
    </row>
    <row r="47" s="131" customFormat="1" customHeight="1" spans="1:20">
      <c r="A47" s="145">
        <v>21211</v>
      </c>
      <c r="B47" s="177"/>
      <c r="C47" s="178" t="s">
        <v>1403</v>
      </c>
      <c r="D47" s="17">
        <f t="shared" si="16"/>
        <v>124</v>
      </c>
      <c r="E47" s="179">
        <v>38</v>
      </c>
      <c r="F47" s="179">
        <v>0</v>
      </c>
      <c r="G47" s="179">
        <v>56</v>
      </c>
      <c r="H47" s="179">
        <v>0</v>
      </c>
      <c r="I47" s="17">
        <f t="shared" si="14"/>
        <v>94</v>
      </c>
      <c r="J47" s="17">
        <v>30</v>
      </c>
      <c r="K47" s="17">
        <f>Q47-I47</f>
        <v>-38</v>
      </c>
      <c r="L47" s="17">
        <f>R47-J47</f>
        <v>0</v>
      </c>
      <c r="M47" s="179">
        <v>0</v>
      </c>
      <c r="N47" s="179"/>
      <c r="O47" s="179"/>
      <c r="P47" s="17">
        <f>Q47+R47</f>
        <v>86</v>
      </c>
      <c r="Q47" s="17">
        <f>M47+N47+O47+G47</f>
        <v>56</v>
      </c>
      <c r="R47" s="17">
        <v>30</v>
      </c>
      <c r="S47" s="196">
        <f t="shared" si="15"/>
        <v>-30.6451612903226</v>
      </c>
      <c r="T47" s="199"/>
    </row>
    <row r="48" s="159" customFormat="1" ht="25" hidden="1" customHeight="1" spans="1:20">
      <c r="A48" s="180">
        <v>21212</v>
      </c>
      <c r="B48" s="177"/>
      <c r="C48" s="178" t="s">
        <v>1404</v>
      </c>
      <c r="D48" s="179">
        <f t="shared" si="16"/>
        <v>0</v>
      </c>
      <c r="E48" s="179">
        <f>SUM(E49:E50)</f>
        <v>0</v>
      </c>
      <c r="F48" s="179">
        <f>SUM(F49:F50)</f>
        <v>0</v>
      </c>
      <c r="G48" s="179">
        <f>SUM(G49:G50)</f>
        <v>0</v>
      </c>
      <c r="H48" s="179">
        <f>SUM(H49:H50)</f>
        <v>0</v>
      </c>
      <c r="I48" s="179">
        <f t="shared" si="14"/>
        <v>0</v>
      </c>
      <c r="J48" s="179"/>
      <c r="K48" s="179"/>
      <c r="L48" s="179"/>
      <c r="M48" s="179"/>
      <c r="N48" s="179"/>
      <c r="O48" s="179"/>
      <c r="P48" s="179"/>
      <c r="Q48" s="179"/>
      <c r="R48" s="179"/>
      <c r="S48" s="200" t="e">
        <f>IF(#REF!=0,IF(D48=0,0,100),100*(D48/#REF!-1))</f>
        <v>#REF!</v>
      </c>
      <c r="T48" s="93"/>
    </row>
    <row r="49" s="159" customFormat="1" ht="25" hidden="1" customHeight="1" spans="1:20">
      <c r="A49" s="181">
        <v>2121202</v>
      </c>
      <c r="B49" s="177"/>
      <c r="C49" s="178" t="s">
        <v>1405</v>
      </c>
      <c r="D49" s="179">
        <f t="shared" si="16"/>
        <v>0</v>
      </c>
      <c r="E49" s="179">
        <v>0</v>
      </c>
      <c r="F49" s="179">
        <v>0</v>
      </c>
      <c r="G49" s="179">
        <v>0</v>
      </c>
      <c r="H49" s="179">
        <v>0</v>
      </c>
      <c r="I49" s="179">
        <f t="shared" si="14"/>
        <v>0</v>
      </c>
      <c r="J49" s="179"/>
      <c r="K49" s="179"/>
      <c r="L49" s="179"/>
      <c r="M49" s="179"/>
      <c r="N49" s="179"/>
      <c r="O49" s="179"/>
      <c r="P49" s="179"/>
      <c r="Q49" s="179"/>
      <c r="R49" s="179"/>
      <c r="S49" s="200" t="e">
        <f>IF(#REF!=0,IF(D49=0,0,100),100*(D49/#REF!-1))</f>
        <v>#REF!</v>
      </c>
      <c r="T49" s="93"/>
    </row>
    <row r="50" s="159" customFormat="1" ht="25" hidden="1" customHeight="1" spans="1:20">
      <c r="A50" s="181">
        <v>2121203</v>
      </c>
      <c r="B50" s="177"/>
      <c r="C50" s="178" t="s">
        <v>1406</v>
      </c>
      <c r="D50" s="179">
        <f t="shared" si="16"/>
        <v>0</v>
      </c>
      <c r="E50" s="179">
        <v>0</v>
      </c>
      <c r="F50" s="179">
        <v>0</v>
      </c>
      <c r="G50" s="179">
        <v>0</v>
      </c>
      <c r="H50" s="179">
        <v>0</v>
      </c>
      <c r="I50" s="179">
        <f t="shared" si="14"/>
        <v>0</v>
      </c>
      <c r="J50" s="179"/>
      <c r="K50" s="179"/>
      <c r="L50" s="179"/>
      <c r="M50" s="179"/>
      <c r="N50" s="179"/>
      <c r="O50" s="179"/>
      <c r="P50" s="179"/>
      <c r="Q50" s="179"/>
      <c r="R50" s="179"/>
      <c r="S50" s="200" t="e">
        <f>IF(#REF!=0,IF(D50=0,0,100),100*(D50/#REF!-1))</f>
        <v>#REF!</v>
      </c>
      <c r="T50" s="93"/>
    </row>
    <row r="51" s="131" customFormat="1" customHeight="1" spans="1:20">
      <c r="A51" s="145">
        <v>21213</v>
      </c>
      <c r="B51" s="177"/>
      <c r="C51" s="178" t="s">
        <v>1407</v>
      </c>
      <c r="D51" s="17">
        <f t="shared" si="16"/>
        <v>10525.049</v>
      </c>
      <c r="E51" s="179">
        <f>SUM(E52:E54)</f>
        <v>0</v>
      </c>
      <c r="F51" s="179">
        <f>SUM(F52:F54)</f>
        <v>0</v>
      </c>
      <c r="G51" s="179">
        <f>SUM(G52:G54)</f>
        <v>0</v>
      </c>
      <c r="H51" s="179">
        <f>SUM(H52:H54)</f>
        <v>10525.049</v>
      </c>
      <c r="I51" s="17">
        <f t="shared" si="14"/>
        <v>10525.049</v>
      </c>
      <c r="J51" s="17"/>
      <c r="K51" s="17">
        <f>Q51-I51</f>
        <v>-3309</v>
      </c>
      <c r="L51" s="17">
        <f>R51-J51</f>
        <v>0</v>
      </c>
      <c r="M51" s="179">
        <f>M52+M53+M54</f>
        <v>7216.049</v>
      </c>
      <c r="N51" s="179">
        <f>N52+N53+N54</f>
        <v>0</v>
      </c>
      <c r="O51" s="179">
        <f>O52+O53+O54</f>
        <v>0</v>
      </c>
      <c r="P51" s="17">
        <f>Q51+R51</f>
        <v>7216.049</v>
      </c>
      <c r="Q51" s="17">
        <f>M51+N51+O51+G51</f>
        <v>7216.049</v>
      </c>
      <c r="R51" s="17">
        <f>R52+R53+R54</f>
        <v>0</v>
      </c>
      <c r="S51" s="196">
        <f t="shared" ref="S51:S54" si="17">IF(D51=0,IF(P51=0,0,100),100*(P51/D51-1))</f>
        <v>-31.4392835605801</v>
      </c>
      <c r="T51" s="199"/>
    </row>
    <row r="52" s="131" customFormat="1" customHeight="1" spans="1:20">
      <c r="A52" s="145">
        <v>2121301</v>
      </c>
      <c r="B52" s="177"/>
      <c r="C52" s="178" t="s">
        <v>1398</v>
      </c>
      <c r="D52" s="17">
        <f t="shared" si="16"/>
        <v>4778</v>
      </c>
      <c r="E52" s="179">
        <v>0</v>
      </c>
      <c r="F52" s="179">
        <v>0</v>
      </c>
      <c r="G52" s="179">
        <v>0</v>
      </c>
      <c r="H52" s="179">
        <v>4778</v>
      </c>
      <c r="I52" s="17">
        <f t="shared" si="14"/>
        <v>4778</v>
      </c>
      <c r="J52" s="17"/>
      <c r="K52" s="17">
        <f>Q52-I52</f>
        <v>-821</v>
      </c>
      <c r="L52" s="17">
        <f>R52-J52</f>
        <v>0</v>
      </c>
      <c r="M52" s="179">
        <v>3957</v>
      </c>
      <c r="N52" s="179"/>
      <c r="O52" s="179"/>
      <c r="P52" s="17">
        <f>Q52+R52</f>
        <v>3957</v>
      </c>
      <c r="Q52" s="17">
        <f>M52+N52+O52+G52</f>
        <v>3957</v>
      </c>
      <c r="R52" s="17"/>
      <c r="S52" s="196">
        <f t="shared" si="17"/>
        <v>-17.182921724571</v>
      </c>
      <c r="T52" s="199"/>
    </row>
    <row r="53" s="131" customFormat="1" customHeight="1" spans="1:20">
      <c r="A53" s="145">
        <v>2121302</v>
      </c>
      <c r="B53" s="177"/>
      <c r="C53" s="178" t="s">
        <v>1408</v>
      </c>
      <c r="D53" s="17">
        <f t="shared" si="16"/>
        <v>5415.049</v>
      </c>
      <c r="E53" s="179">
        <v>0</v>
      </c>
      <c r="F53" s="179">
        <v>0</v>
      </c>
      <c r="G53" s="179">
        <v>0</v>
      </c>
      <c r="H53" s="179">
        <v>5415.049</v>
      </c>
      <c r="I53" s="17">
        <f t="shared" si="14"/>
        <v>5415.049</v>
      </c>
      <c r="J53" s="17"/>
      <c r="K53" s="17">
        <f>Q53-I53</f>
        <v>-2236</v>
      </c>
      <c r="L53" s="17">
        <f>R53-J53</f>
        <v>0</v>
      </c>
      <c r="M53" s="179">
        <v>3179.049</v>
      </c>
      <c r="N53" s="179"/>
      <c r="O53" s="179"/>
      <c r="P53" s="17">
        <f>Q53+R53</f>
        <v>3179.049</v>
      </c>
      <c r="Q53" s="17">
        <f>M53+N53+O53+G53</f>
        <v>3179.049</v>
      </c>
      <c r="R53" s="17"/>
      <c r="S53" s="196">
        <f t="shared" si="17"/>
        <v>-41.2923317960742</v>
      </c>
      <c r="T53" s="199"/>
    </row>
    <row r="54" s="131" customFormat="1" customHeight="1" spans="1:20">
      <c r="A54" s="141">
        <v>2121399</v>
      </c>
      <c r="B54" s="177"/>
      <c r="C54" s="178" t="s">
        <v>1409</v>
      </c>
      <c r="D54" s="17">
        <f t="shared" si="16"/>
        <v>332</v>
      </c>
      <c r="E54" s="179">
        <v>0</v>
      </c>
      <c r="F54" s="179">
        <v>0</v>
      </c>
      <c r="G54" s="179">
        <v>0</v>
      </c>
      <c r="H54" s="179">
        <v>332</v>
      </c>
      <c r="I54" s="17">
        <f t="shared" si="14"/>
        <v>332</v>
      </c>
      <c r="J54" s="17"/>
      <c r="K54" s="17">
        <f>Q54-I54</f>
        <v>-252</v>
      </c>
      <c r="L54" s="17">
        <f>R54-J54</f>
        <v>0</v>
      </c>
      <c r="M54" s="179">
        <v>80</v>
      </c>
      <c r="N54" s="179"/>
      <c r="O54" s="179"/>
      <c r="P54" s="17">
        <f>Q54+R54</f>
        <v>80</v>
      </c>
      <c r="Q54" s="17">
        <f>M54+N54+O54+G54</f>
        <v>80</v>
      </c>
      <c r="R54" s="17"/>
      <c r="S54" s="196">
        <f t="shared" si="17"/>
        <v>-75.9036144578313</v>
      </c>
      <c r="T54" s="199"/>
    </row>
    <row r="55" s="159" customFormat="1" ht="25" hidden="1" customHeight="1" spans="1:20">
      <c r="A55" s="180">
        <v>21219</v>
      </c>
      <c r="B55" s="177"/>
      <c r="C55" s="178" t="s">
        <v>1410</v>
      </c>
      <c r="D55" s="179">
        <f t="shared" si="16"/>
        <v>0</v>
      </c>
      <c r="E55" s="179">
        <f>E56</f>
        <v>0</v>
      </c>
      <c r="F55" s="179">
        <f>F56</f>
        <v>0</v>
      </c>
      <c r="G55" s="179">
        <f>G56</f>
        <v>0</v>
      </c>
      <c r="H55" s="179">
        <f>H56</f>
        <v>0</v>
      </c>
      <c r="I55" s="179">
        <f t="shared" si="14"/>
        <v>0</v>
      </c>
      <c r="J55" s="179"/>
      <c r="K55" s="179"/>
      <c r="L55" s="179"/>
      <c r="M55" s="179"/>
      <c r="N55" s="179"/>
      <c r="O55" s="179"/>
      <c r="P55" s="179"/>
      <c r="Q55" s="179"/>
      <c r="R55" s="179"/>
      <c r="S55" s="200" t="e">
        <f>IF(#REF!=0,IF(D55=0,0,100),100*(D55/#REF!-1))</f>
        <v>#REF!</v>
      </c>
      <c r="T55" s="93"/>
    </row>
    <row r="56" s="159" customFormat="1" ht="25" hidden="1" customHeight="1" spans="1:20">
      <c r="A56" s="180">
        <v>2121902</v>
      </c>
      <c r="B56" s="177"/>
      <c r="C56" s="178" t="s">
        <v>1383</v>
      </c>
      <c r="D56" s="179">
        <f t="shared" si="16"/>
        <v>0</v>
      </c>
      <c r="E56" s="179">
        <v>0</v>
      </c>
      <c r="F56" s="179">
        <v>0</v>
      </c>
      <c r="G56" s="179">
        <v>0</v>
      </c>
      <c r="H56" s="179">
        <v>0</v>
      </c>
      <c r="I56" s="179">
        <f t="shared" si="14"/>
        <v>0</v>
      </c>
      <c r="J56" s="179"/>
      <c r="K56" s="179"/>
      <c r="L56" s="179"/>
      <c r="M56" s="179"/>
      <c r="N56" s="179"/>
      <c r="O56" s="179"/>
      <c r="P56" s="179"/>
      <c r="Q56" s="179"/>
      <c r="R56" s="179"/>
      <c r="S56" s="200" t="e">
        <f>IF(#REF!=0,IF(D56=0,0,100),100*(D56/#REF!-1))</f>
        <v>#REF!</v>
      </c>
      <c r="T56" s="93"/>
    </row>
    <row r="57" s="159" customFormat="1" ht="25" hidden="1" customHeight="1" spans="1:20">
      <c r="A57" s="180">
        <v>213</v>
      </c>
      <c r="B57" s="177"/>
      <c r="C57" s="178" t="s">
        <v>1411</v>
      </c>
      <c r="D57" s="179">
        <f t="shared" si="16"/>
        <v>0</v>
      </c>
      <c r="E57" s="179">
        <f>E58+E61</f>
        <v>0</v>
      </c>
      <c r="F57" s="179">
        <f>F58+F61</f>
        <v>0</v>
      </c>
      <c r="G57" s="179">
        <f>G58+G61</f>
        <v>0</v>
      </c>
      <c r="H57" s="179">
        <f>H58+H61</f>
        <v>0</v>
      </c>
      <c r="I57" s="179">
        <f t="shared" si="14"/>
        <v>0</v>
      </c>
      <c r="J57" s="179"/>
      <c r="K57" s="179"/>
      <c r="L57" s="179"/>
      <c r="M57" s="179"/>
      <c r="N57" s="179"/>
      <c r="O57" s="179"/>
      <c r="P57" s="179"/>
      <c r="Q57" s="179"/>
      <c r="R57" s="179"/>
      <c r="S57" s="200" t="e">
        <f>IF(#REF!=0,IF(D57=0,0,100),100*(D57/#REF!-1))</f>
        <v>#REF!</v>
      </c>
      <c r="T57" s="93"/>
    </row>
    <row r="58" s="159" customFormat="1" ht="25" hidden="1" customHeight="1" spans="1:20">
      <c r="A58" s="180">
        <v>21362</v>
      </c>
      <c r="B58" s="177"/>
      <c r="C58" s="178" t="s">
        <v>1412</v>
      </c>
      <c r="D58" s="179">
        <f t="shared" si="16"/>
        <v>0</v>
      </c>
      <c r="E58" s="179">
        <f>SUM(E59:E60)</f>
        <v>0</v>
      </c>
      <c r="F58" s="179">
        <f>SUM(F59:F60)</f>
        <v>0</v>
      </c>
      <c r="G58" s="179">
        <f>SUM(G59:G60)</f>
        <v>0</v>
      </c>
      <c r="H58" s="179">
        <f>SUM(H59:H60)</f>
        <v>0</v>
      </c>
      <c r="I58" s="179">
        <f t="shared" si="14"/>
        <v>0</v>
      </c>
      <c r="J58" s="179"/>
      <c r="K58" s="179"/>
      <c r="L58" s="179"/>
      <c r="M58" s="179"/>
      <c r="N58" s="179"/>
      <c r="O58" s="179"/>
      <c r="P58" s="179"/>
      <c r="Q58" s="179"/>
      <c r="R58" s="179"/>
      <c r="S58" s="200" t="e">
        <f>IF(#REF!=0,IF(D58=0,0,100),100*(D58/#REF!-1))</f>
        <v>#REF!</v>
      </c>
      <c r="T58" s="93"/>
    </row>
    <row r="59" s="159" customFormat="1" ht="25" hidden="1" customHeight="1" spans="1:20">
      <c r="A59" s="181">
        <v>2136203</v>
      </c>
      <c r="B59" s="177"/>
      <c r="C59" s="178" t="s">
        <v>1413</v>
      </c>
      <c r="D59" s="179">
        <f t="shared" si="16"/>
        <v>0</v>
      </c>
      <c r="E59" s="179">
        <v>0</v>
      </c>
      <c r="F59" s="179">
        <v>0</v>
      </c>
      <c r="G59" s="179">
        <v>0</v>
      </c>
      <c r="H59" s="179">
        <v>0</v>
      </c>
      <c r="I59" s="179">
        <f t="shared" si="14"/>
        <v>0</v>
      </c>
      <c r="J59" s="179"/>
      <c r="K59" s="179"/>
      <c r="L59" s="179"/>
      <c r="M59" s="179"/>
      <c r="N59" s="179"/>
      <c r="O59" s="179"/>
      <c r="P59" s="179"/>
      <c r="Q59" s="179"/>
      <c r="R59" s="179"/>
      <c r="S59" s="200" t="e">
        <f>IF(#REF!=0,IF(D59=0,0,100),100*(D59/#REF!-1))</f>
        <v>#REF!</v>
      </c>
      <c r="T59" s="93"/>
    </row>
    <row r="60" s="159" customFormat="1" ht="25" hidden="1" customHeight="1" spans="1:20">
      <c r="A60" s="181">
        <v>2136299</v>
      </c>
      <c r="B60" s="177"/>
      <c r="C60" s="178" t="s">
        <v>1414</v>
      </c>
      <c r="D60" s="179">
        <f t="shared" si="16"/>
        <v>0</v>
      </c>
      <c r="E60" s="179">
        <v>0</v>
      </c>
      <c r="F60" s="179">
        <v>0</v>
      </c>
      <c r="G60" s="179">
        <v>0</v>
      </c>
      <c r="H60" s="179">
        <v>0</v>
      </c>
      <c r="I60" s="179">
        <f t="shared" si="14"/>
        <v>0</v>
      </c>
      <c r="J60" s="179"/>
      <c r="K60" s="179"/>
      <c r="L60" s="179"/>
      <c r="M60" s="179"/>
      <c r="N60" s="179"/>
      <c r="O60" s="179"/>
      <c r="P60" s="179"/>
      <c r="Q60" s="179"/>
      <c r="R60" s="179"/>
      <c r="S60" s="200" t="e">
        <f>IF(#REF!=0,IF(D60=0,0,100),100*(D60/#REF!-1))</f>
        <v>#REF!</v>
      </c>
      <c r="T60" s="93"/>
    </row>
    <row r="61" s="159" customFormat="1" ht="25" hidden="1" customHeight="1" spans="1:20">
      <c r="A61" s="180">
        <v>21364</v>
      </c>
      <c r="B61" s="177"/>
      <c r="C61" s="178" t="s">
        <v>1415</v>
      </c>
      <c r="D61" s="179">
        <f t="shared" si="16"/>
        <v>0</v>
      </c>
      <c r="E61" s="179">
        <f>E62</f>
        <v>0</v>
      </c>
      <c r="F61" s="179">
        <f>F62</f>
        <v>0</v>
      </c>
      <c r="G61" s="179">
        <f>G62</f>
        <v>0</v>
      </c>
      <c r="H61" s="179">
        <f>H62</f>
        <v>0</v>
      </c>
      <c r="I61" s="179">
        <f t="shared" si="14"/>
        <v>0</v>
      </c>
      <c r="J61" s="179"/>
      <c r="K61" s="179"/>
      <c r="L61" s="179"/>
      <c r="M61" s="179"/>
      <c r="N61" s="179"/>
      <c r="O61" s="179"/>
      <c r="P61" s="179"/>
      <c r="Q61" s="179"/>
      <c r="R61" s="179"/>
      <c r="S61" s="200" t="e">
        <f>IF(#REF!=0,IF(D61=0,0,100),100*(D61/#REF!-1))</f>
        <v>#REF!</v>
      </c>
      <c r="T61" s="93"/>
    </row>
    <row r="62" s="159" customFormat="1" ht="25" hidden="1" customHeight="1" spans="1:20">
      <c r="A62" s="181">
        <v>2136499</v>
      </c>
      <c r="B62" s="177"/>
      <c r="C62" s="178" t="s">
        <v>1416</v>
      </c>
      <c r="D62" s="179">
        <f t="shared" si="16"/>
        <v>0</v>
      </c>
      <c r="E62" s="179">
        <v>0</v>
      </c>
      <c r="F62" s="179">
        <v>0</v>
      </c>
      <c r="G62" s="179">
        <v>0</v>
      </c>
      <c r="H62" s="179">
        <v>0</v>
      </c>
      <c r="I62" s="179">
        <f t="shared" si="14"/>
        <v>0</v>
      </c>
      <c r="J62" s="179"/>
      <c r="K62" s="179"/>
      <c r="L62" s="179"/>
      <c r="M62" s="179"/>
      <c r="N62" s="179"/>
      <c r="O62" s="179"/>
      <c r="P62" s="179"/>
      <c r="Q62" s="179"/>
      <c r="R62" s="179"/>
      <c r="S62" s="200" t="e">
        <f>IF(#REF!=0,IF(D62=0,0,100),100*(D62/#REF!-1))</f>
        <v>#REF!</v>
      </c>
      <c r="T62" s="93"/>
    </row>
    <row r="63" s="159" customFormat="1" ht="25" hidden="1" customHeight="1" spans="1:20">
      <c r="A63" s="180">
        <v>213</v>
      </c>
      <c r="B63" s="177"/>
      <c r="C63" s="178" t="s">
        <v>459</v>
      </c>
      <c r="D63" s="179">
        <f t="shared" si="16"/>
        <v>0</v>
      </c>
      <c r="E63" s="179">
        <f>E64</f>
        <v>0</v>
      </c>
      <c r="F63" s="179">
        <f>F64</f>
        <v>0</v>
      </c>
      <c r="G63" s="179">
        <f>G64</f>
        <v>0</v>
      </c>
      <c r="H63" s="179">
        <f>H64</f>
        <v>0</v>
      </c>
      <c r="I63" s="179">
        <f t="shared" si="14"/>
        <v>0</v>
      </c>
      <c r="J63" s="179"/>
      <c r="K63" s="179"/>
      <c r="L63" s="179"/>
      <c r="M63" s="179"/>
      <c r="N63" s="179"/>
      <c r="O63" s="179"/>
      <c r="P63" s="179"/>
      <c r="Q63" s="179"/>
      <c r="R63" s="179"/>
      <c r="S63" s="200" t="e">
        <f>IF(#REF!=0,IF(D63=0,0,100),100*(D63/#REF!-1))</f>
        <v>#REF!</v>
      </c>
      <c r="T63" s="93"/>
    </row>
    <row r="64" s="159" customFormat="1" ht="25" hidden="1" customHeight="1" spans="1:20">
      <c r="A64" s="180">
        <v>21370</v>
      </c>
      <c r="B64" s="177"/>
      <c r="C64" s="178" t="s">
        <v>1417</v>
      </c>
      <c r="D64" s="179">
        <f t="shared" si="16"/>
        <v>0</v>
      </c>
      <c r="E64" s="179">
        <f>E65</f>
        <v>0</v>
      </c>
      <c r="F64" s="179">
        <f>F65</f>
        <v>0</v>
      </c>
      <c r="G64" s="179">
        <f>G65</f>
        <v>0</v>
      </c>
      <c r="H64" s="179">
        <f>H65</f>
        <v>0</v>
      </c>
      <c r="I64" s="179">
        <f t="shared" si="14"/>
        <v>0</v>
      </c>
      <c r="J64" s="179"/>
      <c r="K64" s="179"/>
      <c r="L64" s="179"/>
      <c r="M64" s="179"/>
      <c r="N64" s="179"/>
      <c r="O64" s="179"/>
      <c r="P64" s="179"/>
      <c r="Q64" s="179"/>
      <c r="R64" s="179"/>
      <c r="S64" s="200" t="e">
        <f>IF(#REF!=0,IF(D64=0,0,100),100*(D64/#REF!-1))</f>
        <v>#REF!</v>
      </c>
      <c r="T64" s="93"/>
    </row>
    <row r="65" s="159" customFormat="1" ht="25" hidden="1" customHeight="1" spans="1:20">
      <c r="A65" s="180">
        <v>2137003</v>
      </c>
      <c r="B65" s="177"/>
      <c r="C65" s="178" t="s">
        <v>1418</v>
      </c>
      <c r="D65" s="179">
        <f t="shared" si="16"/>
        <v>0</v>
      </c>
      <c r="E65" s="179">
        <v>0</v>
      </c>
      <c r="F65" s="179">
        <v>0</v>
      </c>
      <c r="G65" s="179">
        <v>0</v>
      </c>
      <c r="H65" s="179">
        <v>0</v>
      </c>
      <c r="I65" s="179">
        <f t="shared" si="14"/>
        <v>0</v>
      </c>
      <c r="J65" s="179"/>
      <c r="K65" s="179"/>
      <c r="L65" s="179"/>
      <c r="M65" s="179"/>
      <c r="N65" s="179"/>
      <c r="O65" s="179"/>
      <c r="P65" s="179"/>
      <c r="Q65" s="179"/>
      <c r="R65" s="179"/>
      <c r="S65" s="200" t="e">
        <f>IF(#REF!=0,IF(D65=0,0,100),100*(D65/#REF!-1))</f>
        <v>#REF!</v>
      </c>
      <c r="T65" s="93"/>
    </row>
    <row r="66" s="159" customFormat="1" ht="25" hidden="1" customHeight="1" spans="1:20">
      <c r="A66" s="180">
        <v>214</v>
      </c>
      <c r="B66" s="177"/>
      <c r="C66" s="178" t="s">
        <v>1419</v>
      </c>
      <c r="D66" s="179">
        <f t="shared" si="16"/>
        <v>0</v>
      </c>
      <c r="E66" s="179">
        <f>E67</f>
        <v>0</v>
      </c>
      <c r="F66" s="179">
        <f>F67</f>
        <v>0</v>
      </c>
      <c r="G66" s="179">
        <f>G67</f>
        <v>0</v>
      </c>
      <c r="H66" s="179">
        <f>H67</f>
        <v>0</v>
      </c>
      <c r="I66" s="179">
        <f t="shared" si="14"/>
        <v>0</v>
      </c>
      <c r="J66" s="179"/>
      <c r="K66" s="179"/>
      <c r="L66" s="179"/>
      <c r="M66" s="179"/>
      <c r="N66" s="179"/>
      <c r="O66" s="179"/>
      <c r="P66" s="179"/>
      <c r="Q66" s="179"/>
      <c r="R66" s="179"/>
      <c r="S66" s="200" t="e">
        <f>IF(#REF!=0,IF(D66=0,0,100),100*(D66/#REF!-1))</f>
        <v>#REF!</v>
      </c>
      <c r="T66" s="93"/>
    </row>
    <row r="67" s="159" customFormat="1" ht="25" hidden="1" customHeight="1" spans="1:20">
      <c r="A67" s="180">
        <v>21401</v>
      </c>
      <c r="B67" s="177"/>
      <c r="C67" s="178" t="s">
        <v>525</v>
      </c>
      <c r="D67" s="179">
        <f t="shared" si="16"/>
        <v>0</v>
      </c>
      <c r="E67" s="179">
        <f>E68</f>
        <v>0</v>
      </c>
      <c r="F67" s="179">
        <f>F68</f>
        <v>0</v>
      </c>
      <c r="G67" s="179">
        <f>G68</f>
        <v>0</v>
      </c>
      <c r="H67" s="179">
        <f>H68</f>
        <v>0</v>
      </c>
      <c r="I67" s="179">
        <f t="shared" si="14"/>
        <v>0</v>
      </c>
      <c r="J67" s="179"/>
      <c r="K67" s="179"/>
      <c r="L67" s="179"/>
      <c r="M67" s="179"/>
      <c r="N67" s="179"/>
      <c r="O67" s="179"/>
      <c r="P67" s="179"/>
      <c r="Q67" s="179"/>
      <c r="R67" s="179"/>
      <c r="S67" s="200" t="e">
        <f>IF(#REF!=0,IF(D67=0,0,100),100*(D67/#REF!-1))</f>
        <v>#REF!</v>
      </c>
      <c r="T67" s="93"/>
    </row>
    <row r="68" s="159" customFormat="1" ht="25" hidden="1" customHeight="1" spans="1:20">
      <c r="A68" s="181">
        <v>2140190</v>
      </c>
      <c r="B68" s="177"/>
      <c r="C68" s="178" t="s">
        <v>1420</v>
      </c>
      <c r="D68" s="179">
        <f t="shared" si="16"/>
        <v>0</v>
      </c>
      <c r="E68" s="179">
        <v>0</v>
      </c>
      <c r="F68" s="179">
        <v>0</v>
      </c>
      <c r="G68" s="179">
        <v>0</v>
      </c>
      <c r="H68" s="179">
        <v>0</v>
      </c>
      <c r="I68" s="179">
        <f t="shared" si="14"/>
        <v>0</v>
      </c>
      <c r="J68" s="179"/>
      <c r="K68" s="179"/>
      <c r="L68" s="179"/>
      <c r="M68" s="179"/>
      <c r="N68" s="179"/>
      <c r="O68" s="179"/>
      <c r="P68" s="179"/>
      <c r="Q68" s="179"/>
      <c r="R68" s="179"/>
      <c r="S68" s="200" t="e">
        <f>IF(#REF!=0,IF(D68=0,0,100),100*(D68/#REF!-1))</f>
        <v>#REF!</v>
      </c>
      <c r="T68" s="93"/>
    </row>
    <row r="69" s="159" customFormat="1" ht="25" hidden="1" customHeight="1" spans="1:20">
      <c r="A69" s="180">
        <v>215</v>
      </c>
      <c r="B69" s="177"/>
      <c r="C69" s="178" t="s">
        <v>1421</v>
      </c>
      <c r="D69" s="179">
        <f t="shared" si="16"/>
        <v>0</v>
      </c>
      <c r="E69" s="179">
        <f>E70+E72</f>
        <v>0</v>
      </c>
      <c r="F69" s="179">
        <f>F70+F72</f>
        <v>0</v>
      </c>
      <c r="G69" s="179">
        <f>G70+G72</f>
        <v>0</v>
      </c>
      <c r="H69" s="179">
        <f>H70+H72</f>
        <v>0</v>
      </c>
      <c r="I69" s="179">
        <f t="shared" si="14"/>
        <v>0</v>
      </c>
      <c r="J69" s="179"/>
      <c r="K69" s="179"/>
      <c r="L69" s="179"/>
      <c r="M69" s="179"/>
      <c r="N69" s="179"/>
      <c r="O69" s="179"/>
      <c r="P69" s="179"/>
      <c r="Q69" s="179"/>
      <c r="R69" s="179"/>
      <c r="S69" s="200" t="e">
        <f>IF(#REF!=0,IF(D69=0,0,100),100*(D69/#REF!-1))</f>
        <v>#REF!</v>
      </c>
      <c r="T69" s="93"/>
    </row>
    <row r="70" s="159" customFormat="1" ht="25" hidden="1" customHeight="1" spans="1:20">
      <c r="A70" s="180">
        <v>21560</v>
      </c>
      <c r="B70" s="177"/>
      <c r="C70" s="178" t="s">
        <v>1422</v>
      </c>
      <c r="D70" s="179">
        <f t="shared" si="16"/>
        <v>0</v>
      </c>
      <c r="E70" s="179">
        <f>E71</f>
        <v>0</v>
      </c>
      <c r="F70" s="179">
        <f>F71</f>
        <v>0</v>
      </c>
      <c r="G70" s="179">
        <f>G71</f>
        <v>0</v>
      </c>
      <c r="H70" s="179">
        <f>H71</f>
        <v>0</v>
      </c>
      <c r="I70" s="179">
        <f t="shared" si="14"/>
        <v>0</v>
      </c>
      <c r="J70" s="179"/>
      <c r="K70" s="179"/>
      <c r="L70" s="179"/>
      <c r="M70" s="179"/>
      <c r="N70" s="179"/>
      <c r="O70" s="179"/>
      <c r="P70" s="179"/>
      <c r="Q70" s="179"/>
      <c r="R70" s="179"/>
      <c r="S70" s="200" t="e">
        <f>IF(#REF!=0,IF(D70=0,0,100),100*(D70/#REF!-1))</f>
        <v>#REF!</v>
      </c>
      <c r="T70" s="93"/>
    </row>
    <row r="71" s="159" customFormat="1" ht="25" hidden="1" customHeight="1" spans="1:20">
      <c r="A71" s="180">
        <v>2156099</v>
      </c>
      <c r="B71" s="177"/>
      <c r="C71" s="178" t="s">
        <v>1423</v>
      </c>
      <c r="D71" s="179">
        <f t="shared" si="16"/>
        <v>0</v>
      </c>
      <c r="E71" s="179">
        <v>0</v>
      </c>
      <c r="F71" s="179">
        <v>0</v>
      </c>
      <c r="G71" s="179">
        <v>0</v>
      </c>
      <c r="H71" s="179">
        <v>0</v>
      </c>
      <c r="I71" s="179">
        <f t="shared" si="14"/>
        <v>0</v>
      </c>
      <c r="J71" s="179"/>
      <c r="K71" s="179"/>
      <c r="L71" s="179"/>
      <c r="M71" s="179"/>
      <c r="N71" s="179"/>
      <c r="O71" s="179"/>
      <c r="P71" s="179"/>
      <c r="Q71" s="179"/>
      <c r="R71" s="179"/>
      <c r="S71" s="200" t="e">
        <f>IF(#REF!=0,IF(D71=0,0,100),100*(D71/#REF!-1))</f>
        <v>#REF!</v>
      </c>
      <c r="T71" s="93"/>
    </row>
    <row r="72" s="159" customFormat="1" ht="25" hidden="1" customHeight="1" spans="1:20">
      <c r="A72" s="180">
        <v>21560</v>
      </c>
      <c r="B72" s="177"/>
      <c r="C72" s="178" t="s">
        <v>1424</v>
      </c>
      <c r="D72" s="179">
        <f t="shared" si="16"/>
        <v>0</v>
      </c>
      <c r="E72" s="179">
        <f>E73</f>
        <v>0</v>
      </c>
      <c r="F72" s="179">
        <f>F73</f>
        <v>0</v>
      </c>
      <c r="G72" s="179">
        <f>G73</f>
        <v>0</v>
      </c>
      <c r="H72" s="179">
        <f>H73</f>
        <v>0</v>
      </c>
      <c r="I72" s="179">
        <f t="shared" si="14"/>
        <v>0</v>
      </c>
      <c r="J72" s="179"/>
      <c r="K72" s="179"/>
      <c r="L72" s="179"/>
      <c r="M72" s="179"/>
      <c r="N72" s="179"/>
      <c r="O72" s="179"/>
      <c r="P72" s="179"/>
      <c r="Q72" s="179"/>
      <c r="R72" s="179"/>
      <c r="S72" s="200" t="e">
        <f>IF(#REF!=0,IF(D72=0,0,100),100*(D72/#REF!-1))</f>
        <v>#REF!</v>
      </c>
      <c r="T72" s="93"/>
    </row>
    <row r="73" s="159" customFormat="1" ht="25" hidden="1" customHeight="1" spans="1:20">
      <c r="A73" s="180">
        <v>2156199</v>
      </c>
      <c r="B73" s="177"/>
      <c r="C73" s="178" t="s">
        <v>1425</v>
      </c>
      <c r="D73" s="179">
        <f t="shared" si="16"/>
        <v>0</v>
      </c>
      <c r="E73" s="179">
        <v>0</v>
      </c>
      <c r="F73" s="179">
        <v>0</v>
      </c>
      <c r="G73" s="179">
        <v>0</v>
      </c>
      <c r="H73" s="179">
        <v>0</v>
      </c>
      <c r="I73" s="179">
        <f t="shared" si="14"/>
        <v>0</v>
      </c>
      <c r="J73" s="179"/>
      <c r="K73" s="179"/>
      <c r="L73" s="179"/>
      <c r="M73" s="179"/>
      <c r="N73" s="179"/>
      <c r="O73" s="179"/>
      <c r="P73" s="179"/>
      <c r="Q73" s="179"/>
      <c r="R73" s="179"/>
      <c r="S73" s="200" t="e">
        <f>IF(#REF!=0,IF(D73=0,0,100),100*(D73/#REF!-1))</f>
        <v>#REF!</v>
      </c>
      <c r="T73" s="93"/>
    </row>
    <row r="74" s="159" customFormat="1" ht="25" hidden="1" customHeight="1" spans="1:20">
      <c r="A74" s="180">
        <v>216</v>
      </c>
      <c r="B74" s="177"/>
      <c r="C74" s="178" t="s">
        <v>1426</v>
      </c>
      <c r="D74" s="179">
        <f t="shared" si="16"/>
        <v>0</v>
      </c>
      <c r="E74" s="179">
        <f>E75</f>
        <v>0</v>
      </c>
      <c r="F74" s="179">
        <f>F75</f>
        <v>0</v>
      </c>
      <c r="G74" s="179">
        <f>G75</f>
        <v>0</v>
      </c>
      <c r="H74" s="179">
        <f>H75</f>
        <v>0</v>
      </c>
      <c r="I74" s="179">
        <f t="shared" ref="I74:I79" si="18">SUM(E74:H74)</f>
        <v>0</v>
      </c>
      <c r="J74" s="179"/>
      <c r="K74" s="179"/>
      <c r="L74" s="179"/>
      <c r="M74" s="179"/>
      <c r="N74" s="179"/>
      <c r="O74" s="179"/>
      <c r="P74" s="179"/>
      <c r="Q74" s="179"/>
      <c r="R74" s="179"/>
      <c r="S74" s="200" t="e">
        <f>IF(#REF!=0,IF(D74=0,0,100),100*(D74/#REF!-1))</f>
        <v>#REF!</v>
      </c>
      <c r="T74" s="93"/>
    </row>
    <row r="75" s="131" customFormat="1" ht="25" hidden="1" customHeight="1" spans="1:21">
      <c r="A75" s="180">
        <v>21660</v>
      </c>
      <c r="B75" s="177"/>
      <c r="C75" s="178" t="s">
        <v>1427</v>
      </c>
      <c r="D75" s="179">
        <f t="shared" si="16"/>
        <v>0</v>
      </c>
      <c r="E75" s="179">
        <f>E76</f>
        <v>0</v>
      </c>
      <c r="F75" s="179">
        <f>F76</f>
        <v>0</v>
      </c>
      <c r="G75" s="179">
        <f>G76</f>
        <v>0</v>
      </c>
      <c r="H75" s="179">
        <f>H76</f>
        <v>0</v>
      </c>
      <c r="I75" s="179">
        <f t="shared" si="18"/>
        <v>0</v>
      </c>
      <c r="J75" s="179"/>
      <c r="K75" s="179"/>
      <c r="L75" s="179"/>
      <c r="M75" s="179"/>
      <c r="N75" s="179"/>
      <c r="O75" s="179"/>
      <c r="P75" s="179"/>
      <c r="Q75" s="179"/>
      <c r="R75" s="179"/>
      <c r="S75" s="200" t="e">
        <f>IF(#REF!=0,IF(D75=0,0,100),100*(D75/#REF!-1))</f>
        <v>#REF!</v>
      </c>
      <c r="T75" s="93"/>
      <c r="U75" s="159"/>
    </row>
    <row r="76" s="131" customFormat="1" ht="25" hidden="1" customHeight="1" spans="1:21">
      <c r="A76" s="180">
        <v>2166004</v>
      </c>
      <c r="B76" s="177"/>
      <c r="C76" s="178" t="s">
        <v>1428</v>
      </c>
      <c r="D76" s="179">
        <f t="shared" si="16"/>
        <v>0</v>
      </c>
      <c r="E76" s="179">
        <v>0</v>
      </c>
      <c r="F76" s="179">
        <v>0</v>
      </c>
      <c r="G76" s="179">
        <v>0</v>
      </c>
      <c r="H76" s="179">
        <v>0</v>
      </c>
      <c r="I76" s="179">
        <f t="shared" si="18"/>
        <v>0</v>
      </c>
      <c r="J76" s="179"/>
      <c r="K76" s="179"/>
      <c r="L76" s="179"/>
      <c r="M76" s="179"/>
      <c r="N76" s="179"/>
      <c r="O76" s="179"/>
      <c r="P76" s="179"/>
      <c r="Q76" s="179"/>
      <c r="R76" s="179"/>
      <c r="S76" s="200" t="e">
        <f>IF(#REF!=0,IF(D76=0,0,100),100*(D76/#REF!-1))</f>
        <v>#REF!</v>
      </c>
      <c r="T76" s="93"/>
      <c r="U76" s="159"/>
    </row>
    <row r="77" s="131" customFormat="1" customHeight="1" spans="1:20">
      <c r="A77" s="145">
        <v>229</v>
      </c>
      <c r="B77" s="201"/>
      <c r="C77" s="178" t="s">
        <v>594</v>
      </c>
      <c r="D77" s="17">
        <f t="shared" ref="D77:D102" si="19">I77+J77</f>
        <v>25706.015674</v>
      </c>
      <c r="E77" s="179">
        <f>E78+E81+E83</f>
        <v>27</v>
      </c>
      <c r="F77" s="179">
        <f>F78+F81+F83</f>
        <v>636.75</v>
      </c>
      <c r="G77" s="179">
        <f>G78+G81+G83</f>
        <v>0</v>
      </c>
      <c r="H77" s="179">
        <f>H78+H81+H83</f>
        <v>24829.265674</v>
      </c>
      <c r="I77" s="17">
        <f t="shared" si="18"/>
        <v>25493.015674</v>
      </c>
      <c r="J77" s="17">
        <f>J78+J83+J81</f>
        <v>213</v>
      </c>
      <c r="K77" s="17">
        <f t="shared" ref="K77:K83" si="20">Q77-I77</f>
        <v>84789.4</v>
      </c>
      <c r="L77" s="17">
        <f t="shared" ref="L77:L83" si="21">R77-J77</f>
        <v>-114</v>
      </c>
      <c r="M77" s="179">
        <f t="shared" ref="K77:R77" si="22">M78+M83+M81</f>
        <v>178.855674</v>
      </c>
      <c r="N77" s="179">
        <f t="shared" si="22"/>
        <v>110000</v>
      </c>
      <c r="O77" s="179">
        <f t="shared" si="22"/>
        <v>103.56</v>
      </c>
      <c r="P77" s="17">
        <f t="shared" ref="P77:P83" si="23">Q77+R77</f>
        <v>110381.415674</v>
      </c>
      <c r="Q77" s="17">
        <f t="shared" ref="Q77:Q83" si="24">M77+N77+O77+G77</f>
        <v>110282.415674</v>
      </c>
      <c r="R77" s="17">
        <f t="shared" si="22"/>
        <v>99</v>
      </c>
      <c r="S77" s="196">
        <f t="shared" ref="S77:S83" si="25">IF(D77=0,IF(P77=0,0,100),100*(P77/D77-1))</f>
        <v>329.399161168503</v>
      </c>
      <c r="T77" s="197"/>
    </row>
    <row r="78" s="131" customFormat="1" customHeight="1" spans="1:20">
      <c r="A78" s="145">
        <v>22904</v>
      </c>
      <c r="B78" s="201"/>
      <c r="C78" s="178" t="s">
        <v>1429</v>
      </c>
      <c r="D78" s="17">
        <f t="shared" si="19"/>
        <v>25200</v>
      </c>
      <c r="E78" s="179">
        <f>E80+E79</f>
        <v>0</v>
      </c>
      <c r="F78" s="179">
        <f>F80+F79</f>
        <v>500</v>
      </c>
      <c r="G78" s="179">
        <f>G80+G79</f>
        <v>0</v>
      </c>
      <c r="H78" s="179">
        <f>H80+H79</f>
        <v>24700</v>
      </c>
      <c r="I78" s="17">
        <f t="shared" si="18"/>
        <v>25200</v>
      </c>
      <c r="J78" s="17">
        <f>J80</f>
        <v>0</v>
      </c>
      <c r="K78" s="17">
        <f t="shared" si="20"/>
        <v>84800</v>
      </c>
      <c r="L78" s="17">
        <f t="shared" si="21"/>
        <v>0</v>
      </c>
      <c r="M78" s="179">
        <f>M79+M80</f>
        <v>0</v>
      </c>
      <c r="N78" s="179">
        <f>N79+N80</f>
        <v>110000</v>
      </c>
      <c r="O78" s="179">
        <f>O79+O80</f>
        <v>0</v>
      </c>
      <c r="P78" s="17">
        <f t="shared" si="23"/>
        <v>110000</v>
      </c>
      <c r="Q78" s="17">
        <f t="shared" si="24"/>
        <v>110000</v>
      </c>
      <c r="R78" s="17">
        <f>R79+R80</f>
        <v>0</v>
      </c>
      <c r="S78" s="196">
        <f t="shared" si="25"/>
        <v>336.507936507936</v>
      </c>
      <c r="T78" s="197"/>
    </row>
    <row r="79" s="131" customFormat="1" customHeight="1" spans="1:20">
      <c r="A79" s="145">
        <v>2290401</v>
      </c>
      <c r="B79" s="201"/>
      <c r="C79" s="178" t="s">
        <v>1430</v>
      </c>
      <c r="D79" s="17">
        <f t="shared" si="19"/>
        <v>500</v>
      </c>
      <c r="E79" s="179"/>
      <c r="F79" s="179">
        <v>500</v>
      </c>
      <c r="G79" s="179"/>
      <c r="H79" s="179"/>
      <c r="I79" s="17">
        <f t="shared" si="18"/>
        <v>500</v>
      </c>
      <c r="J79" s="17"/>
      <c r="K79" s="17">
        <f t="shared" si="20"/>
        <v>-500</v>
      </c>
      <c r="L79" s="17">
        <f t="shared" si="21"/>
        <v>0</v>
      </c>
      <c r="M79" s="179">
        <v>0</v>
      </c>
      <c r="N79" s="179"/>
      <c r="O79" s="179"/>
      <c r="P79" s="17">
        <f t="shared" si="23"/>
        <v>0</v>
      </c>
      <c r="Q79" s="17">
        <f t="shared" si="24"/>
        <v>0</v>
      </c>
      <c r="R79" s="17"/>
      <c r="S79" s="196">
        <f t="shared" si="25"/>
        <v>-100</v>
      </c>
      <c r="T79" s="197"/>
    </row>
    <row r="80" s="131" customFormat="1" customHeight="1" spans="1:20">
      <c r="A80" s="145">
        <v>2290402</v>
      </c>
      <c r="B80" s="201"/>
      <c r="C80" s="178" t="s">
        <v>1431</v>
      </c>
      <c r="D80" s="17">
        <f t="shared" si="19"/>
        <v>24700</v>
      </c>
      <c r="E80" s="179">
        <v>0</v>
      </c>
      <c r="F80" s="179">
        <v>0</v>
      </c>
      <c r="G80" s="179">
        <v>0</v>
      </c>
      <c r="H80" s="179">
        <v>24700</v>
      </c>
      <c r="I80" s="17">
        <f t="shared" ref="I80:I118" si="26">SUM(E80:H80)</f>
        <v>24700</v>
      </c>
      <c r="J80" s="17"/>
      <c r="K80" s="17">
        <f t="shared" si="20"/>
        <v>85300</v>
      </c>
      <c r="L80" s="17">
        <f t="shared" si="21"/>
        <v>0</v>
      </c>
      <c r="M80" s="179">
        <v>0</v>
      </c>
      <c r="N80" s="179">
        <v>110000</v>
      </c>
      <c r="O80" s="179"/>
      <c r="P80" s="17">
        <f t="shared" si="23"/>
        <v>110000</v>
      </c>
      <c r="Q80" s="17">
        <f t="shared" si="24"/>
        <v>110000</v>
      </c>
      <c r="R80" s="17"/>
      <c r="S80" s="196">
        <f t="shared" si="25"/>
        <v>345.344129554656</v>
      </c>
      <c r="T80" s="197"/>
    </row>
    <row r="81" s="4" customFormat="1" customHeight="1" spans="1:20">
      <c r="A81" s="145">
        <v>22908</v>
      </c>
      <c r="B81" s="177"/>
      <c r="C81" s="178" t="s">
        <v>1432</v>
      </c>
      <c r="D81" s="17">
        <f t="shared" si="19"/>
        <v>15.33</v>
      </c>
      <c r="E81" s="179">
        <f>E82</f>
        <v>0</v>
      </c>
      <c r="F81" s="179">
        <f>F82</f>
        <v>9.33</v>
      </c>
      <c r="G81" s="179">
        <f>G82</f>
        <v>0</v>
      </c>
      <c r="H81" s="179">
        <f>H82</f>
        <v>0</v>
      </c>
      <c r="I81" s="17">
        <f t="shared" si="26"/>
        <v>9.33</v>
      </c>
      <c r="J81" s="17">
        <f>J82</f>
        <v>6</v>
      </c>
      <c r="K81" s="17">
        <f t="shared" si="20"/>
        <v>0</v>
      </c>
      <c r="L81" s="17">
        <f t="shared" si="21"/>
        <v>-6</v>
      </c>
      <c r="M81" s="179">
        <f t="shared" ref="K81:R81" si="27">M82</f>
        <v>0</v>
      </c>
      <c r="N81" s="179">
        <f t="shared" si="27"/>
        <v>0</v>
      </c>
      <c r="O81" s="179">
        <f t="shared" si="27"/>
        <v>9.33</v>
      </c>
      <c r="P81" s="17">
        <f t="shared" si="23"/>
        <v>9.33</v>
      </c>
      <c r="Q81" s="17">
        <f t="shared" si="24"/>
        <v>9.33</v>
      </c>
      <c r="R81" s="17">
        <f t="shared" si="27"/>
        <v>0</v>
      </c>
      <c r="S81" s="196">
        <f t="shared" si="25"/>
        <v>-39.1389432485323</v>
      </c>
      <c r="T81" s="199"/>
    </row>
    <row r="82" s="4" customFormat="1" customHeight="1" spans="1:20">
      <c r="A82" s="145">
        <v>2290804</v>
      </c>
      <c r="B82" s="177"/>
      <c r="C82" s="178" t="s">
        <v>1433</v>
      </c>
      <c r="D82" s="17">
        <f t="shared" si="19"/>
        <v>15.33</v>
      </c>
      <c r="E82" s="179">
        <v>0</v>
      </c>
      <c r="F82" s="179">
        <v>9.33</v>
      </c>
      <c r="G82" s="179">
        <v>0</v>
      </c>
      <c r="H82" s="179">
        <v>0</v>
      </c>
      <c r="I82" s="17">
        <f t="shared" si="26"/>
        <v>9.33</v>
      </c>
      <c r="J82" s="17">
        <v>6</v>
      </c>
      <c r="K82" s="17">
        <f t="shared" si="20"/>
        <v>0</v>
      </c>
      <c r="L82" s="17">
        <f t="shared" si="21"/>
        <v>-6</v>
      </c>
      <c r="M82" s="179">
        <v>0</v>
      </c>
      <c r="N82" s="179"/>
      <c r="O82" s="179">
        <v>9.33</v>
      </c>
      <c r="P82" s="17">
        <f t="shared" si="23"/>
        <v>9.33</v>
      </c>
      <c r="Q82" s="17">
        <f t="shared" si="24"/>
        <v>9.33</v>
      </c>
      <c r="R82" s="17"/>
      <c r="S82" s="196">
        <f t="shared" si="25"/>
        <v>-39.1389432485323</v>
      </c>
      <c r="T82" s="199"/>
    </row>
    <row r="83" s="131" customFormat="1" customHeight="1" spans="1:20">
      <c r="A83" s="145">
        <v>22960</v>
      </c>
      <c r="B83" s="202"/>
      <c r="C83" s="182" t="s">
        <v>1434</v>
      </c>
      <c r="D83" s="17">
        <f t="shared" si="19"/>
        <v>490.685674</v>
      </c>
      <c r="E83" s="179">
        <f>SUM(E84:E93)</f>
        <v>27</v>
      </c>
      <c r="F83" s="179">
        <f>SUM(F84:F93)</f>
        <v>127.42</v>
      </c>
      <c r="G83" s="179">
        <f>SUM(G84:G93)</f>
        <v>0</v>
      </c>
      <c r="H83" s="179">
        <f>SUM(H84:H93)</f>
        <v>129.265674</v>
      </c>
      <c r="I83" s="17">
        <f t="shared" si="26"/>
        <v>283.685674</v>
      </c>
      <c r="J83" s="17">
        <f>SUM(J85:J93)</f>
        <v>207</v>
      </c>
      <c r="K83" s="17">
        <f t="shared" si="20"/>
        <v>-10.6</v>
      </c>
      <c r="L83" s="17">
        <f t="shared" si="21"/>
        <v>-108</v>
      </c>
      <c r="M83" s="179">
        <f t="shared" ref="K83:R83" si="28">SUM(M85:M93)</f>
        <v>178.855674</v>
      </c>
      <c r="N83" s="179">
        <f t="shared" si="28"/>
        <v>0</v>
      </c>
      <c r="O83" s="179">
        <f t="shared" si="28"/>
        <v>94.23</v>
      </c>
      <c r="P83" s="17">
        <f t="shared" si="23"/>
        <v>372.085674</v>
      </c>
      <c r="Q83" s="17">
        <f t="shared" si="24"/>
        <v>273.085674</v>
      </c>
      <c r="R83" s="17">
        <f t="shared" si="28"/>
        <v>99</v>
      </c>
      <c r="S83" s="196">
        <f t="shared" si="25"/>
        <v>-24.1702593501843</v>
      </c>
      <c r="T83" s="198"/>
    </row>
    <row r="84" s="131" customFormat="1" ht="25" hidden="1" customHeight="1" spans="1:20">
      <c r="A84" s="180">
        <v>2296001</v>
      </c>
      <c r="B84" s="202"/>
      <c r="C84" s="182" t="s">
        <v>1435</v>
      </c>
      <c r="D84" s="179">
        <f t="shared" si="19"/>
        <v>0</v>
      </c>
      <c r="E84" s="179">
        <v>0</v>
      </c>
      <c r="F84" s="179">
        <v>0</v>
      </c>
      <c r="G84" s="179">
        <v>0</v>
      </c>
      <c r="H84" s="179">
        <v>0</v>
      </c>
      <c r="I84" s="179">
        <f t="shared" si="26"/>
        <v>0</v>
      </c>
      <c r="J84" s="179"/>
      <c r="K84" s="179"/>
      <c r="L84" s="179"/>
      <c r="M84" s="179"/>
      <c r="N84" s="179"/>
      <c r="O84" s="179"/>
      <c r="P84" s="179"/>
      <c r="Q84" s="179"/>
      <c r="R84" s="179"/>
      <c r="S84" s="200" t="e">
        <f>IF(#REF!=0,IF(D84=0,0,100),100*(D84/#REF!-1))</f>
        <v>#REF!</v>
      </c>
      <c r="T84" s="93"/>
    </row>
    <row r="85" s="131" customFormat="1" customHeight="1" spans="1:20">
      <c r="A85" s="145">
        <v>2296002</v>
      </c>
      <c r="B85" s="202"/>
      <c r="C85" s="182" t="s">
        <v>1436</v>
      </c>
      <c r="D85" s="17">
        <f t="shared" si="19"/>
        <v>276.42</v>
      </c>
      <c r="E85" s="179">
        <v>23</v>
      </c>
      <c r="F85" s="179">
        <v>86.42</v>
      </c>
      <c r="G85" s="179">
        <v>0</v>
      </c>
      <c r="H85" s="179">
        <v>0</v>
      </c>
      <c r="I85" s="17">
        <f t="shared" si="26"/>
        <v>109.42</v>
      </c>
      <c r="J85" s="17">
        <v>167</v>
      </c>
      <c r="K85" s="17">
        <f>Q85-I85</f>
        <v>-32.19</v>
      </c>
      <c r="L85" s="17">
        <f>R85-J85</f>
        <v>-122.53</v>
      </c>
      <c r="M85" s="179">
        <v>13</v>
      </c>
      <c r="N85" s="179"/>
      <c r="O85" s="179">
        <v>64.23</v>
      </c>
      <c r="P85" s="17">
        <f>Q85+R85</f>
        <v>121.7</v>
      </c>
      <c r="Q85" s="17">
        <f>M85+N85+O85+G85</f>
        <v>77.23</v>
      </c>
      <c r="R85" s="17">
        <v>44.47</v>
      </c>
      <c r="S85" s="196">
        <f t="shared" ref="S85:S88" si="29">IF(D85=0,IF(P85=0,0,100),100*(P85/D85-1))</f>
        <v>-55.9727950220679</v>
      </c>
      <c r="T85" s="199"/>
    </row>
    <row r="86" s="131" customFormat="1" customHeight="1" spans="1:20">
      <c r="A86" s="145">
        <v>2296003</v>
      </c>
      <c r="B86" s="202"/>
      <c r="C86" s="182" t="s">
        <v>1437</v>
      </c>
      <c r="D86" s="17">
        <f t="shared" si="19"/>
        <v>16</v>
      </c>
      <c r="E86" s="179">
        <v>0</v>
      </c>
      <c r="F86" s="179">
        <v>16</v>
      </c>
      <c r="G86" s="179">
        <v>0</v>
      </c>
      <c r="H86" s="179">
        <v>0</v>
      </c>
      <c r="I86" s="17">
        <f t="shared" si="26"/>
        <v>16</v>
      </c>
      <c r="J86" s="17"/>
      <c r="K86" s="17">
        <f>Q86-I86</f>
        <v>-11</v>
      </c>
      <c r="L86" s="17">
        <f>R86-J86</f>
        <v>0</v>
      </c>
      <c r="M86" s="179">
        <v>0</v>
      </c>
      <c r="N86" s="179"/>
      <c r="O86" s="179">
        <v>5</v>
      </c>
      <c r="P86" s="17">
        <f>Q86+R86</f>
        <v>5</v>
      </c>
      <c r="Q86" s="17">
        <f>M86+N86+O86+G86</f>
        <v>5</v>
      </c>
      <c r="R86" s="17"/>
      <c r="S86" s="196">
        <f t="shared" si="29"/>
        <v>-68.75</v>
      </c>
      <c r="T86" s="199"/>
    </row>
    <row r="87" s="131" customFormat="1" ht="25" hidden="1" customHeight="1" spans="1:20">
      <c r="A87" s="180">
        <v>2296004</v>
      </c>
      <c r="B87" s="202"/>
      <c r="C87" s="182" t="s">
        <v>1438</v>
      </c>
      <c r="D87" s="179">
        <f t="shared" si="19"/>
        <v>0</v>
      </c>
      <c r="E87" s="179">
        <v>0</v>
      </c>
      <c r="F87" s="179">
        <v>0</v>
      </c>
      <c r="G87" s="179">
        <v>0</v>
      </c>
      <c r="H87" s="179">
        <v>0</v>
      </c>
      <c r="I87" s="179">
        <f t="shared" si="26"/>
        <v>0</v>
      </c>
      <c r="J87" s="179"/>
      <c r="K87" s="179"/>
      <c r="L87" s="179"/>
      <c r="M87" s="179"/>
      <c r="N87" s="179"/>
      <c r="O87" s="179"/>
      <c r="P87" s="179"/>
      <c r="Q87" s="179"/>
      <c r="R87" s="179"/>
      <c r="S87" s="200" t="e">
        <f>IF(#REF!=0,IF(D87=0,0,100),100*(D87/#REF!-1))</f>
        <v>#REF!</v>
      </c>
      <c r="T87" s="93"/>
    </row>
    <row r="88" s="131" customFormat="1" customHeight="1" spans="1:20">
      <c r="A88" s="145">
        <v>2296006</v>
      </c>
      <c r="B88" s="202"/>
      <c r="C88" s="182" t="s">
        <v>1439</v>
      </c>
      <c r="D88" s="17">
        <f t="shared" si="19"/>
        <v>94.265674</v>
      </c>
      <c r="E88" s="179">
        <v>4</v>
      </c>
      <c r="F88" s="179">
        <v>25</v>
      </c>
      <c r="G88" s="179">
        <v>0</v>
      </c>
      <c r="H88" s="179">
        <v>25.265674</v>
      </c>
      <c r="I88" s="17">
        <f t="shared" si="26"/>
        <v>54.265674</v>
      </c>
      <c r="J88" s="17">
        <v>40</v>
      </c>
      <c r="K88" s="17">
        <f>Q88-I88</f>
        <v>8.27</v>
      </c>
      <c r="L88" s="17">
        <f>R88-J88</f>
        <v>14.53</v>
      </c>
      <c r="M88" s="179">
        <v>37.535674</v>
      </c>
      <c r="N88" s="179"/>
      <c r="O88" s="179">
        <v>25</v>
      </c>
      <c r="P88" s="17">
        <f>Q88+R88</f>
        <v>117.065674</v>
      </c>
      <c r="Q88" s="17">
        <f>M88+N88+O88+G88</f>
        <v>62.535674</v>
      </c>
      <c r="R88" s="17">
        <v>54.53</v>
      </c>
      <c r="S88" s="196">
        <f t="shared" si="29"/>
        <v>24.1869590833244</v>
      </c>
      <c r="T88" s="199"/>
    </row>
    <row r="89" s="131" customFormat="1" ht="25" hidden="1" customHeight="1" spans="1:20">
      <c r="A89" s="180">
        <v>2296007</v>
      </c>
      <c r="B89" s="202"/>
      <c r="C89" s="182" t="s">
        <v>1440</v>
      </c>
      <c r="D89" s="179">
        <f t="shared" si="19"/>
        <v>0</v>
      </c>
      <c r="E89" s="179">
        <v>0</v>
      </c>
      <c r="F89" s="179">
        <v>0</v>
      </c>
      <c r="G89" s="179">
        <v>0</v>
      </c>
      <c r="H89" s="179">
        <v>0</v>
      </c>
      <c r="I89" s="179">
        <f t="shared" si="26"/>
        <v>0</v>
      </c>
      <c r="J89" s="179"/>
      <c r="K89" s="179"/>
      <c r="L89" s="179"/>
      <c r="M89" s="179"/>
      <c r="N89" s="179"/>
      <c r="O89" s="179"/>
      <c r="P89" s="179"/>
      <c r="Q89" s="179"/>
      <c r="R89" s="179"/>
      <c r="S89" s="200" t="e">
        <f>IF(#REF!=0,IF(D89=0,0,100),100*(D89/#REF!-1))</f>
        <v>#REF!</v>
      </c>
      <c r="T89" s="93"/>
    </row>
    <row r="90" s="131" customFormat="1" ht="25" hidden="1" customHeight="1" spans="1:20">
      <c r="A90" s="180">
        <v>2296008</v>
      </c>
      <c r="B90" s="202"/>
      <c r="C90" s="182" t="s">
        <v>1441</v>
      </c>
      <c r="D90" s="179">
        <f t="shared" si="19"/>
        <v>0</v>
      </c>
      <c r="E90" s="179">
        <v>0</v>
      </c>
      <c r="F90" s="179">
        <v>0</v>
      </c>
      <c r="G90" s="179">
        <v>0</v>
      </c>
      <c r="H90" s="179">
        <v>0</v>
      </c>
      <c r="I90" s="179">
        <f t="shared" si="26"/>
        <v>0</v>
      </c>
      <c r="J90" s="179"/>
      <c r="K90" s="179"/>
      <c r="L90" s="179"/>
      <c r="M90" s="179"/>
      <c r="N90" s="179"/>
      <c r="O90" s="179"/>
      <c r="P90" s="179"/>
      <c r="Q90" s="179"/>
      <c r="R90" s="179"/>
      <c r="S90" s="200" t="e">
        <f>IF(#REF!=0,IF(D90=0,0,100),100*(D90/#REF!-1))</f>
        <v>#REF!</v>
      </c>
      <c r="T90" s="93"/>
    </row>
    <row r="91" s="131" customFormat="1" ht="25" hidden="1" customHeight="1" spans="1:20">
      <c r="A91" s="180">
        <v>2296010</v>
      </c>
      <c r="B91" s="202"/>
      <c r="C91" s="182" t="s">
        <v>1442</v>
      </c>
      <c r="D91" s="179">
        <f t="shared" si="19"/>
        <v>0</v>
      </c>
      <c r="E91" s="179">
        <v>0</v>
      </c>
      <c r="F91" s="179">
        <v>0</v>
      </c>
      <c r="G91" s="179">
        <v>0</v>
      </c>
      <c r="H91" s="179">
        <v>0</v>
      </c>
      <c r="I91" s="179">
        <f t="shared" si="26"/>
        <v>0</v>
      </c>
      <c r="J91" s="179"/>
      <c r="K91" s="179"/>
      <c r="L91" s="179"/>
      <c r="M91" s="179"/>
      <c r="N91" s="179"/>
      <c r="O91" s="179"/>
      <c r="P91" s="179"/>
      <c r="Q91" s="179"/>
      <c r="R91" s="179"/>
      <c r="S91" s="200" t="e">
        <f>IF(#REF!=0,IF(D91=0,0,100),100*(D91/#REF!-1))</f>
        <v>#REF!</v>
      </c>
      <c r="T91" s="93"/>
    </row>
    <row r="92" s="131" customFormat="1" customHeight="1" spans="1:20">
      <c r="A92" s="145">
        <v>2296013</v>
      </c>
      <c r="B92" s="202"/>
      <c r="C92" s="182" t="s">
        <v>1443</v>
      </c>
      <c r="D92" s="17">
        <f t="shared" si="19"/>
        <v>28</v>
      </c>
      <c r="E92" s="179">
        <v>0</v>
      </c>
      <c r="F92" s="179">
        <v>0</v>
      </c>
      <c r="G92" s="179">
        <v>0</v>
      </c>
      <c r="H92" s="179">
        <v>28</v>
      </c>
      <c r="I92" s="17">
        <f t="shared" si="26"/>
        <v>28</v>
      </c>
      <c r="J92" s="17"/>
      <c r="K92" s="17">
        <f>Q92-I92</f>
        <v>6.22</v>
      </c>
      <c r="L92" s="17">
        <f>R92-J92</f>
        <v>0</v>
      </c>
      <c r="M92" s="179">
        <v>34.22</v>
      </c>
      <c r="N92" s="179"/>
      <c r="O92" s="179"/>
      <c r="P92" s="17">
        <f>Q92+R92</f>
        <v>34.22</v>
      </c>
      <c r="Q92" s="17">
        <f>M92+N92+O92+G92</f>
        <v>34.22</v>
      </c>
      <c r="R92" s="17"/>
      <c r="S92" s="196">
        <f t="shared" ref="S92:S94" si="30">IF(D92=0,IF(P92=0,0,100),100*(P92/D92-1))</f>
        <v>22.2142857142857</v>
      </c>
      <c r="T92" s="199"/>
    </row>
    <row r="93" s="131" customFormat="1" customHeight="1" spans="1:20">
      <c r="A93" s="145">
        <v>2296099</v>
      </c>
      <c r="B93" s="202"/>
      <c r="C93" s="182" t="s">
        <v>1444</v>
      </c>
      <c r="D93" s="17">
        <f t="shared" si="19"/>
        <v>76</v>
      </c>
      <c r="E93" s="179">
        <v>0</v>
      </c>
      <c r="F93" s="179">
        <v>0</v>
      </c>
      <c r="G93" s="179">
        <v>0</v>
      </c>
      <c r="H93" s="179">
        <v>76</v>
      </c>
      <c r="I93" s="17">
        <f t="shared" si="26"/>
        <v>76</v>
      </c>
      <c r="J93" s="17"/>
      <c r="K93" s="17">
        <f>Q93-I93</f>
        <v>18.1</v>
      </c>
      <c r="L93" s="17">
        <f>R93-J93</f>
        <v>0</v>
      </c>
      <c r="M93" s="179">
        <v>94.1</v>
      </c>
      <c r="N93" s="179"/>
      <c r="O93" s="179"/>
      <c r="P93" s="17">
        <f>Q93+R93</f>
        <v>94.1</v>
      </c>
      <c r="Q93" s="17">
        <f>M93+N93+O93+G93</f>
        <v>94.1</v>
      </c>
      <c r="R93" s="17"/>
      <c r="S93" s="196">
        <f t="shared" si="30"/>
        <v>23.8157894736842</v>
      </c>
      <c r="T93" s="199"/>
    </row>
    <row r="94" s="131" customFormat="1" customHeight="1" spans="1:20">
      <c r="A94" s="145">
        <v>230</v>
      </c>
      <c r="B94" s="177"/>
      <c r="C94" s="43" t="s">
        <v>595</v>
      </c>
      <c r="D94" s="17">
        <f t="shared" si="19"/>
        <v>106500</v>
      </c>
      <c r="E94" s="179">
        <f>E95+E96+E97</f>
        <v>0</v>
      </c>
      <c r="F94" s="179">
        <f>F95+F96+F97</f>
        <v>0</v>
      </c>
      <c r="G94" s="179">
        <f>G95+G96+G97</f>
        <v>0</v>
      </c>
      <c r="H94" s="179">
        <f>H95+H96+H97</f>
        <v>106500</v>
      </c>
      <c r="I94" s="17">
        <f t="shared" si="26"/>
        <v>106500</v>
      </c>
      <c r="J94" s="17"/>
      <c r="K94" s="17">
        <f>Q94-I94</f>
        <v>-101500</v>
      </c>
      <c r="L94" s="17">
        <f>R94-J94</f>
        <v>0</v>
      </c>
      <c r="M94" s="179">
        <v>0</v>
      </c>
      <c r="N94" s="179">
        <v>5000</v>
      </c>
      <c r="O94" s="179"/>
      <c r="P94" s="17">
        <f>Q94+R94</f>
        <v>5000</v>
      </c>
      <c r="Q94" s="17">
        <f>M94+N94+O94+G94</f>
        <v>5000</v>
      </c>
      <c r="R94" s="17"/>
      <c r="S94" s="196">
        <f t="shared" si="30"/>
        <v>-95.3051643192488</v>
      </c>
      <c r="T94" s="199"/>
    </row>
    <row r="95" s="159" customFormat="1" ht="25" hidden="1" customHeight="1" spans="1:20">
      <c r="A95" s="180">
        <v>23004</v>
      </c>
      <c r="B95" s="177"/>
      <c r="C95" s="92" t="s">
        <v>1445</v>
      </c>
      <c r="D95" s="179">
        <f t="shared" si="19"/>
        <v>0</v>
      </c>
      <c r="E95" s="179">
        <v>0</v>
      </c>
      <c r="F95" s="179">
        <v>0</v>
      </c>
      <c r="G95" s="179">
        <v>0</v>
      </c>
      <c r="H95" s="179">
        <v>0</v>
      </c>
      <c r="I95" s="179">
        <f t="shared" si="26"/>
        <v>0</v>
      </c>
      <c r="J95" s="179"/>
      <c r="K95" s="179"/>
      <c r="L95" s="179"/>
      <c r="M95" s="179"/>
      <c r="N95" s="179"/>
      <c r="O95" s="179"/>
      <c r="P95" s="179"/>
      <c r="Q95" s="179"/>
      <c r="R95" s="179"/>
      <c r="S95" s="200"/>
      <c r="T95" s="93"/>
    </row>
    <row r="96" s="131" customFormat="1" customHeight="1" spans="1:20">
      <c r="A96" s="145">
        <v>23008</v>
      </c>
      <c r="B96" s="177"/>
      <c r="C96" s="43" t="s">
        <v>1446</v>
      </c>
      <c r="D96" s="17">
        <f t="shared" si="19"/>
        <v>106500</v>
      </c>
      <c r="E96" s="179">
        <v>0</v>
      </c>
      <c r="F96" s="179">
        <v>0</v>
      </c>
      <c r="G96" s="179">
        <v>0</v>
      </c>
      <c r="H96" s="179">
        <v>106500</v>
      </c>
      <c r="I96" s="17">
        <f t="shared" si="26"/>
        <v>106500</v>
      </c>
      <c r="J96" s="17"/>
      <c r="K96" s="17">
        <f>Q96-I96</f>
        <v>-101500</v>
      </c>
      <c r="L96" s="17">
        <f>R96-J96</f>
        <v>0</v>
      </c>
      <c r="M96" s="179">
        <v>0</v>
      </c>
      <c r="N96" s="179">
        <v>5000</v>
      </c>
      <c r="O96" s="179"/>
      <c r="P96" s="17">
        <f>Q96+R96</f>
        <v>5000</v>
      </c>
      <c r="Q96" s="17">
        <f>M96+N96+O96+G96</f>
        <v>5000</v>
      </c>
      <c r="R96" s="17"/>
      <c r="S96" s="196">
        <f t="shared" ref="S96:S101" si="31">IF(D96=0,IF(P96=0,0,100),100*(P96/D96-1))</f>
        <v>-95.3051643192488</v>
      </c>
      <c r="T96" s="198"/>
    </row>
    <row r="97" s="159" customFormat="1" ht="25" hidden="1" customHeight="1" spans="1:20">
      <c r="A97" s="180">
        <v>23009</v>
      </c>
      <c r="B97" s="177"/>
      <c r="C97" s="92" t="s">
        <v>1447</v>
      </c>
      <c r="D97" s="179">
        <f t="shared" si="19"/>
        <v>0</v>
      </c>
      <c r="E97" s="179">
        <v>0</v>
      </c>
      <c r="F97" s="179">
        <v>0</v>
      </c>
      <c r="G97" s="179">
        <v>0</v>
      </c>
      <c r="H97" s="179">
        <v>0</v>
      </c>
      <c r="I97" s="179">
        <f t="shared" si="26"/>
        <v>0</v>
      </c>
      <c r="J97" s="179"/>
      <c r="K97" s="179"/>
      <c r="L97" s="179"/>
      <c r="M97" s="179"/>
      <c r="N97" s="179"/>
      <c r="O97" s="179"/>
      <c r="P97" s="179"/>
      <c r="Q97" s="179"/>
      <c r="R97" s="179"/>
      <c r="S97" s="200" t="e">
        <f>IF(#REF!=0,IF(D97=0,0,100),100*(D97/#REF!-1))</f>
        <v>#REF!</v>
      </c>
      <c r="T97" s="93"/>
    </row>
    <row r="98" s="131" customFormat="1" customHeight="1" spans="1:20">
      <c r="A98" s="145">
        <v>231</v>
      </c>
      <c r="B98" s="177"/>
      <c r="C98" s="43" t="s">
        <v>599</v>
      </c>
      <c r="D98" s="17">
        <f t="shared" si="19"/>
        <v>30960</v>
      </c>
      <c r="E98" s="179">
        <f>E99</f>
        <v>0</v>
      </c>
      <c r="F98" s="179">
        <f>F99</f>
        <v>0</v>
      </c>
      <c r="G98" s="179">
        <f>G99</f>
        <v>0</v>
      </c>
      <c r="H98" s="179">
        <f>H99</f>
        <v>30960</v>
      </c>
      <c r="I98" s="17">
        <f t="shared" si="26"/>
        <v>30960</v>
      </c>
      <c r="J98" s="17"/>
      <c r="K98" s="17">
        <f>Q98-I98</f>
        <v>0</v>
      </c>
      <c r="L98" s="17">
        <f>R98-J98</f>
        <v>0</v>
      </c>
      <c r="M98" s="179">
        <f>M99</f>
        <v>30960</v>
      </c>
      <c r="N98" s="179"/>
      <c r="O98" s="179"/>
      <c r="P98" s="17">
        <f>Q98+R98</f>
        <v>30960</v>
      </c>
      <c r="Q98" s="17">
        <f>M98+N98+O98+G98</f>
        <v>30960</v>
      </c>
      <c r="R98" s="17"/>
      <c r="S98" s="196">
        <f t="shared" si="31"/>
        <v>0</v>
      </c>
      <c r="T98" s="199"/>
    </row>
    <row r="99" s="131" customFormat="1" customHeight="1" spans="1:20">
      <c r="A99" s="145">
        <v>23104</v>
      </c>
      <c r="B99" s="177"/>
      <c r="C99" s="43" t="s">
        <v>1448</v>
      </c>
      <c r="D99" s="17">
        <f t="shared" si="19"/>
        <v>30960</v>
      </c>
      <c r="E99" s="179">
        <f>SUM(E100:E102)</f>
        <v>0</v>
      </c>
      <c r="F99" s="179">
        <f>SUM(F100:F102)</f>
        <v>0</v>
      </c>
      <c r="G99" s="179">
        <f>SUM(G100:G102)</f>
        <v>0</v>
      </c>
      <c r="H99" s="179">
        <f>SUM(H100:H102)</f>
        <v>30960</v>
      </c>
      <c r="I99" s="17">
        <f t="shared" si="26"/>
        <v>30960</v>
      </c>
      <c r="J99" s="17"/>
      <c r="K99" s="17">
        <f>Q99-I99</f>
        <v>0</v>
      </c>
      <c r="L99" s="17">
        <f>R99-J99</f>
        <v>0</v>
      </c>
      <c r="M99" s="179">
        <f>M100+M101</f>
        <v>30960</v>
      </c>
      <c r="N99" s="179">
        <f>N100+N101</f>
        <v>0</v>
      </c>
      <c r="O99" s="179">
        <f>O100+O101</f>
        <v>0</v>
      </c>
      <c r="P99" s="17">
        <f>Q99+R99</f>
        <v>30960</v>
      </c>
      <c r="Q99" s="17">
        <f>M99+N99+O99+G99</f>
        <v>30960</v>
      </c>
      <c r="R99" s="17">
        <f>R100+R101</f>
        <v>0</v>
      </c>
      <c r="S99" s="196">
        <f t="shared" si="31"/>
        <v>0</v>
      </c>
      <c r="T99" s="199"/>
    </row>
    <row r="100" s="131" customFormat="1" customHeight="1" spans="1:20">
      <c r="A100" s="145">
        <v>2310411</v>
      </c>
      <c r="B100" s="177"/>
      <c r="C100" s="43" t="s">
        <v>1449</v>
      </c>
      <c r="D100" s="17">
        <f t="shared" si="19"/>
        <v>6960</v>
      </c>
      <c r="E100" s="179">
        <v>0</v>
      </c>
      <c r="F100" s="179">
        <v>0</v>
      </c>
      <c r="G100" s="179">
        <v>0</v>
      </c>
      <c r="H100" s="179">
        <v>6960</v>
      </c>
      <c r="I100" s="17">
        <f t="shared" si="26"/>
        <v>6960</v>
      </c>
      <c r="J100" s="17"/>
      <c r="K100" s="17">
        <f>Q100-I100</f>
        <v>0</v>
      </c>
      <c r="L100" s="17">
        <f>R100-J100</f>
        <v>0</v>
      </c>
      <c r="M100" s="179">
        <v>6960</v>
      </c>
      <c r="N100" s="179"/>
      <c r="O100" s="179"/>
      <c r="P100" s="17">
        <f>Q100+R100</f>
        <v>6960</v>
      </c>
      <c r="Q100" s="17">
        <f>M100+N100+O100+G100</f>
        <v>6960</v>
      </c>
      <c r="R100" s="17"/>
      <c r="S100" s="196">
        <f t="shared" si="31"/>
        <v>0</v>
      </c>
      <c r="T100" s="199"/>
    </row>
    <row r="101" s="131" customFormat="1" customHeight="1" spans="1:20">
      <c r="A101" s="145">
        <v>2310431</v>
      </c>
      <c r="B101" s="177"/>
      <c r="C101" s="203" t="s">
        <v>1450</v>
      </c>
      <c r="D101" s="17">
        <f t="shared" si="19"/>
        <v>24000</v>
      </c>
      <c r="E101" s="179">
        <v>0</v>
      </c>
      <c r="F101" s="179">
        <v>0</v>
      </c>
      <c r="G101" s="179">
        <v>0</v>
      </c>
      <c r="H101" s="179">
        <v>24000</v>
      </c>
      <c r="I101" s="17">
        <f t="shared" si="26"/>
        <v>24000</v>
      </c>
      <c r="J101" s="17"/>
      <c r="K101" s="17">
        <f>Q101-I101</f>
        <v>0</v>
      </c>
      <c r="L101" s="17">
        <f>R101-J101</f>
        <v>0</v>
      </c>
      <c r="M101" s="179">
        <v>24000</v>
      </c>
      <c r="N101" s="179"/>
      <c r="O101" s="179"/>
      <c r="P101" s="17">
        <f>Q101+R101</f>
        <v>24000</v>
      </c>
      <c r="Q101" s="17">
        <f>M101+N101+O101+G101</f>
        <v>24000</v>
      </c>
      <c r="R101" s="17"/>
      <c r="S101" s="196">
        <f t="shared" si="31"/>
        <v>0</v>
      </c>
      <c r="T101" s="199"/>
    </row>
    <row r="102" s="159" customFormat="1" ht="25" hidden="1" customHeight="1" spans="1:20">
      <c r="A102" s="180">
        <v>2310498</v>
      </c>
      <c r="B102" s="177"/>
      <c r="C102" s="203" t="s">
        <v>1451</v>
      </c>
      <c r="D102" s="179">
        <f t="shared" si="19"/>
        <v>0</v>
      </c>
      <c r="E102" s="179">
        <v>0</v>
      </c>
      <c r="F102" s="179">
        <v>0</v>
      </c>
      <c r="G102" s="179">
        <v>0</v>
      </c>
      <c r="H102" s="179">
        <v>0</v>
      </c>
      <c r="I102" s="179">
        <f t="shared" si="26"/>
        <v>0</v>
      </c>
      <c r="J102" s="179"/>
      <c r="K102" s="179"/>
      <c r="L102" s="179"/>
      <c r="M102" s="179"/>
      <c r="N102" s="179"/>
      <c r="O102" s="179"/>
      <c r="P102" s="179"/>
      <c r="Q102" s="179"/>
      <c r="R102" s="179"/>
      <c r="S102" s="200" t="e">
        <f>IF(#REF!=0,IF(D102=0,0,100),100*(D102/#REF!-1))</f>
        <v>#REF!</v>
      </c>
      <c r="T102" s="93"/>
    </row>
    <row r="103" s="131" customFormat="1" customHeight="1" spans="1:20">
      <c r="A103" s="145">
        <v>232</v>
      </c>
      <c r="B103" s="177"/>
      <c r="C103" s="43" t="s">
        <v>602</v>
      </c>
      <c r="D103" s="17">
        <f t="shared" ref="D103:D112" si="32">I103+J103</f>
        <v>25759.396</v>
      </c>
      <c r="E103" s="179">
        <f>E104</f>
        <v>0</v>
      </c>
      <c r="F103" s="179">
        <f>F104</f>
        <v>0</v>
      </c>
      <c r="G103" s="179">
        <f>G104</f>
        <v>0</v>
      </c>
      <c r="H103" s="179">
        <f>H104</f>
        <v>25759.396</v>
      </c>
      <c r="I103" s="17">
        <f t="shared" si="26"/>
        <v>25759.396</v>
      </c>
      <c r="J103" s="17">
        <f>J104</f>
        <v>0</v>
      </c>
      <c r="K103" s="17">
        <f t="shared" ref="K103:K112" si="33">Q103-I103</f>
        <v>788.549999999999</v>
      </c>
      <c r="L103" s="17">
        <f t="shared" ref="L103:L112" si="34">R103-J103</f>
        <v>0</v>
      </c>
      <c r="M103" s="179">
        <f>M104</f>
        <v>26547.946</v>
      </c>
      <c r="N103" s="179">
        <f>N104</f>
        <v>0</v>
      </c>
      <c r="O103" s="179">
        <f>O104</f>
        <v>0</v>
      </c>
      <c r="P103" s="17">
        <f t="shared" ref="P103:P112" si="35">Q103+R103</f>
        <v>26547.946</v>
      </c>
      <c r="Q103" s="17">
        <f t="shared" ref="Q103:Q112" si="36">M103+N103+O103+G103</f>
        <v>26547.946</v>
      </c>
      <c r="R103" s="17">
        <f>R104</f>
        <v>0</v>
      </c>
      <c r="S103" s="196">
        <f t="shared" ref="S103:S112" si="37">IF(D103=0,IF(P103=0,0,100),100*(P103/D103-1))</f>
        <v>3.06121308123839</v>
      </c>
      <c r="T103" s="199"/>
    </row>
    <row r="104" s="131" customFormat="1" customHeight="1" spans="1:20">
      <c r="A104" s="145">
        <v>23204</v>
      </c>
      <c r="B104" s="177"/>
      <c r="C104" s="43" t="s">
        <v>1452</v>
      </c>
      <c r="D104" s="17">
        <f t="shared" si="32"/>
        <v>25759.396</v>
      </c>
      <c r="E104" s="179">
        <f>SUM(E105:E107)</f>
        <v>0</v>
      </c>
      <c r="F104" s="179">
        <f>SUM(F105:F107)</f>
        <v>0</v>
      </c>
      <c r="G104" s="179">
        <f>SUM(G105:G107)</f>
        <v>0</v>
      </c>
      <c r="H104" s="179">
        <f>SUM(H105:H107)</f>
        <v>25759.396</v>
      </c>
      <c r="I104" s="17">
        <f t="shared" si="26"/>
        <v>25759.396</v>
      </c>
      <c r="J104" s="17">
        <f>J105+J106+J107</f>
        <v>0</v>
      </c>
      <c r="K104" s="17">
        <f t="shared" si="33"/>
        <v>788.549999999999</v>
      </c>
      <c r="L104" s="17">
        <f t="shared" si="34"/>
        <v>0</v>
      </c>
      <c r="M104" s="179">
        <f>M105+M106+M107</f>
        <v>26547.946</v>
      </c>
      <c r="N104" s="179">
        <f>N105+N106+N107</f>
        <v>0</v>
      </c>
      <c r="O104" s="179">
        <f>O105+O106+O107</f>
        <v>0</v>
      </c>
      <c r="P104" s="17">
        <f t="shared" si="35"/>
        <v>26547.946</v>
      </c>
      <c r="Q104" s="17">
        <f t="shared" si="36"/>
        <v>26547.946</v>
      </c>
      <c r="R104" s="17">
        <f>R105+R106+R107</f>
        <v>0</v>
      </c>
      <c r="S104" s="196">
        <f t="shared" si="37"/>
        <v>3.06121308123839</v>
      </c>
      <c r="T104" s="199"/>
    </row>
    <row r="105" s="131" customFormat="1" customHeight="1" spans="1:20">
      <c r="A105" s="145">
        <v>2320411</v>
      </c>
      <c r="B105" s="177"/>
      <c r="C105" s="43" t="s">
        <v>1453</v>
      </c>
      <c r="D105" s="17">
        <f t="shared" si="32"/>
        <v>3236.876</v>
      </c>
      <c r="E105" s="179">
        <v>0</v>
      </c>
      <c r="F105" s="179">
        <v>0</v>
      </c>
      <c r="G105" s="179">
        <v>0</v>
      </c>
      <c r="H105" s="179">
        <v>3236.876</v>
      </c>
      <c r="I105" s="17">
        <f t="shared" si="26"/>
        <v>3236.876</v>
      </c>
      <c r="J105" s="17"/>
      <c r="K105" s="17">
        <f t="shared" si="33"/>
        <v>9.02999999999975</v>
      </c>
      <c r="L105" s="17">
        <f t="shared" si="34"/>
        <v>0</v>
      </c>
      <c r="M105" s="179">
        <v>3245.906</v>
      </c>
      <c r="N105" s="179"/>
      <c r="O105" s="179"/>
      <c r="P105" s="17">
        <f t="shared" si="35"/>
        <v>3245.906</v>
      </c>
      <c r="Q105" s="17">
        <f t="shared" si="36"/>
        <v>3245.906</v>
      </c>
      <c r="R105" s="17"/>
      <c r="S105" s="196">
        <f t="shared" si="37"/>
        <v>0.278972688481116</v>
      </c>
      <c r="T105" s="199"/>
    </row>
    <row r="106" s="131" customFormat="1" customHeight="1" spans="1:20">
      <c r="A106" s="145">
        <v>2320431</v>
      </c>
      <c r="B106" s="177"/>
      <c r="C106" s="203" t="s">
        <v>1454</v>
      </c>
      <c r="D106" s="17">
        <f t="shared" si="32"/>
        <v>975.2</v>
      </c>
      <c r="E106" s="179">
        <v>0</v>
      </c>
      <c r="F106" s="179">
        <v>0</v>
      </c>
      <c r="G106" s="179">
        <v>0</v>
      </c>
      <c r="H106" s="179">
        <v>975.2</v>
      </c>
      <c r="I106" s="17">
        <f t="shared" si="26"/>
        <v>975.2</v>
      </c>
      <c r="J106" s="17"/>
      <c r="K106" s="17">
        <f t="shared" si="33"/>
        <v>0</v>
      </c>
      <c r="L106" s="17">
        <f t="shared" si="34"/>
        <v>0</v>
      </c>
      <c r="M106" s="179">
        <v>975.2</v>
      </c>
      <c r="N106" s="179"/>
      <c r="O106" s="179"/>
      <c r="P106" s="17">
        <f t="shared" si="35"/>
        <v>975.2</v>
      </c>
      <c r="Q106" s="17">
        <f t="shared" si="36"/>
        <v>975.2</v>
      </c>
      <c r="R106" s="17"/>
      <c r="S106" s="196">
        <f t="shared" si="37"/>
        <v>0</v>
      </c>
      <c r="T106" s="199"/>
    </row>
    <row r="107" s="131" customFormat="1" customHeight="1" spans="1:20">
      <c r="A107" s="145">
        <v>2320498</v>
      </c>
      <c r="B107" s="177"/>
      <c r="C107" s="203" t="s">
        <v>1455</v>
      </c>
      <c r="D107" s="17">
        <f t="shared" si="32"/>
        <v>21547.32</v>
      </c>
      <c r="E107" s="179">
        <v>0</v>
      </c>
      <c r="F107" s="179">
        <v>0</v>
      </c>
      <c r="G107" s="179">
        <v>0</v>
      </c>
      <c r="H107" s="179">
        <v>21547.32</v>
      </c>
      <c r="I107" s="17">
        <f t="shared" si="26"/>
        <v>21547.32</v>
      </c>
      <c r="J107" s="17"/>
      <c r="K107" s="17">
        <f t="shared" si="33"/>
        <v>779.52</v>
      </c>
      <c r="L107" s="17">
        <f t="shared" si="34"/>
        <v>0</v>
      </c>
      <c r="M107" s="179">
        <v>22326.84</v>
      </c>
      <c r="N107" s="179"/>
      <c r="O107" s="179"/>
      <c r="P107" s="17">
        <f t="shared" si="35"/>
        <v>22326.84</v>
      </c>
      <c r="Q107" s="17">
        <f t="shared" si="36"/>
        <v>22326.84</v>
      </c>
      <c r="R107" s="17"/>
      <c r="S107" s="196">
        <f t="shared" si="37"/>
        <v>3.61771208670034</v>
      </c>
      <c r="T107" s="199"/>
    </row>
    <row r="108" s="131" customFormat="1" customHeight="1" spans="1:20">
      <c r="A108" s="145">
        <v>233</v>
      </c>
      <c r="B108" s="177"/>
      <c r="C108" s="43" t="s">
        <v>606</v>
      </c>
      <c r="D108" s="17">
        <f t="shared" si="32"/>
        <v>250</v>
      </c>
      <c r="E108" s="179">
        <f>E109</f>
        <v>0</v>
      </c>
      <c r="F108" s="179">
        <f>F109</f>
        <v>0</v>
      </c>
      <c r="G108" s="179">
        <f>G109</f>
        <v>0</v>
      </c>
      <c r="H108" s="179">
        <f t="shared" ref="H108:M108" si="38">H109</f>
        <v>250</v>
      </c>
      <c r="I108" s="17">
        <f t="shared" si="26"/>
        <v>250</v>
      </c>
      <c r="J108" s="17">
        <f t="shared" si="38"/>
        <v>0</v>
      </c>
      <c r="K108" s="17">
        <f t="shared" si="33"/>
        <v>-119.834507</v>
      </c>
      <c r="L108" s="17">
        <f t="shared" si="34"/>
        <v>0</v>
      </c>
      <c r="M108" s="179">
        <f t="shared" si="38"/>
        <v>130.165493</v>
      </c>
      <c r="N108" s="179"/>
      <c r="O108" s="179"/>
      <c r="P108" s="17">
        <f t="shared" si="35"/>
        <v>130.165493</v>
      </c>
      <c r="Q108" s="17">
        <f t="shared" si="36"/>
        <v>130.165493</v>
      </c>
      <c r="R108" s="17"/>
      <c r="S108" s="196">
        <f t="shared" si="37"/>
        <v>-47.9338028</v>
      </c>
      <c r="T108" s="199"/>
    </row>
    <row r="109" s="131" customFormat="1" customHeight="1" spans="1:20">
      <c r="A109" s="145">
        <v>23304</v>
      </c>
      <c r="B109" s="177"/>
      <c r="C109" s="43" t="s">
        <v>1456</v>
      </c>
      <c r="D109" s="17">
        <f t="shared" si="32"/>
        <v>250</v>
      </c>
      <c r="E109" s="179">
        <f>SUM(E110:E118)</f>
        <v>0</v>
      </c>
      <c r="F109" s="179">
        <f>SUM(F110:F118)</f>
        <v>0</v>
      </c>
      <c r="G109" s="179">
        <f>SUM(G110:G118)</f>
        <v>0</v>
      </c>
      <c r="H109" s="179">
        <f>SUM(H110:H118)</f>
        <v>250</v>
      </c>
      <c r="I109" s="17">
        <f t="shared" si="26"/>
        <v>250</v>
      </c>
      <c r="J109" s="17">
        <f>J110+J111</f>
        <v>0</v>
      </c>
      <c r="K109" s="17">
        <f t="shared" si="33"/>
        <v>-119.834507</v>
      </c>
      <c r="L109" s="17">
        <f t="shared" si="34"/>
        <v>0</v>
      </c>
      <c r="M109" s="179">
        <f>M110+M111+M112</f>
        <v>130.165493</v>
      </c>
      <c r="N109" s="179"/>
      <c r="O109" s="179"/>
      <c r="P109" s="17">
        <f t="shared" si="35"/>
        <v>130.165493</v>
      </c>
      <c r="Q109" s="17">
        <f t="shared" si="36"/>
        <v>130.165493</v>
      </c>
      <c r="R109" s="17"/>
      <c r="S109" s="196">
        <f t="shared" si="37"/>
        <v>-47.9338028</v>
      </c>
      <c r="T109" s="199"/>
    </row>
    <row r="110" s="131" customFormat="1" customHeight="1" spans="1:20">
      <c r="A110" s="145">
        <v>2330411</v>
      </c>
      <c r="B110" s="177"/>
      <c r="C110" s="43" t="s">
        <v>1457</v>
      </c>
      <c r="D110" s="17">
        <f t="shared" si="32"/>
        <v>5</v>
      </c>
      <c r="E110" s="179">
        <v>0</v>
      </c>
      <c r="F110" s="179">
        <v>0</v>
      </c>
      <c r="G110" s="179">
        <v>0</v>
      </c>
      <c r="H110" s="179">
        <v>5</v>
      </c>
      <c r="I110" s="17">
        <f t="shared" si="26"/>
        <v>5</v>
      </c>
      <c r="J110" s="17"/>
      <c r="K110" s="17">
        <f t="shared" si="33"/>
        <v>-1.932903</v>
      </c>
      <c r="L110" s="17">
        <f t="shared" si="34"/>
        <v>0</v>
      </c>
      <c r="M110" s="179">
        <v>3.067097</v>
      </c>
      <c r="N110" s="179"/>
      <c r="O110" s="179"/>
      <c r="P110" s="17">
        <f t="shared" si="35"/>
        <v>3.067097</v>
      </c>
      <c r="Q110" s="17">
        <f t="shared" si="36"/>
        <v>3.067097</v>
      </c>
      <c r="R110" s="17"/>
      <c r="S110" s="196">
        <f t="shared" si="37"/>
        <v>-38.65806</v>
      </c>
      <c r="T110" s="199"/>
    </row>
    <row r="111" s="131" customFormat="1" customHeight="1" spans="1:20">
      <c r="A111" s="145">
        <v>2330431</v>
      </c>
      <c r="B111" s="177"/>
      <c r="C111" s="43" t="s">
        <v>1458</v>
      </c>
      <c r="D111" s="17">
        <f t="shared" si="32"/>
        <v>25</v>
      </c>
      <c r="E111" s="179">
        <v>0</v>
      </c>
      <c r="F111" s="179">
        <v>0</v>
      </c>
      <c r="G111" s="179">
        <v>0</v>
      </c>
      <c r="H111" s="179">
        <v>25</v>
      </c>
      <c r="I111" s="17">
        <f t="shared" si="26"/>
        <v>25</v>
      </c>
      <c r="J111" s="17"/>
      <c r="K111" s="17">
        <f t="shared" si="33"/>
        <v>-4.55124</v>
      </c>
      <c r="L111" s="17">
        <f t="shared" si="34"/>
        <v>0</v>
      </c>
      <c r="M111" s="179">
        <v>20.44876</v>
      </c>
      <c r="N111" s="179"/>
      <c r="O111" s="179"/>
      <c r="P111" s="17">
        <f t="shared" si="35"/>
        <v>20.44876</v>
      </c>
      <c r="Q111" s="17">
        <f t="shared" si="36"/>
        <v>20.44876</v>
      </c>
      <c r="R111" s="17"/>
      <c r="S111" s="196">
        <f t="shared" si="37"/>
        <v>-18.20496</v>
      </c>
      <c r="T111" s="199"/>
    </row>
    <row r="112" s="131" customFormat="1" customHeight="1" spans="1:20">
      <c r="A112" s="145">
        <v>2330498</v>
      </c>
      <c r="B112" s="177"/>
      <c r="C112" s="43" t="s">
        <v>1459</v>
      </c>
      <c r="D112" s="17">
        <f t="shared" si="32"/>
        <v>220</v>
      </c>
      <c r="E112" s="179">
        <v>0</v>
      </c>
      <c r="F112" s="179">
        <v>0</v>
      </c>
      <c r="G112" s="179">
        <v>0</v>
      </c>
      <c r="H112" s="179">
        <v>220</v>
      </c>
      <c r="I112" s="17">
        <f t="shared" si="26"/>
        <v>220</v>
      </c>
      <c r="J112" s="17"/>
      <c r="K112" s="17">
        <f t="shared" si="33"/>
        <v>-113.350364</v>
      </c>
      <c r="L112" s="17">
        <f t="shared" si="34"/>
        <v>0</v>
      </c>
      <c r="M112" s="179">
        <v>106.649636</v>
      </c>
      <c r="N112" s="179"/>
      <c r="O112" s="179"/>
      <c r="P112" s="17">
        <f t="shared" si="35"/>
        <v>106.649636</v>
      </c>
      <c r="Q112" s="17">
        <f t="shared" si="36"/>
        <v>106.649636</v>
      </c>
      <c r="R112" s="17"/>
      <c r="S112" s="196">
        <f t="shared" si="37"/>
        <v>-51.5228927272727</v>
      </c>
      <c r="T112" s="199"/>
    </row>
    <row r="113" s="159" customFormat="1" ht="25" hidden="1" customHeight="1" spans="1:20">
      <c r="A113" s="204" t="s">
        <v>1460</v>
      </c>
      <c r="B113" s="205"/>
      <c r="C113" s="206" t="s">
        <v>1461</v>
      </c>
      <c r="D113" s="179">
        <f t="shared" ref="D113:D118" si="39">+I113+J113</f>
        <v>0</v>
      </c>
      <c r="E113" s="175">
        <v>0</v>
      </c>
      <c r="F113" s="175">
        <v>0</v>
      </c>
      <c r="G113" s="175">
        <v>0</v>
      </c>
      <c r="H113" s="175">
        <v>0</v>
      </c>
      <c r="I113" s="176">
        <f t="shared" si="26"/>
        <v>0</v>
      </c>
      <c r="J113" s="179"/>
      <c r="K113" s="179"/>
      <c r="L113" s="179"/>
      <c r="M113" s="179"/>
      <c r="N113" s="179"/>
      <c r="O113" s="179"/>
      <c r="P113" s="179"/>
      <c r="Q113" s="179"/>
      <c r="R113" s="179"/>
      <c r="S113" s="200" t="e">
        <f>IF(#REF!=0,IF(D113=0,0,100),100*(D113/#REF!-1))</f>
        <v>#REF!</v>
      </c>
      <c r="T113" s="93"/>
    </row>
    <row r="114" s="159" customFormat="1" ht="25" hidden="1" customHeight="1" spans="1:20">
      <c r="A114" s="204" t="s">
        <v>1462</v>
      </c>
      <c r="B114" s="205"/>
      <c r="C114" s="206" t="s">
        <v>1463</v>
      </c>
      <c r="D114" s="179">
        <f t="shared" si="39"/>
        <v>0</v>
      </c>
      <c r="E114" s="175">
        <v>0</v>
      </c>
      <c r="F114" s="175">
        <v>0</v>
      </c>
      <c r="G114" s="175">
        <v>0</v>
      </c>
      <c r="H114" s="175">
        <v>0</v>
      </c>
      <c r="I114" s="176">
        <f t="shared" si="26"/>
        <v>0</v>
      </c>
      <c r="J114" s="179"/>
      <c r="K114" s="179"/>
      <c r="L114" s="179"/>
      <c r="M114" s="179"/>
      <c r="N114" s="179"/>
      <c r="O114" s="179"/>
      <c r="P114" s="179"/>
      <c r="Q114" s="179"/>
      <c r="R114" s="179"/>
      <c r="S114" s="200" t="e">
        <f>IF(#REF!=0,IF(D114=0,0,100),100*(D114/#REF!-1))</f>
        <v>#REF!</v>
      </c>
      <c r="T114" s="93"/>
    </row>
    <row r="115" s="159" customFormat="1" ht="25" hidden="1" customHeight="1" spans="1:20">
      <c r="A115" s="204" t="s">
        <v>1464</v>
      </c>
      <c r="B115" s="205"/>
      <c r="C115" s="206" t="s">
        <v>1465</v>
      </c>
      <c r="D115" s="179">
        <f t="shared" si="39"/>
        <v>0</v>
      </c>
      <c r="E115" s="175">
        <v>0</v>
      </c>
      <c r="F115" s="175">
        <v>0</v>
      </c>
      <c r="G115" s="175">
        <v>0</v>
      </c>
      <c r="H115" s="175">
        <v>0</v>
      </c>
      <c r="I115" s="176">
        <f t="shared" si="26"/>
        <v>0</v>
      </c>
      <c r="J115" s="179"/>
      <c r="K115" s="179"/>
      <c r="L115" s="179"/>
      <c r="M115" s="179"/>
      <c r="N115" s="179"/>
      <c r="O115" s="179"/>
      <c r="P115" s="179"/>
      <c r="Q115" s="179"/>
      <c r="R115" s="179"/>
      <c r="S115" s="200" t="e">
        <f>IF(#REF!=0,IF(D115=0,0,100),100*(D115/#REF!-1))</f>
        <v>#REF!</v>
      </c>
      <c r="T115" s="93"/>
    </row>
    <row r="116" s="159" customFormat="1" ht="25" hidden="1" customHeight="1" spans="1:20">
      <c r="A116" s="204" t="s">
        <v>1466</v>
      </c>
      <c r="B116" s="205"/>
      <c r="C116" s="206" t="s">
        <v>1467</v>
      </c>
      <c r="D116" s="179">
        <f t="shared" si="39"/>
        <v>0</v>
      </c>
      <c r="E116" s="175">
        <v>0</v>
      </c>
      <c r="F116" s="175">
        <v>0</v>
      </c>
      <c r="G116" s="175">
        <v>0</v>
      </c>
      <c r="H116" s="175">
        <v>0</v>
      </c>
      <c r="I116" s="176">
        <f t="shared" si="26"/>
        <v>0</v>
      </c>
      <c r="J116" s="179"/>
      <c r="K116" s="179"/>
      <c r="L116" s="179"/>
      <c r="M116" s="179"/>
      <c r="N116" s="179"/>
      <c r="O116" s="179"/>
      <c r="P116" s="179"/>
      <c r="Q116" s="179"/>
      <c r="R116" s="179"/>
      <c r="S116" s="200" t="e">
        <f>IF(#REF!=0,IF(D116=0,0,100),100*(D116/#REF!-1))</f>
        <v>#REF!</v>
      </c>
      <c r="T116" s="93"/>
    </row>
    <row r="117" s="159" customFormat="1" ht="25" hidden="1" customHeight="1" spans="1:20">
      <c r="A117" s="204" t="s">
        <v>1468</v>
      </c>
      <c r="B117" s="205"/>
      <c r="C117" s="206" t="s">
        <v>1469</v>
      </c>
      <c r="D117" s="179">
        <f t="shared" si="39"/>
        <v>0</v>
      </c>
      <c r="E117" s="175">
        <v>0</v>
      </c>
      <c r="F117" s="175">
        <v>0</v>
      </c>
      <c r="G117" s="175">
        <v>0</v>
      </c>
      <c r="H117" s="175">
        <v>0</v>
      </c>
      <c r="I117" s="176">
        <f t="shared" si="26"/>
        <v>0</v>
      </c>
      <c r="J117" s="179"/>
      <c r="K117" s="179"/>
      <c r="L117" s="179"/>
      <c r="M117" s="179"/>
      <c r="N117" s="179"/>
      <c r="O117" s="179"/>
      <c r="P117" s="179"/>
      <c r="Q117" s="179"/>
      <c r="R117" s="179"/>
      <c r="S117" s="200" t="e">
        <f>IF(#REF!=0,IF(D117=0,0,100),100*(D117/#REF!-1))</f>
        <v>#REF!</v>
      </c>
      <c r="T117" s="93"/>
    </row>
    <row r="118" s="159" customFormat="1" ht="25" hidden="1" customHeight="1" spans="1:20">
      <c r="A118" s="204" t="s">
        <v>1470</v>
      </c>
      <c r="B118" s="205"/>
      <c r="C118" s="206" t="s">
        <v>1471</v>
      </c>
      <c r="D118" s="179">
        <f t="shared" si="39"/>
        <v>0</v>
      </c>
      <c r="E118" s="175">
        <v>0</v>
      </c>
      <c r="F118" s="175">
        <v>0</v>
      </c>
      <c r="G118" s="175">
        <v>0</v>
      </c>
      <c r="H118" s="175">
        <v>0</v>
      </c>
      <c r="I118" s="176">
        <f t="shared" si="26"/>
        <v>0</v>
      </c>
      <c r="J118" s="179"/>
      <c r="K118" s="179"/>
      <c r="L118" s="179"/>
      <c r="M118" s="179"/>
      <c r="N118" s="179"/>
      <c r="O118" s="179"/>
      <c r="P118" s="179"/>
      <c r="Q118" s="179"/>
      <c r="R118" s="179"/>
      <c r="S118" s="200" t="e">
        <f>IF(#REF!=0,IF(D118=0,0,100),100*(D118/#REF!-1))</f>
        <v>#REF!</v>
      </c>
      <c r="T118" s="93"/>
    </row>
    <row r="119" s="131" customFormat="1" customHeight="1" spans="1:20">
      <c r="A119" s="207" t="s">
        <v>1472</v>
      </c>
      <c r="B119" s="208"/>
      <c r="C119" s="209"/>
      <c r="D119" s="64">
        <f>D6+D10+D13+D19++D57+D66+D69+D74+D77+D94+D98+D103+D108+D113</f>
        <v>270763.560809</v>
      </c>
      <c r="E119" s="210">
        <f t="shared" ref="E119:R119" si="40">E6+E10+E13+E19++E57+E66+E69+E74+E77+E94+E98+E103+E108+E113</f>
        <v>2866.5326</v>
      </c>
      <c r="F119" s="210">
        <f t="shared" si="40"/>
        <v>4823.41</v>
      </c>
      <c r="G119" s="210">
        <f t="shared" si="40"/>
        <v>19407</v>
      </c>
      <c r="H119" s="210">
        <f t="shared" si="40"/>
        <v>243157.618209</v>
      </c>
      <c r="I119" s="64">
        <f t="shared" si="40"/>
        <v>270254.560809</v>
      </c>
      <c r="J119" s="64">
        <f t="shared" si="40"/>
        <v>509</v>
      </c>
      <c r="K119" s="64">
        <f t="shared" si="40"/>
        <v>-23020.877604</v>
      </c>
      <c r="L119" s="64">
        <f t="shared" si="40"/>
        <v>-247.46</v>
      </c>
      <c r="M119" s="211">
        <f t="shared" si="40"/>
        <v>111365.233205</v>
      </c>
      <c r="N119" s="211">
        <f t="shared" si="40"/>
        <v>115000</v>
      </c>
      <c r="O119" s="211">
        <f t="shared" si="40"/>
        <v>1461.45</v>
      </c>
      <c r="P119" s="64">
        <f t="shared" si="40"/>
        <v>247495.223205</v>
      </c>
      <c r="Q119" s="64">
        <f t="shared" si="40"/>
        <v>247233.683205</v>
      </c>
      <c r="R119" s="64">
        <f t="shared" si="40"/>
        <v>261.54</v>
      </c>
      <c r="S119" s="196">
        <f>IF(D119=0,IF(P119=0,0,100),100*(P119/D119-1))</f>
        <v>-8.59360008949423</v>
      </c>
      <c r="T119" s="199"/>
    </row>
    <row r="120" s="131" customFormat="1" customHeight="1" spans="1:19">
      <c r="A120" s="160"/>
      <c r="B120" s="161"/>
      <c r="E120" s="162"/>
      <c r="F120" s="162"/>
      <c r="G120" s="162"/>
      <c r="H120" s="162"/>
      <c r="M120" s="159"/>
      <c r="N120" s="159"/>
      <c r="O120" s="159"/>
      <c r="S120" s="163"/>
    </row>
    <row r="121" s="131" customFormat="1" customHeight="1" spans="1:19">
      <c r="A121" s="160"/>
      <c r="B121" s="161"/>
      <c r="E121" s="162"/>
      <c r="F121" s="162"/>
      <c r="G121" s="162"/>
      <c r="H121" s="162"/>
      <c r="M121" s="159"/>
      <c r="N121" s="159"/>
      <c r="O121" s="159"/>
      <c r="S121" s="163"/>
    </row>
    <row r="122" s="131" customFormat="1" customHeight="1" spans="1:19">
      <c r="A122" s="160"/>
      <c r="B122" s="161"/>
      <c r="E122" s="162"/>
      <c r="F122" s="162"/>
      <c r="G122" s="162"/>
      <c r="H122" s="162"/>
      <c r="M122" s="159"/>
      <c r="N122" s="159"/>
      <c r="O122" s="159"/>
      <c r="S122" s="163"/>
    </row>
  </sheetData>
  <autoFilter xmlns:etc="http://www.wps.cn/officeDocument/2017/etCustomData" ref="A5:XFD119" etc:filterBottomFollowUsedRange="0">
    <filterColumn colId="0">
      <colorFilter dxfId="0"/>
    </filterColumn>
    <extLst/>
  </autoFilter>
  <mergeCells count="10">
    <mergeCell ref="A2:T2"/>
    <mergeCell ref="D4:J4"/>
    <mergeCell ref="K4:L4"/>
    <mergeCell ref="M4:O4"/>
    <mergeCell ref="P4:R4"/>
    <mergeCell ref="A119:C119"/>
    <mergeCell ref="A4:A5"/>
    <mergeCell ref="C4:C5"/>
    <mergeCell ref="S4:S5"/>
    <mergeCell ref="T4:T5"/>
  </mergeCells>
  <printOptions horizontalCentered="1"/>
  <pageMargins left="0.393055555555556" right="0.393055555555556" top="0.590277777777778" bottom="0.590277777777778" header="0.196527777777778" footer="0.196527777777778"/>
  <pageSetup paperSize="9" scale="74" fitToHeight="0" orientation="landscape" horizontalDpi="600"/>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6 0 " > < c o m m e n t   s : r e f = " C 3 7 "   r g b C l r = " 7 3 C 9 4 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（附表1）一般公共预算收入</vt:lpstr>
      <vt:lpstr>（附表2）一般公共预算支出科目</vt:lpstr>
      <vt:lpstr>（附表3）一般公共预算支出项目</vt:lpstr>
      <vt:lpstr>（附表4）财力</vt:lpstr>
      <vt:lpstr>（附表5）政府性基金预算收入科目</vt:lpstr>
      <vt:lpstr>（附表6）政府性基金预算收入项目</vt:lpstr>
      <vt:lpstr>（附表7）政府性基金预算支出科目</vt:lpstr>
      <vt:lpstr>（附表8）政府性基金预算支出项目</vt:lpstr>
      <vt:lpstr>（附表9）国有资本经营收入</vt:lpstr>
      <vt:lpstr>（附表10）国有资本经营支出</vt:lpstr>
      <vt:lpstr>（附表11）社会保险基金收入</vt:lpstr>
      <vt:lpstr>（附表12）社会保险基金支出</vt:lpstr>
      <vt:lpstr>（附表13）新增债券资金年限利率</vt:lpstr>
      <vt:lpstr>（附表14）新增债券资金分配</vt:lpstr>
      <vt:lpstr>（附表15）新增债券资金用途调整</vt:lpstr>
      <vt:lpstr>（附表16）盘活资金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大云朵</cp:lastModifiedBy>
  <cp:revision>1</cp:revision>
  <dcterms:created xsi:type="dcterms:W3CDTF">1996-12-17T01:32:00Z</dcterms:created>
  <cp:lastPrinted>2019-03-01T08:48:00Z</cp:lastPrinted>
  <dcterms:modified xsi:type="dcterms:W3CDTF">2024-09-30T10:46:29Z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vt:lpwstr>14</vt:lpwstr>
  </property>
  <property fmtid="{D5CDD505-2E9C-101B-9397-08002B2CF9AE}" pid="4" name="ICV">
    <vt:lpwstr>53563D2F83B843AA94E9669FD2AA11C9_13</vt:lpwstr>
  </property>
  <property fmtid="{D5CDD505-2E9C-101B-9397-08002B2CF9AE}" pid="5" name="KSOReadingLayout">
    <vt:bool>true</vt:bool>
  </property>
</Properties>
</file>