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675" tabRatio="856" activeTab="4"/>
  </bookViews>
  <sheets>
    <sheet name="封面" sheetId="94" r:id="rId1"/>
    <sheet name="目录" sheetId="105" r:id="rId2"/>
    <sheet name="（附表1）公共财政预算收入" sheetId="80" r:id="rId3"/>
    <sheet name="（附表2）公共预算支出科目" sheetId="104" r:id="rId4"/>
    <sheet name="（附表3）公共预算支出项目" sheetId="95" r:id="rId5"/>
    <sheet name="（附表4）财力性补助" sheetId="106" r:id="rId6"/>
    <sheet name="（附表5）政府性基金预算收入科目" sheetId="103" r:id="rId7"/>
    <sheet name="（附表6）政府性基金预算收入项目" sheetId="102" r:id="rId8"/>
    <sheet name="（附表7）政府性基金支出科目" sheetId="101" r:id="rId9"/>
    <sheet name="（附表8）政府性基金预算支出项目" sheetId="100" r:id="rId10"/>
    <sheet name="（附表9）社会保险基金收入表" sheetId="97" r:id="rId11"/>
    <sheet name="（附表10）社会保险基金支出表" sheetId="98" r:id="rId12"/>
    <sheet name="（附表11）新增债券资金用途" sheetId="99"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s>
  <definedNames>
    <definedName name="_xlnm._FilterDatabase" localSheetId="3" hidden="1">'（附表2）公共预算支出科目'!$A$5:$N$437</definedName>
    <definedName name="_xlnm._FilterDatabase" localSheetId="4" hidden="1">'（附表3）公共预算支出项目'!$A$5:$K$868</definedName>
    <definedName name="_xlnm._FilterDatabase" localSheetId="8" hidden="1">'（附表7）政府性基金支出科目'!$5:$112</definedName>
    <definedName name="_xlnm._FilterDatabase" localSheetId="12" hidden="1">'（附表11）新增债券资金用途'!$A$5:$R$8</definedName>
    <definedName name="\q">[1]国家!#REF!</definedName>
    <definedName name="\w">[2]国家!#REF!</definedName>
    <definedName name="\z">[3]中央!#REF!</definedName>
    <definedName name="\zz">[4]中央!#REF!</definedName>
    <definedName name="_123">OFFSET(#REF!,,,COUNTA(#REF!)-1)</definedName>
    <definedName name="_xlnm._FilterDatabase" localSheetId="2" hidden="1">'（附表1）公共财政预算收入'!$A$7:$K$49</definedName>
    <definedName name="_Order1" hidden="1">255</definedName>
    <definedName name="_Order2" hidden="1">255</definedName>
    <definedName name="a">#REF!</definedName>
    <definedName name="aa">#REF!</definedName>
    <definedName name="aaa">[3]中央!#REF!</definedName>
    <definedName name="aaaagfdsafsd">#N/A</definedName>
    <definedName name="ABC">#REF!</definedName>
    <definedName name="ABD">#REF!</definedName>
    <definedName name="AccessDatabase" hidden="1">"D:\文_件\省长专项\2000省长专项审批.mdb"</definedName>
    <definedName name="addsdsads">#N/A</definedName>
    <definedName name="adsafs">#N/A</definedName>
    <definedName name="adsdsaas">#N/A</definedName>
    <definedName name="agasdgaksdk">#N/A</definedName>
    <definedName name="agsdsawae">#N/A</definedName>
    <definedName name="ajgfdajfajd">#N/A</definedName>
    <definedName name="asda">#N/A</definedName>
    <definedName name="asdfas">#N/A</definedName>
    <definedName name="asdfasf">#N/A</definedName>
    <definedName name="asdfkaskfda">#N/A</definedName>
    <definedName name="asdg\">#N/A</definedName>
    <definedName name="asdga">#N/A</definedName>
    <definedName name="asdgadsf">#N/A</definedName>
    <definedName name="asdgadsfa">#N/A</definedName>
    <definedName name="asdgas">#N/A</definedName>
    <definedName name="asdgasdfc">#N/A</definedName>
    <definedName name="asdgasfd">#N/A</definedName>
    <definedName name="asdgf">#N/A</definedName>
    <definedName name="asdgfdsafa">#N/A</definedName>
    <definedName name="asdgha">#N/A</definedName>
    <definedName name="asfdfdsfdsg">#N/A</definedName>
    <definedName name="asfdfdw">#N/A</definedName>
    <definedName name="asfsfga">#N/A</definedName>
    <definedName name="asgafaf">#N/A</definedName>
    <definedName name="asgasfda">#N/A</definedName>
    <definedName name="asgasfdaf">#N/A</definedName>
    <definedName name="asgasfdsad">#N/A</definedName>
    <definedName name="asjfda">#N/A</definedName>
    <definedName name="bizhong">[2]国家!#REF!</definedName>
    <definedName name="county">#REF!</definedName>
    <definedName name="da">#N/A</definedName>
    <definedName name="dadaf">#N/A</definedName>
    <definedName name="dads">#N/A</definedName>
    <definedName name="daggaga">#N/A</definedName>
    <definedName name="dasdfasd">#N/A</definedName>
    <definedName name="data">#REF!</definedName>
    <definedName name="Database">[5]PKx!$A$1:$AP$622</definedName>
    <definedName name="database2">#REF!</definedName>
    <definedName name="database3">#REF!</definedName>
    <definedName name="dd">#N/A</definedName>
    <definedName name="ddad">#N/A</definedName>
    <definedName name="ddagagsgdsa">#N/A</definedName>
    <definedName name="ddd">#REF!</definedName>
    <definedName name="dddd">[6]人民银行!#REF!</definedName>
    <definedName name="dddsaga">#N/A</definedName>
    <definedName name="dddsagsa">#N/A</definedName>
    <definedName name="ddsadafs">#N/A</definedName>
    <definedName name="ddsass">#N/A</definedName>
    <definedName name="dfadfsfds">#N/A</definedName>
    <definedName name="dfadsaf">#N/A</definedName>
    <definedName name="dfadsas">#N/A</definedName>
    <definedName name="dfasfw">#N/A</definedName>
    <definedName name="dfasggasf">#N/A</definedName>
    <definedName name="dfaxc">#N/A</definedName>
    <definedName name="dfjajsfd">#N/A</definedName>
    <definedName name="dfwaa">#N/A</definedName>
    <definedName name="dgadsfd">#N/A</definedName>
    <definedName name="dgafk">#N/A</definedName>
    <definedName name="dgafsj">#N/A</definedName>
    <definedName name="dgah">#N/A</definedName>
    <definedName name="dgasdfa">#N/A</definedName>
    <definedName name="dgasdhf">#N/A</definedName>
    <definedName name="dghadfha">#N/A</definedName>
    <definedName name="dghadhf">#N/A</definedName>
    <definedName name="dgkgfkdsafka">#N/A</definedName>
    <definedName name="djfadsjf">#N/A</definedName>
    <definedName name="djfajdsf">#N/A</definedName>
    <definedName name="djfajdsfj">#N/A</definedName>
    <definedName name="djfjadsfja">#N/A</definedName>
    <definedName name="djfjadsjfw">#N/A</definedName>
    <definedName name="djfjdafjas">#N/A</definedName>
    <definedName name="djfjdafsja">#N/A</definedName>
    <definedName name="djfjdsafjs">#N/A</definedName>
    <definedName name="djfjdsaj">#N/A</definedName>
    <definedName name="djjdjjd">#N/A</definedName>
    <definedName name="djjjafjas">#N/A</definedName>
    <definedName name="djllfjasfd">#N/A</definedName>
    <definedName name="drafd">#N/A</definedName>
    <definedName name="dsaasagf">#N/A</definedName>
    <definedName name="dsadsadsa">#N/A</definedName>
    <definedName name="dsadsafag">#N/A</definedName>
    <definedName name="dsadshf">#N/A</definedName>
    <definedName name="dsafdfdgas">#N/A</definedName>
    <definedName name="dsafdfdsfds">#N/A</definedName>
    <definedName name="dsafdsafdsa">#N/A</definedName>
    <definedName name="dsaffdsa">#N/A</definedName>
    <definedName name="dsagagw">#N/A</definedName>
    <definedName name="dsagas">#N/A</definedName>
    <definedName name="dsagasfwq">#N/A</definedName>
    <definedName name="dsagqf">#N/A</definedName>
    <definedName name="dsccc">#N/A</definedName>
    <definedName name="dsdaa">#N/A</definedName>
    <definedName name="dsdsaddsa">#N/A</definedName>
    <definedName name="dsdsagggf">#N/A</definedName>
    <definedName name="dsfacx">#N/A</definedName>
    <definedName name="dsfag">#N/A</definedName>
    <definedName name="dsfasf">#N/A</definedName>
    <definedName name="dsfdcc">#N/A</definedName>
    <definedName name="dsfdsaga">#N/A</definedName>
    <definedName name="dsffadsgad">#N/A</definedName>
    <definedName name="dsffdsafdas">#N/A</definedName>
    <definedName name="dsfggsa">#N/A</definedName>
    <definedName name="dsfkadskf">#N/A</definedName>
    <definedName name="dsfwfxx">#N/A</definedName>
    <definedName name="dsgadsfa">#N/A</definedName>
    <definedName name="dsgafsafd">#N/A</definedName>
    <definedName name="dsgagas">#N/A</definedName>
    <definedName name="dsgasdf">#N/A</definedName>
    <definedName name="dsgdas">#N/A</definedName>
    <definedName name="dsgdsagfdsag">#N/A</definedName>
    <definedName name="dsggasfd">#N/A</definedName>
    <definedName name="dsggassddd">#N/A</definedName>
    <definedName name="dsjgakdsf">#N/A</definedName>
    <definedName name="dssasaww">#N/A</definedName>
    <definedName name="f">[7]项目类型!$F$3:$F$75</definedName>
    <definedName name="FAMERangeexchebAD12">#REF!</definedName>
    <definedName name="FAMERangeirsAD12">#REF!</definedName>
    <definedName name="FAMERangeMGSV">#REF!</definedName>
    <definedName name="FAMERangeMGSVAB10">#REF!</definedName>
    <definedName name="FAMERangeMGSVAB11">#REF!</definedName>
    <definedName name="FAMERangeMGSVAB12">#REF!</definedName>
    <definedName name="FAMERangeMGSVAB13">#REF!</definedName>
    <definedName name="FAMERangeMGSVAB14">#REF!</definedName>
    <definedName name="FAMERangeMGSVAB15">#REF!</definedName>
    <definedName name="FAMERangeMGSVAB16">#REF!</definedName>
    <definedName name="FAMERangeMGSVAB17">#REF!</definedName>
    <definedName name="FAMERangeMGSVAB18">#REF!</definedName>
    <definedName name="FAMERangeMGSVAB19">#REF!</definedName>
    <definedName name="FAMERangeMGSVAB20">#REF!</definedName>
    <definedName name="FAMERangeMGSVAB21">#REF!</definedName>
    <definedName name="FAMERangeMGSVAB22">#REF!</definedName>
    <definedName name="FAMERangeMGSVAB23">#REF!</definedName>
    <definedName name="FAMERangeMGSVAB24">#REF!</definedName>
    <definedName name="FAMERangeMGSVAB25">#REF!</definedName>
    <definedName name="FAMERangeMGSVAB26">#REF!</definedName>
    <definedName name="FAMERangeMGSVAB27">#REF!</definedName>
    <definedName name="FAMERangeMGSVAB28">#REF!</definedName>
    <definedName name="FAMERangeMGSVAB29">#REF!</definedName>
    <definedName name="FAMERangeMGSVAB30">#REF!</definedName>
    <definedName name="FAMERangeMGSVAB31">#REF!</definedName>
    <definedName name="FAMERangeMGSVAB32">#REF!</definedName>
    <definedName name="FAMERangeMGSVAB33">#REF!</definedName>
    <definedName name="FAMERangeMGSVAB34">#REF!</definedName>
    <definedName name="FAMERangeMGSVAB35">#REF!</definedName>
    <definedName name="FAMERangeMGSVAB36">#REF!</definedName>
    <definedName name="FAMERangeMGSVAB38">#REF!</definedName>
    <definedName name="FAMERangeMGSVAB5">#REF!</definedName>
    <definedName name="FAMERangeMGSVAB6">#REF!</definedName>
    <definedName name="FAMERangeMGSVAB7">#REF!</definedName>
    <definedName name="FAMERangeMGSVAB8">#REF!</definedName>
    <definedName name="FAMERangeMGSVAB9">#REF!</definedName>
    <definedName name="FAMERangeMGSVAC10">#REF!</definedName>
    <definedName name="FAMERangeMGSVAC11">#REF!</definedName>
    <definedName name="FAMERangeMGSVAC12">#REF!</definedName>
    <definedName name="FAMERangeMGSVAC13">#REF!</definedName>
    <definedName name="FAMERangeMGSVAC14">#REF!</definedName>
    <definedName name="FAMERangeMGSVAC15">#REF!</definedName>
    <definedName name="FAMERangeMGSVAC16">#REF!</definedName>
    <definedName name="FAMERangeMGSVAC17">#REF!</definedName>
    <definedName name="FAMERangeMGSVAC18">#REF!</definedName>
    <definedName name="FAMERangeMGSVAC19">#REF!</definedName>
    <definedName name="FAMERangeMGSVAC20">#REF!</definedName>
    <definedName name="FAMERangeMGSVAC21">#REF!</definedName>
    <definedName name="FAMERangeMGSVAC22">#REF!</definedName>
    <definedName name="FAMERangeMGSVAC23">#REF!</definedName>
    <definedName name="FAMERangeMGSVAC24">#REF!</definedName>
    <definedName name="FAMERangeMGSVAC25">#REF!</definedName>
    <definedName name="FAMERangeMGSVAC26">#REF!</definedName>
    <definedName name="FAMERangeMGSVAC27">#REF!</definedName>
    <definedName name="FAMERangeMGSVAC28">#REF!</definedName>
    <definedName name="FAMERangeMGSVAC29">#REF!</definedName>
    <definedName name="FAMERangeMGSVAC30">#REF!</definedName>
    <definedName name="FAMERangeMGSVAC31">#REF!</definedName>
    <definedName name="FAMERangeMGSVAC32">#REF!</definedName>
    <definedName name="FAMERangeMGSVAC33">#REF!</definedName>
    <definedName name="FAMERangeMGSVAC34">#REF!</definedName>
    <definedName name="FAMERangeMGSVAC35">#REF!</definedName>
    <definedName name="FAMERangeMGSVAC36">#REF!</definedName>
    <definedName name="FAMERangeMGSVAC38">#REF!</definedName>
    <definedName name="FAMERangeMGSVAC5">#REF!</definedName>
    <definedName name="FAMERangeMGSVAC6">#REF!</definedName>
    <definedName name="FAMERangeMGSVAC7">#REF!</definedName>
    <definedName name="FAMERangeMGSVAC8">#REF!</definedName>
    <definedName name="FAMERangeMGSVAC9">#REF!</definedName>
    <definedName name="FAMERangeMGSVAD10">#REF!</definedName>
    <definedName name="FAMERangeMGSVAD11">#REF!</definedName>
    <definedName name="FAMERangeMGSVAD12">#REF!</definedName>
    <definedName name="FAMERangeMGSVAD13">#REF!</definedName>
    <definedName name="FAMERangeMGSVAD14">#REF!</definedName>
    <definedName name="FAMERangeMGSVAD15">#REF!</definedName>
    <definedName name="FAMERangeMGSVAD16">#REF!</definedName>
    <definedName name="FAMERangeMGSVAD17">#REF!</definedName>
    <definedName name="FAMERangeMGSVAD18">#REF!</definedName>
    <definedName name="FAMERangeMGSVAD19">#REF!</definedName>
    <definedName name="FAMERangeMGSVAD20">#REF!</definedName>
    <definedName name="FAMERangeMGSVAD21">#REF!</definedName>
    <definedName name="FAMERangeMGSVAD22">#REF!</definedName>
    <definedName name="FAMERangeMGSVAD23">#REF!</definedName>
    <definedName name="FAMERangeMGSVAD24">#REF!</definedName>
    <definedName name="FAMERangeMGSVAD25">#REF!</definedName>
    <definedName name="FAMERangeMGSVAD26">#REF!</definedName>
    <definedName name="FAMERangeMGSVAD27">#REF!</definedName>
    <definedName name="FAMERangeMGSVAD28">#REF!</definedName>
    <definedName name="FAMERangeMGSVAD29">#REF!</definedName>
    <definedName name="FAMERangeMGSVAD30">#REF!</definedName>
    <definedName name="FAMERangeMGSVAD31">#REF!</definedName>
    <definedName name="FAMERangeMGSVAD32">#REF!</definedName>
    <definedName name="FAMERangeMGSVAD33">#REF!</definedName>
    <definedName name="FAMERangeMGSVAD34">#REF!</definedName>
    <definedName name="FAMERangeMGSVAD35">#REF!</definedName>
    <definedName name="FAMERangeMGSVAD36">#REF!</definedName>
    <definedName name="FAMERangeMGSVAD38">#REF!</definedName>
    <definedName name="FAMERangeMGSVAD5">#REF!</definedName>
    <definedName name="FAMERangeMGSVAD6">#REF!</definedName>
    <definedName name="FAMERangeMGSVAD7">#REF!</definedName>
    <definedName name="FAMERangeMGSVAD8">#REF!</definedName>
    <definedName name="FAMERangeMGSVAD9">#REF!</definedName>
    <definedName name="fdsafdsafdsa">#N/A</definedName>
    <definedName name="fdsafdsafdsfdsa">#N/A</definedName>
    <definedName name="fdsafdsfdsafdsa">#N/A</definedName>
    <definedName name="fdsfdsafdcdx">#N/A</definedName>
    <definedName name="fdsfdsafdfdsa">#N/A</definedName>
    <definedName name="ffdfdsaafds">#N/A</definedName>
    <definedName name="fjafjs">#N/A</definedName>
    <definedName name="fjajsfdja">#N/A</definedName>
    <definedName name="fjdajsdjfa">#N/A</definedName>
    <definedName name="fjjafsjaj">#N/A</definedName>
    <definedName name="fjsldkfjsdljflsdkjf">#REF!</definedName>
    <definedName name="fsa">#N/A</definedName>
    <definedName name="fsafffdsfdsa">#N/A</definedName>
    <definedName name="fsafsdfdsa">#N/A</definedName>
    <definedName name="gadsfawe">#N/A</definedName>
    <definedName name="gafsafas">#N/A</definedName>
    <definedName name="gagssd">#N/A</definedName>
    <definedName name="gasdgfasgas">#N/A</definedName>
    <definedName name="gfagajfas">#N/A</definedName>
    <definedName name="ggasfdasf">#N/A</definedName>
    <definedName name="gxxe2003">'[8]P1012001'!$A$6:$E$117</definedName>
    <definedName name="gxxe20032">'[9]P1012001'!$A$6:$E$117</definedName>
    <definedName name="hhhh">#REF!</definedName>
    <definedName name="jdfajsfdj">#N/A</definedName>
    <definedName name="jdjfadsjf">#N/A</definedName>
    <definedName name="jjgajsdfjasd">#N/A</definedName>
    <definedName name="kdfkasj">#N/A</definedName>
    <definedName name="kgak">#N/A</definedName>
    <definedName name="kkkk">#REF!</definedName>
    <definedName name="Print_Area_MI">#REF!</definedName>
    <definedName name="_xlnm.Print_Titles" localSheetId="2">'（附表1）公共财政预算收入'!$1:$6</definedName>
    <definedName name="qqqqqqqqqqqqqqqqqqqqqqq">#REF!</definedName>
    <definedName name="saagasf">#N/A</definedName>
    <definedName name="sadfaffdas">#N/A</definedName>
    <definedName name="sadfas">#N/A</definedName>
    <definedName name="sadfasdf">#N/A</definedName>
    <definedName name="sadffdag">#N/A</definedName>
    <definedName name="sadgafasdd">#N/A</definedName>
    <definedName name="sadgafasfd">#N/A</definedName>
    <definedName name="sadgafsdwa">#N/A</definedName>
    <definedName name="sadgasfdwad">#N/A</definedName>
    <definedName name="sadgfsafda">#N/A</definedName>
    <definedName name="sadjfajfds">#N/A</definedName>
    <definedName name="sadsaga">#N/A</definedName>
    <definedName name="safdafsd">#N/A</definedName>
    <definedName name="saffdsafdsafds">#N/A</definedName>
    <definedName name="sagadfx">#N/A</definedName>
    <definedName name="sagafafd">#N/A</definedName>
    <definedName name="sagasdfasdf">#N/A</definedName>
    <definedName name="sdafg">#N/A</definedName>
    <definedName name="sdd">#N/A</definedName>
    <definedName name="sddfsadgas">#N/A</definedName>
    <definedName name="sdfadsfxf">#N/A</definedName>
    <definedName name="sdfas">#N/A</definedName>
    <definedName name="sdfascx">#N/A</definedName>
    <definedName name="sdfasdg">#N/A</definedName>
    <definedName name="sdfasdgas">#N/A</definedName>
    <definedName name="sdfasfdaga">#N/A</definedName>
    <definedName name="sdfdasdf">#N/A</definedName>
    <definedName name="sdfkasfka">#N/A</definedName>
    <definedName name="sdfsdafaw">#N/A</definedName>
    <definedName name="sdgaasd">#N/A</definedName>
    <definedName name="sdgadsfasf">#N/A</definedName>
    <definedName name="sdgafs">#N/A</definedName>
    <definedName name="sdgasd">#N/A</definedName>
    <definedName name="sdgasdf">#N/A</definedName>
    <definedName name="sdgasdfasfd">#N/A</definedName>
    <definedName name="sdgasfa">#N/A</definedName>
    <definedName name="sdgdaga">#N/A</definedName>
    <definedName name="sdgdasfasdf">#N/A</definedName>
    <definedName name="sdgfw">#N/A</definedName>
    <definedName name="sdsaaa">#N/A</definedName>
    <definedName name="sdsfccxxx">#N/A</definedName>
    <definedName name="sfdsafdfdsa">#N/A</definedName>
    <definedName name="sfdsafdsaafds">#N/A</definedName>
    <definedName name="sfsadd">#N/A</definedName>
    <definedName name="sgafax">#N/A</definedName>
    <definedName name="sgafwa">#N/A</definedName>
    <definedName name="sgasdfasd">#N/A</definedName>
    <definedName name="sgasdfwf">#N/A</definedName>
    <definedName name="sgasfwa">#N/A</definedName>
    <definedName name="sgasgda">#N/A</definedName>
    <definedName name="sgdadsfwd">#N/A</definedName>
    <definedName name="sheng">#REF!</definedName>
    <definedName name="ssfafag">#N/A</definedName>
    <definedName name="summary">#REF!</definedName>
    <definedName name="UniqueRange_37">#REF!</definedName>
    <definedName name="UniqueRange_38">#REF!</definedName>
    <definedName name="UniqueRange_39">#REF!</definedName>
    <definedName name="UniqueRange_40">#REF!</definedName>
    <definedName name="UniqueRange_41">#REF!</definedName>
    <definedName name="UniqueRange_42">#REF!</definedName>
    <definedName name="UniqueRange_43">#REF!</definedName>
    <definedName name="UniqueRange_44">#REF!</definedName>
    <definedName name="UniqueRange_45">#REF!</definedName>
    <definedName name="UniqueRange_46">#REF!</definedName>
    <definedName name="UniqueRange_47">#REF!</definedName>
    <definedName name="XMFL">[10]项目类型!$F$3:$F$75</definedName>
    <definedName name="XMFL2">[11]项目类型!$F$3:$F$75</definedName>
    <definedName name="XMLX">[12]下拉选项!#REF!</definedName>
    <definedName name="xxxx">[6]人民银行!#REF!</definedName>
    <definedName name="ZCSX">[12]下拉选项!$I$3:$I$14</definedName>
    <definedName name="zqlx">[13]DB!$M$43:$M$46</definedName>
    <definedName name="北京市行政区划">#REF!</definedName>
    <definedName name="本年">'[14]1-4余额表'!$L$3</definedName>
    <definedName name="财政供养">#REF!</definedName>
    <definedName name="产品">[15]Chap5_1!$A$1:$E$72</definedName>
    <definedName name="成本差异系数">VLOOKUP([16]公路里程!$C1,[17]差异系数!$A$6:$C$229,3,)</definedName>
    <definedName name="城市维护费">VLOOKUP([16]公路里程!$D1,'[18]2009'!$A$10:$AS$255,40,)</definedName>
    <definedName name="处室">#REF!</definedName>
    <definedName name="村级支出">VLOOKUP([16]公路里程!$D1,'[19]L24'!$B$7:$Y$4958,9,)</definedName>
    <definedName name="当年">'[20]1-1余额表'!$L$1</definedName>
    <definedName name="地方病防治系数">VLOOKUP([16]公路里程!$C1,[17]data!$C$6:$AR$210,42,)</definedName>
    <definedName name="地区">OFFSET('[20]1-1余额表'!$A$7,,,COUNTA('[20]1-1余额表'!$A:$A)-1)</definedName>
    <definedName name="地区名称">'[21]01北京市'!#REF!</definedName>
    <definedName name="公共安全部门">VLOOKUP([16]公路里程!$D1,'[18]2009'!$A$10:$AS$255,33,)</definedName>
    <definedName name="公司主管部门">[22]有效性列表!$B$2:$B$7</definedName>
    <definedName name="还有">#REF!</definedName>
    <definedName name="行政部门">VLOOKUP([16]公路里程!$D1,'[18]2009'!$A$10:$AS$255,30,)</definedName>
    <definedName name="行政区划">[22]区划对应表!$A$20:$A$36</definedName>
    <definedName name="行政区划级次">[22]有效性列表!$A$2:$A$6</definedName>
    <definedName name="行政区划名称">[23]区划对应表!$B$1:$B$19</definedName>
    <definedName name="汇率">#REF!</definedName>
    <definedName name="基金处室">#REF!</definedName>
    <definedName name="基金金额">#REF!</definedName>
    <definedName name="基金科目">#REF!</definedName>
    <definedName name="基金类型">#REF!</definedName>
    <definedName name="交通费">VLOOKUP([24]经费权重!$B1,[25]分县数据!$A$9:$BA$258,23,)</definedName>
    <definedName name="教育部门">VLOOKUP([16]公路里程!$D1,'[18]2009'!$A$10:$AS$255,34,)</definedName>
    <definedName name="金额">#REF!</definedName>
    <definedName name="科目">#REF!</definedName>
    <definedName name="类型">#REF!</definedName>
    <definedName name="离退休">VLOOKUP([16]公路里程!$D1,[26]Sheet1!$A$3:$J$252,2,)</definedName>
    <definedName name="林业部门">VLOOKUP([16]公路里程!$D1,[26]Sheet1!$A$3:$J$252,6,)</definedName>
    <definedName name="农业部门">VLOOKUP([16]公路里程!$D1,[26]Sheet1!$A$7:$J$252,5,)</definedName>
    <definedName name="平台法人性质">[27]参数表!$D$2:$D$4</definedName>
    <definedName name="其他支出">VLOOKUP([16]公路里程!$D1,'[18]2009'!$A$10:$AS$255,45,)</definedName>
    <definedName name="区划">#REF!</definedName>
    <definedName name="取暖费">VLOOKUP([24]经费权重!$B1,[25]分县数据!$A$9:$BA$258,21,)</definedName>
    <definedName name="去年">'[14]1-4余额表'!$L$4</definedName>
    <definedName name="全部担保">OFFSET('[20]1-1余额表'!$G$7,,,COUNTA('[20]1-1余额表'!$G:$G)-1)</definedName>
    <definedName name="全部一般">OFFSET('[20]1-1余额表'!$E$7,,,COUNTA('[20]1-1余额表'!$E:$E)-1)</definedName>
    <definedName name="全部余额">OFFSET('[20]1-1余额表'!$C$7,,,COUNTA('[20]1-1余额表'!$C:$C)-1)</definedName>
    <definedName name="全部直接">OFFSET('[20]1-1余额表'!$D$7,,,COUNTA('[20]1-1余额表'!$D:$D)-1)</definedName>
    <definedName name="全部专项">OFFSET('[20]1-1余额表'!$F$7,,,COUNTA('[20]1-1余额表'!$F:$F)-1)</definedName>
    <definedName name="全额差额比例">'[28]C01-1'!#REF!</definedName>
    <definedName name="人员经费">VLOOKUP([24]经费权重!$B1,[25]分县数据!$A$9:$BA$258,4,)+VLOOKUP([24]经费权重!$B1,[25]分县数据!$A$9:$BA$258,39,)</definedName>
    <definedName name="上年">'[14]1-4余额表'!$L$2</definedName>
    <definedName name="社会保障支出">VLOOKUP([16]公路里程!$D1,'[29]2007'!$A$10:$AS$257,29,)</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8">#REF!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担保">OFFSET('[20]2-11担保分级表'!$C$6,,,COUNTA('[20]2-11担保分级表'!$C:$C)-1)</definedName>
    <definedName name="省级一般">OFFSET('[20]2-7一般分级表'!$C$6,,,COUNTA('[20]2-7一般分级表'!$C:$C)-1)</definedName>
    <definedName name="省级余额">OFFSET('[20]2-1余额分级表'!$C$6,,,COUNTA('[20]2-1余额分级表'!$C:$C)-1)</definedName>
    <definedName name="省级直接">OFFSET('[20]2-5直接分级表'!$C$6,,,COUNTA('[20]2-5直接分级表'!$C:$C)-1)</definedName>
    <definedName name="省级专项">OFFSET('[20]2-9专项分级表'!$C$6,,,COUNTA('[20]2-9专项分级表'!$C:$C)-1)</definedName>
    <definedName name="省区">[30]总表!$B$12:$B$47</definedName>
    <definedName name="市级担保">OFFSET('[20]2-11担保分级表'!$E$6,,,COUNTA('[20]2-11担保分级表'!$E:$E)-1)</definedName>
    <definedName name="市级一般">OFFSET('[20]2-7一般分级表'!$E$6,,,COUNTA('[20]2-7一般分级表'!$E:$E)-1)</definedName>
    <definedName name="市级余额">OFFSET('[20]2-1余额分级表'!$E$6,,,COUNTA('[20]2-1余额分级表'!$E:$E)-1)</definedName>
    <definedName name="市级直接">OFFSET('[20]2-5直接分级表'!$E$6,,,COUNTA('[20]2-5直接分级表'!$E:$E)-1)</definedName>
    <definedName name="市级专项">OFFSET('[20]2-9专项分级表'!$E$6,,,COUNTA('[20]2-9专项分级表'!$E:$E)-1)</definedName>
    <definedName name="是否立项">[31]区划对应表!$E$1:$E$2</definedName>
    <definedName name="水利部门">VLOOKUP([16]公路里程!$D1,[26]Sheet1!$A$3:$J$252,7,)</definedName>
    <definedName name="四季度">'[28]C01-1'!#REF!</definedName>
    <definedName name="卫生部门">VLOOKUP([16]公路里程!$D1,'[18]2009'!$A$10:$AS$255,38,)</definedName>
    <definedName name="位次d">[32]四月份月报!#REF!</definedName>
    <definedName name="文体广部门">VLOOKUP([16]公路里程!$D1,'[18]2009'!$A$10:$AS$255,36,)</definedName>
    <definedName name="县级担保">OFFSET('[20]2-11担保分级表'!$G$6,,,COUNTA('[20]2-11担保分级表'!$G:$G)-1)</definedName>
    <definedName name="县级一般">OFFSET('[20]2-7一般分级表'!$G$6,,,COUNTA('[20]2-7一般分级表'!$G:$G)-1)</definedName>
    <definedName name="县级余额">OFFSET('[20]2-1余额分级表'!$G$6,,,COUNTA('[20]2-1余额分级表'!$G:$G)-1)</definedName>
    <definedName name="县级直接">OFFSET('[20]2-5直接分级表'!$G$6,,,COUNTA('[20]2-5直接分级表'!$G:$G)-1)</definedName>
    <definedName name="县级专项">OFFSET('[20]2-9专项分级表'!$G$6,,,COUNTA('[20]2-9专项分级表'!$G:$G)-1)</definedName>
    <definedName name="乡级担保">OFFSET('[20]2-11担保分级表'!$I$6,,,COUNTA('[20]2-11担保分级表'!$I:$I)-1)</definedName>
    <definedName name="乡级一般">OFFSET('[20]2-7一般分级表'!$I$6,,,COUNTA('[20]2-7一般分级表'!$I:$I)-1)</definedName>
    <definedName name="乡级余额">OFFSET('[20]2-1余额分级表'!$I$6,,,COUNTA('[20]2-1余额分级表'!$I:$I)-1)</definedName>
    <definedName name="乡级直接">OFFSET('[20]2-5直接分级表'!$I$6,,,COUNTA('[20]2-5直接分级表'!$I:$I)-1)</definedName>
    <definedName name="乡级专项">OFFSET('[20]2-9专项分级表'!$I$6,,,COUNTA('[20]2-9专项分级表'!$I:$I)-1)</definedName>
    <definedName name="项目类型">[33]基础数据!$A$1:$A$66</definedName>
    <definedName name="性别">[34]基础编码!$H$2:$H$3</definedName>
    <definedName name="学历">[34]基础编码!$S$2:$S$9</definedName>
    <definedName name="银行贷款所在地">[31]区划对应表!$D$1:$D$202</definedName>
    <definedName name="银行类型二">[33]基础数据!$E$1:$E$216</definedName>
    <definedName name="银行类型一">[33]基础数据!$C$1:$C$21</definedName>
    <definedName name="政策性挂账">OFFSET('[20]1-1余额表'!$H$7,,,COUNTA('[20]1-1余额表'!$H:$H)-1)</definedName>
    <definedName name="支出">'[35]P1012001'!$A$6:$E$117</definedName>
    <definedName name="总支出">VLOOKUP([24]经费权重!$B1,[25]分县数据!$A$9:$BA$258,3,)</definedName>
    <definedName name="전">#REF!</definedName>
    <definedName name="주택사업본부">#REF!</definedName>
    <definedName name="철구사업본부">#REF!</definedName>
    <definedName name="_123" localSheetId="0">OFFSET(#REF!,,,COUNTA(#REF!)-1)</definedName>
    <definedName name="a" localSheetId="0">#REF!</definedName>
    <definedName name="aa" localSheetId="0">#REF!</definedName>
    <definedName name="ABC" localSheetId="0">#REF!</definedName>
    <definedName name="ABD" localSheetId="0">#REF!</definedName>
    <definedName name="county" localSheetId="0">#REF!</definedName>
    <definedName name="data" localSheetId="0">#REF!</definedName>
    <definedName name="database2" localSheetId="0">#REF!</definedName>
    <definedName name="database3" localSheetId="0">#REF!</definedName>
    <definedName name="ddd" localSheetId="0">#REF!</definedName>
    <definedName name="FAMERangeexchebAD12" localSheetId="0">#REF!</definedName>
    <definedName name="FAMERangeirsAD12" localSheetId="0">#REF!</definedName>
    <definedName name="FAMERangeMGSV" localSheetId="0">#REF!</definedName>
    <definedName name="FAMERangeMGSVAB10" localSheetId="0">#REF!</definedName>
    <definedName name="FAMERangeMGSVAB11" localSheetId="0">#REF!</definedName>
    <definedName name="FAMERangeMGSVAB12" localSheetId="0">#REF!</definedName>
    <definedName name="FAMERangeMGSVAB13" localSheetId="0">#REF!</definedName>
    <definedName name="FAMERangeMGSVAB14" localSheetId="0">#REF!</definedName>
    <definedName name="FAMERangeMGSVAB15" localSheetId="0">#REF!</definedName>
    <definedName name="FAMERangeMGSVAB16" localSheetId="0">#REF!</definedName>
    <definedName name="FAMERangeMGSVAB17" localSheetId="0">#REF!</definedName>
    <definedName name="FAMERangeMGSVAB18" localSheetId="0">#REF!</definedName>
    <definedName name="FAMERangeMGSVAB19" localSheetId="0">#REF!</definedName>
    <definedName name="FAMERangeMGSVAB20" localSheetId="0">#REF!</definedName>
    <definedName name="FAMERangeMGSVAB21" localSheetId="0">#REF!</definedName>
    <definedName name="FAMERangeMGSVAB22" localSheetId="0">#REF!</definedName>
    <definedName name="FAMERangeMGSVAB23" localSheetId="0">#REF!</definedName>
    <definedName name="FAMERangeMGSVAB24" localSheetId="0">#REF!</definedName>
    <definedName name="FAMERangeMGSVAB25" localSheetId="0">#REF!</definedName>
    <definedName name="FAMERangeMGSVAB26" localSheetId="0">#REF!</definedName>
    <definedName name="FAMERangeMGSVAB27" localSheetId="0">#REF!</definedName>
    <definedName name="FAMERangeMGSVAB28" localSheetId="0">#REF!</definedName>
    <definedName name="FAMERangeMGSVAB29" localSheetId="0">#REF!</definedName>
    <definedName name="FAMERangeMGSVAB30" localSheetId="0">#REF!</definedName>
    <definedName name="FAMERangeMGSVAB31" localSheetId="0">#REF!</definedName>
    <definedName name="FAMERangeMGSVAB32" localSheetId="0">#REF!</definedName>
    <definedName name="FAMERangeMGSVAB33" localSheetId="0">#REF!</definedName>
    <definedName name="FAMERangeMGSVAB34" localSheetId="0">#REF!</definedName>
    <definedName name="FAMERangeMGSVAB35" localSheetId="0">#REF!</definedName>
    <definedName name="FAMERangeMGSVAB36" localSheetId="0">#REF!</definedName>
    <definedName name="FAMERangeMGSVAB38" localSheetId="0">#REF!</definedName>
    <definedName name="FAMERangeMGSVAB5" localSheetId="0">#REF!</definedName>
    <definedName name="FAMERangeMGSVAB6" localSheetId="0">#REF!</definedName>
    <definedName name="FAMERangeMGSVAB7" localSheetId="0">#REF!</definedName>
    <definedName name="FAMERangeMGSVAB8" localSheetId="0">#REF!</definedName>
    <definedName name="FAMERangeMGSVAB9" localSheetId="0">#REF!</definedName>
    <definedName name="FAMERangeMGSVAC10" localSheetId="0">#REF!</definedName>
    <definedName name="FAMERangeMGSVAC11" localSheetId="0">#REF!</definedName>
    <definedName name="FAMERangeMGSVAC12" localSheetId="0">#REF!</definedName>
    <definedName name="FAMERangeMGSVAC13" localSheetId="0">#REF!</definedName>
    <definedName name="FAMERangeMGSVAC14" localSheetId="0">#REF!</definedName>
    <definedName name="FAMERangeMGSVAC15" localSheetId="0">#REF!</definedName>
    <definedName name="FAMERangeMGSVAC16" localSheetId="0">#REF!</definedName>
    <definedName name="FAMERangeMGSVAC17" localSheetId="0">#REF!</definedName>
    <definedName name="FAMERangeMGSVAC18" localSheetId="0">#REF!</definedName>
    <definedName name="FAMERangeMGSVAC19" localSheetId="0">#REF!</definedName>
    <definedName name="FAMERangeMGSVAC20" localSheetId="0">#REF!</definedName>
    <definedName name="FAMERangeMGSVAC21" localSheetId="0">#REF!</definedName>
    <definedName name="FAMERangeMGSVAC22" localSheetId="0">#REF!</definedName>
    <definedName name="FAMERangeMGSVAC23" localSheetId="0">#REF!</definedName>
    <definedName name="FAMERangeMGSVAC24" localSheetId="0">#REF!</definedName>
    <definedName name="FAMERangeMGSVAC25" localSheetId="0">#REF!</definedName>
    <definedName name="FAMERangeMGSVAC26" localSheetId="0">#REF!</definedName>
    <definedName name="FAMERangeMGSVAC27" localSheetId="0">#REF!</definedName>
    <definedName name="FAMERangeMGSVAC28" localSheetId="0">#REF!</definedName>
    <definedName name="FAMERangeMGSVAC29" localSheetId="0">#REF!</definedName>
    <definedName name="FAMERangeMGSVAC30" localSheetId="0">#REF!</definedName>
    <definedName name="FAMERangeMGSVAC31" localSheetId="0">#REF!</definedName>
    <definedName name="FAMERangeMGSVAC32" localSheetId="0">#REF!</definedName>
    <definedName name="FAMERangeMGSVAC33" localSheetId="0">#REF!</definedName>
    <definedName name="FAMERangeMGSVAC34" localSheetId="0">#REF!</definedName>
    <definedName name="FAMERangeMGSVAC35" localSheetId="0">#REF!</definedName>
    <definedName name="FAMERangeMGSVAC36" localSheetId="0">#REF!</definedName>
    <definedName name="FAMERangeMGSVAC38" localSheetId="0">#REF!</definedName>
    <definedName name="FAMERangeMGSVAC5" localSheetId="0">#REF!</definedName>
    <definedName name="FAMERangeMGSVAC6" localSheetId="0">#REF!</definedName>
    <definedName name="FAMERangeMGSVAC7" localSheetId="0">#REF!</definedName>
    <definedName name="FAMERangeMGSVAC8" localSheetId="0">#REF!</definedName>
    <definedName name="FAMERangeMGSVAC9" localSheetId="0">#REF!</definedName>
    <definedName name="FAMERangeMGSVAD10" localSheetId="0">#REF!</definedName>
    <definedName name="FAMERangeMGSVAD11" localSheetId="0">#REF!</definedName>
    <definedName name="FAMERangeMGSVAD12" localSheetId="0">#REF!</definedName>
    <definedName name="FAMERangeMGSVAD13" localSheetId="0">#REF!</definedName>
    <definedName name="FAMERangeMGSVAD14" localSheetId="0">#REF!</definedName>
    <definedName name="FAMERangeMGSVAD15" localSheetId="0">#REF!</definedName>
    <definedName name="FAMERangeMGSVAD16" localSheetId="0">#REF!</definedName>
    <definedName name="FAMERangeMGSVAD17" localSheetId="0">#REF!</definedName>
    <definedName name="FAMERangeMGSVAD18" localSheetId="0">#REF!</definedName>
    <definedName name="FAMERangeMGSVAD19" localSheetId="0">#REF!</definedName>
    <definedName name="FAMERangeMGSVAD20" localSheetId="0">#REF!</definedName>
    <definedName name="FAMERangeMGSVAD21" localSheetId="0">#REF!</definedName>
    <definedName name="FAMERangeMGSVAD22" localSheetId="0">#REF!</definedName>
    <definedName name="FAMERangeMGSVAD23" localSheetId="0">#REF!</definedName>
    <definedName name="FAMERangeMGSVAD24" localSheetId="0">#REF!</definedName>
    <definedName name="FAMERangeMGSVAD25" localSheetId="0">#REF!</definedName>
    <definedName name="FAMERangeMGSVAD26" localSheetId="0">#REF!</definedName>
    <definedName name="FAMERangeMGSVAD27" localSheetId="0">#REF!</definedName>
    <definedName name="FAMERangeMGSVAD28" localSheetId="0">#REF!</definedName>
    <definedName name="FAMERangeMGSVAD29" localSheetId="0">#REF!</definedName>
    <definedName name="FAMERangeMGSVAD30" localSheetId="0">#REF!</definedName>
    <definedName name="FAMERangeMGSVAD31" localSheetId="0">#REF!</definedName>
    <definedName name="FAMERangeMGSVAD32" localSheetId="0">#REF!</definedName>
    <definedName name="FAMERangeMGSVAD33" localSheetId="0">#REF!</definedName>
    <definedName name="FAMERangeMGSVAD34" localSheetId="0">#REF!</definedName>
    <definedName name="FAMERangeMGSVAD35" localSheetId="0">#REF!</definedName>
    <definedName name="FAMERangeMGSVAD36" localSheetId="0">#REF!</definedName>
    <definedName name="FAMERangeMGSVAD38" localSheetId="0">#REF!</definedName>
    <definedName name="FAMERangeMGSVAD5" localSheetId="0">#REF!</definedName>
    <definedName name="FAMERangeMGSVAD6" localSheetId="0">#REF!</definedName>
    <definedName name="FAMERangeMGSVAD7" localSheetId="0">#REF!</definedName>
    <definedName name="FAMERangeMGSVAD8" localSheetId="0">#REF!</definedName>
    <definedName name="FAMERangeMGSVAD9" localSheetId="0">#REF!</definedName>
    <definedName name="fjsldkfjsdljflsdkjf" localSheetId="0">#REF!</definedName>
    <definedName name="hhhh" localSheetId="0">#REF!</definedName>
    <definedName name="kkkk" localSheetId="0">#REF!</definedName>
    <definedName name="Print_Area_MI" localSheetId="0">#REF!</definedName>
    <definedName name="qqqqqqqqqqqqqqqqqqqqqqq" localSheetId="0">#REF!</definedName>
    <definedName name="sheng" localSheetId="0">#REF!</definedName>
    <definedName name="summary" localSheetId="0">#REF!</definedName>
    <definedName name="UniqueRange_37" localSheetId="0">#REF!</definedName>
    <definedName name="UniqueRange_38" localSheetId="0">#REF!</definedName>
    <definedName name="UniqueRange_39" localSheetId="0">#REF!</definedName>
    <definedName name="UniqueRange_40" localSheetId="0">#REF!</definedName>
    <definedName name="UniqueRange_41" localSheetId="0">#REF!</definedName>
    <definedName name="UniqueRange_42" localSheetId="0">#REF!</definedName>
    <definedName name="UniqueRange_43" localSheetId="0">#REF!</definedName>
    <definedName name="UniqueRange_44" localSheetId="0">#REF!</definedName>
    <definedName name="UniqueRange_45" localSheetId="0">#REF!</definedName>
    <definedName name="UniqueRange_46" localSheetId="0">#REF!</definedName>
    <definedName name="UniqueRange_47" localSheetId="0">#REF!</definedName>
    <definedName name="北京市行政区划" localSheetId="0">#REF!</definedName>
    <definedName name="财政供养" localSheetId="0">#REF!</definedName>
    <definedName name="处室" localSheetId="0">#REF!</definedName>
    <definedName name="还有" localSheetId="0">#REF!</definedName>
    <definedName name="汇率" localSheetId="0">#REF!</definedName>
    <definedName name="基金处室" localSheetId="0">#REF!</definedName>
    <definedName name="基金金额" localSheetId="0">#REF!</definedName>
    <definedName name="基金科目" localSheetId="0">#REF!</definedName>
    <definedName name="基金类型" localSheetId="0">#REF!</definedName>
    <definedName name="金额" localSheetId="0">#REF!</definedName>
    <definedName name="科目" localSheetId="0">#REF!</definedName>
    <definedName name="类型" localSheetId="0">#REF!</definedName>
    <definedName name="区划" localSheetId="0">#REF!</definedName>
    <definedName name="生产列1" localSheetId="0">#REF!</definedName>
    <definedName name="生产列11" localSheetId="0">#REF!</definedName>
    <definedName name="生产列15" localSheetId="0">#REF!</definedName>
    <definedName name="生产列16" localSheetId="0">#REF!</definedName>
    <definedName name="生产列17" localSheetId="0">#REF!</definedName>
    <definedName name="生产列19" localSheetId="0">#REF!</definedName>
    <definedName name="生产列2" localSheetId="0">#REF!</definedName>
    <definedName name="生产列20" localSheetId="0">#REF!</definedName>
    <definedName name="生产列3" localSheetId="0">#REF!</definedName>
    <definedName name="生产列4" localSheetId="0">#REF!</definedName>
    <definedName name="生产列5" localSheetId="0">#REF!</definedName>
    <definedName name="生产列6" localSheetId="0">#REF!</definedName>
    <definedName name="生产列7" localSheetId="0">#REF!</definedName>
    <definedName name="生产列8" localSheetId="0">#REF!</definedName>
    <definedName name="生产列9" localSheetId="0">#REF!</definedName>
    <definedName name="生产期" localSheetId="0">#REF!</definedName>
    <definedName name="生产期1" localSheetId="0">#REF!</definedName>
    <definedName name="生产期11" localSheetId="0">#REF!</definedName>
    <definedName name="生产期123" localSheetId="0">#REF!</definedName>
    <definedName name="生产期15" localSheetId="0">#REF!</definedName>
    <definedName name="生产期16" localSheetId="0">#REF!</definedName>
    <definedName name="生产期17" localSheetId="0">#REF!</definedName>
    <definedName name="生产期18" localSheetId="0">#REF!</definedName>
    <definedName name="生产期19" localSheetId="0">#REF!</definedName>
    <definedName name="生产期2" localSheetId="0">#REF!</definedName>
    <definedName name="生产期20" localSheetId="0">#REF!</definedName>
    <definedName name="生产期3" localSheetId="0">#REF!</definedName>
    <definedName name="生产期4" localSheetId="0">#REF!</definedName>
    <definedName name="生产期5" localSheetId="0">#REF!</definedName>
    <definedName name="生产期6" localSheetId="0">#REF!</definedName>
    <definedName name="生产期7" localSheetId="0">#REF!</definedName>
    <definedName name="生产期8" localSheetId="0">#REF!</definedName>
    <definedName name="生产期9" localSheetId="0">#REF!</definedName>
    <definedName name="전" localSheetId="0">#REF!</definedName>
    <definedName name="주택사업본부" localSheetId="0">#REF!</definedName>
    <definedName name="철구사업본부" localSheetId="0">#REF!</definedName>
    <definedName name="_xlnm.Print_Area" localSheetId="0">封面!$A$1:$K$18</definedName>
    <definedName name="_xlnm.Print_Titles" localSheetId="4">'（附表3）公共预算支出项目'!$1:$5</definedName>
    <definedName name="_xlnm.Print_Area" localSheetId="10">'（附表9）社会保险基金收入表'!$A$1:$F$27</definedName>
    <definedName name="_xlnm.Print_Area" localSheetId="11">'（附表10）社会保险基金支出表'!$A$1:$H$23</definedName>
    <definedName name="_123" localSheetId="12">OFFSET(#REF!,,,COUNTA(#REF!)-1)</definedName>
    <definedName name="a" localSheetId="12">#REF!</definedName>
    <definedName name="aa" localSheetId="12">#REF!</definedName>
    <definedName name="ABC" localSheetId="12">#REF!</definedName>
    <definedName name="ABD" localSheetId="12">#REF!</definedName>
    <definedName name="county" localSheetId="12">#REF!</definedName>
    <definedName name="data" localSheetId="12">#REF!</definedName>
    <definedName name="database2" localSheetId="12">#REF!</definedName>
    <definedName name="database3" localSheetId="12">#REF!</definedName>
    <definedName name="ddd" localSheetId="12">#REF!</definedName>
    <definedName name="dddd" localSheetId="12">[36]人民银行!#REF!</definedName>
    <definedName name="FAMERangeexchebAD12" localSheetId="12">#REF!</definedName>
    <definedName name="FAMERangeirsAD12" localSheetId="12">#REF!</definedName>
    <definedName name="FAMERangeMGSV" localSheetId="12">#REF!</definedName>
    <definedName name="FAMERangeMGSVAB10" localSheetId="12">#REF!</definedName>
    <definedName name="FAMERangeMGSVAB11" localSheetId="12">#REF!</definedName>
    <definedName name="FAMERangeMGSVAB12" localSheetId="12">#REF!</definedName>
    <definedName name="FAMERangeMGSVAB13" localSheetId="12">#REF!</definedName>
    <definedName name="FAMERangeMGSVAB14" localSheetId="12">#REF!</definedName>
    <definedName name="FAMERangeMGSVAB15" localSheetId="12">#REF!</definedName>
    <definedName name="FAMERangeMGSVAB16" localSheetId="12">#REF!</definedName>
    <definedName name="FAMERangeMGSVAB17" localSheetId="12">#REF!</definedName>
    <definedName name="FAMERangeMGSVAB18" localSheetId="12">#REF!</definedName>
    <definedName name="FAMERangeMGSVAB19" localSheetId="12">#REF!</definedName>
    <definedName name="FAMERangeMGSVAB20" localSheetId="12">#REF!</definedName>
    <definedName name="FAMERangeMGSVAB21" localSheetId="12">#REF!</definedName>
    <definedName name="FAMERangeMGSVAB22" localSheetId="12">#REF!</definedName>
    <definedName name="FAMERangeMGSVAB23" localSheetId="12">#REF!</definedName>
    <definedName name="FAMERangeMGSVAB24" localSheetId="12">#REF!</definedName>
    <definedName name="FAMERangeMGSVAB25" localSheetId="12">#REF!</definedName>
    <definedName name="FAMERangeMGSVAB26" localSheetId="12">#REF!</definedName>
    <definedName name="FAMERangeMGSVAB27" localSheetId="12">#REF!</definedName>
    <definedName name="FAMERangeMGSVAB28" localSheetId="12">#REF!</definedName>
    <definedName name="FAMERangeMGSVAB29" localSheetId="12">#REF!</definedName>
    <definedName name="FAMERangeMGSVAB30" localSheetId="12">#REF!</definedName>
    <definedName name="FAMERangeMGSVAB31" localSheetId="12">#REF!</definedName>
    <definedName name="FAMERangeMGSVAB32" localSheetId="12">#REF!</definedName>
    <definedName name="FAMERangeMGSVAB33" localSheetId="12">#REF!</definedName>
    <definedName name="FAMERangeMGSVAB34" localSheetId="12">#REF!</definedName>
    <definedName name="FAMERangeMGSVAB35" localSheetId="12">#REF!</definedName>
    <definedName name="FAMERangeMGSVAB36" localSheetId="12">#REF!</definedName>
    <definedName name="FAMERangeMGSVAB38" localSheetId="12">#REF!</definedName>
    <definedName name="FAMERangeMGSVAB5" localSheetId="12">#REF!</definedName>
    <definedName name="FAMERangeMGSVAB6" localSheetId="12">#REF!</definedName>
    <definedName name="FAMERangeMGSVAB7" localSheetId="12">#REF!</definedName>
    <definedName name="FAMERangeMGSVAB8" localSheetId="12">#REF!</definedName>
    <definedName name="FAMERangeMGSVAB9" localSheetId="12">#REF!</definedName>
    <definedName name="FAMERangeMGSVAC10" localSheetId="12">#REF!</definedName>
    <definedName name="FAMERangeMGSVAC11" localSheetId="12">#REF!</definedName>
    <definedName name="FAMERangeMGSVAC12" localSheetId="12">#REF!</definedName>
    <definedName name="FAMERangeMGSVAC13" localSheetId="12">#REF!</definedName>
    <definedName name="FAMERangeMGSVAC14" localSheetId="12">#REF!</definedName>
    <definedName name="FAMERangeMGSVAC15" localSheetId="12">#REF!</definedName>
    <definedName name="FAMERangeMGSVAC16" localSheetId="12">#REF!</definedName>
    <definedName name="FAMERangeMGSVAC17" localSheetId="12">#REF!</definedName>
    <definedName name="FAMERangeMGSVAC18" localSheetId="12">#REF!</definedName>
    <definedName name="FAMERangeMGSVAC19" localSheetId="12">#REF!</definedName>
    <definedName name="FAMERangeMGSVAC20" localSheetId="12">#REF!</definedName>
    <definedName name="FAMERangeMGSVAC21" localSheetId="12">#REF!</definedName>
    <definedName name="FAMERangeMGSVAC22" localSheetId="12">#REF!</definedName>
    <definedName name="FAMERangeMGSVAC23" localSheetId="12">#REF!</definedName>
    <definedName name="FAMERangeMGSVAC24" localSheetId="12">#REF!</definedName>
    <definedName name="FAMERangeMGSVAC25" localSheetId="12">#REF!</definedName>
    <definedName name="FAMERangeMGSVAC26" localSheetId="12">#REF!</definedName>
    <definedName name="FAMERangeMGSVAC27" localSheetId="12">#REF!</definedName>
    <definedName name="FAMERangeMGSVAC28" localSheetId="12">#REF!</definedName>
    <definedName name="FAMERangeMGSVAC29" localSheetId="12">#REF!</definedName>
    <definedName name="FAMERangeMGSVAC30" localSheetId="12">#REF!</definedName>
    <definedName name="FAMERangeMGSVAC31" localSheetId="12">#REF!</definedName>
    <definedName name="FAMERangeMGSVAC32" localSheetId="12">#REF!</definedName>
    <definedName name="FAMERangeMGSVAC33" localSheetId="12">#REF!</definedName>
    <definedName name="FAMERangeMGSVAC34" localSheetId="12">#REF!</definedName>
    <definedName name="FAMERangeMGSVAC35" localSheetId="12">#REF!</definedName>
    <definedName name="FAMERangeMGSVAC36" localSheetId="12">#REF!</definedName>
    <definedName name="FAMERangeMGSVAC38" localSheetId="12">#REF!</definedName>
    <definedName name="FAMERangeMGSVAC5" localSheetId="12">#REF!</definedName>
    <definedName name="FAMERangeMGSVAC6" localSheetId="12">#REF!</definedName>
    <definedName name="FAMERangeMGSVAC7" localSheetId="12">#REF!</definedName>
    <definedName name="FAMERangeMGSVAC8" localSheetId="12">#REF!</definedName>
    <definedName name="FAMERangeMGSVAC9" localSheetId="12">#REF!</definedName>
    <definedName name="FAMERangeMGSVAD10" localSheetId="12">#REF!</definedName>
    <definedName name="FAMERangeMGSVAD11" localSheetId="12">#REF!</definedName>
    <definedName name="FAMERangeMGSVAD12" localSheetId="12">#REF!</definedName>
    <definedName name="FAMERangeMGSVAD13" localSheetId="12">#REF!</definedName>
    <definedName name="FAMERangeMGSVAD14" localSheetId="12">#REF!</definedName>
    <definedName name="FAMERangeMGSVAD15" localSheetId="12">#REF!</definedName>
    <definedName name="FAMERangeMGSVAD16" localSheetId="12">#REF!</definedName>
    <definedName name="FAMERangeMGSVAD17" localSheetId="12">#REF!</definedName>
    <definedName name="FAMERangeMGSVAD18" localSheetId="12">#REF!</definedName>
    <definedName name="FAMERangeMGSVAD19" localSheetId="12">#REF!</definedName>
    <definedName name="FAMERangeMGSVAD20" localSheetId="12">#REF!</definedName>
    <definedName name="FAMERangeMGSVAD21" localSheetId="12">#REF!</definedName>
    <definedName name="FAMERangeMGSVAD22" localSheetId="12">#REF!</definedName>
    <definedName name="FAMERangeMGSVAD23" localSheetId="12">#REF!</definedName>
    <definedName name="FAMERangeMGSVAD24" localSheetId="12">#REF!</definedName>
    <definedName name="FAMERangeMGSVAD25" localSheetId="12">#REF!</definedName>
    <definedName name="FAMERangeMGSVAD26" localSheetId="12">#REF!</definedName>
    <definedName name="FAMERangeMGSVAD27" localSheetId="12">#REF!</definedName>
    <definedName name="FAMERangeMGSVAD28" localSheetId="12">#REF!</definedName>
    <definedName name="FAMERangeMGSVAD29" localSheetId="12">#REF!</definedName>
    <definedName name="FAMERangeMGSVAD30" localSheetId="12">#REF!</definedName>
    <definedName name="FAMERangeMGSVAD31" localSheetId="12">#REF!</definedName>
    <definedName name="FAMERangeMGSVAD32" localSheetId="12">#REF!</definedName>
    <definedName name="FAMERangeMGSVAD33" localSheetId="12">#REF!</definedName>
    <definedName name="FAMERangeMGSVAD34" localSheetId="12">#REF!</definedName>
    <definedName name="FAMERangeMGSVAD35" localSheetId="12">#REF!</definedName>
    <definedName name="FAMERangeMGSVAD36" localSheetId="12">#REF!</definedName>
    <definedName name="FAMERangeMGSVAD38" localSheetId="12">#REF!</definedName>
    <definedName name="FAMERangeMGSVAD5" localSheetId="12">#REF!</definedName>
    <definedName name="FAMERangeMGSVAD6" localSheetId="12">#REF!</definedName>
    <definedName name="FAMERangeMGSVAD7" localSheetId="12">#REF!</definedName>
    <definedName name="FAMERangeMGSVAD8" localSheetId="12">#REF!</definedName>
    <definedName name="FAMERangeMGSVAD9" localSheetId="12">#REF!</definedName>
    <definedName name="fjsldkfjsdljflsdkjf" localSheetId="12">#REF!</definedName>
    <definedName name="hhhh" localSheetId="12">#REF!</definedName>
    <definedName name="kkkk" localSheetId="12">#REF!</definedName>
    <definedName name="Print_Area_MI" localSheetId="12">#REF!</definedName>
    <definedName name="qqqqqqqqqqqqqqqqqqqqqqq" localSheetId="12">#REF!</definedName>
    <definedName name="sheng" localSheetId="12">#REF!</definedName>
    <definedName name="summary" localSheetId="12">#REF!</definedName>
    <definedName name="UniqueRange_37" localSheetId="12">#REF!</definedName>
    <definedName name="UniqueRange_38" localSheetId="12">#REF!</definedName>
    <definedName name="UniqueRange_39" localSheetId="12">#REF!</definedName>
    <definedName name="UniqueRange_40" localSheetId="12">#REF!</definedName>
    <definedName name="UniqueRange_41" localSheetId="12">#REF!</definedName>
    <definedName name="UniqueRange_42" localSheetId="12">#REF!</definedName>
    <definedName name="UniqueRange_43" localSheetId="12">#REF!</definedName>
    <definedName name="UniqueRange_44" localSheetId="12">#REF!</definedName>
    <definedName name="UniqueRange_45" localSheetId="12">#REF!</definedName>
    <definedName name="UniqueRange_46" localSheetId="12">#REF!</definedName>
    <definedName name="UniqueRange_47" localSheetId="12">#REF!</definedName>
    <definedName name="xxxx" localSheetId="12">[36]人民银行!#REF!</definedName>
    <definedName name="北京市行政区划" localSheetId="12">#REF!</definedName>
    <definedName name="财政供养" localSheetId="12">#REF!</definedName>
    <definedName name="处室" localSheetId="12">#REF!</definedName>
    <definedName name="还有" localSheetId="12">#REF!</definedName>
    <definedName name="汇率" localSheetId="12">#REF!</definedName>
    <definedName name="基金处室" localSheetId="12">#REF!</definedName>
    <definedName name="基金金额" localSheetId="12">#REF!</definedName>
    <definedName name="基金科目" localSheetId="12">#REF!</definedName>
    <definedName name="基金类型" localSheetId="12">#REF!</definedName>
    <definedName name="金额" localSheetId="12">#REF!</definedName>
    <definedName name="科目" localSheetId="12">#REF!</definedName>
    <definedName name="类型" localSheetId="12">#REF!</definedName>
    <definedName name="区划" localSheetId="12">#REF!</definedName>
    <definedName name="生产列1" localSheetId="12">#REF!</definedName>
    <definedName name="生产列11" localSheetId="12">#REF!</definedName>
    <definedName name="生产列15" localSheetId="12">#REF!</definedName>
    <definedName name="生产列16" localSheetId="12">#REF!</definedName>
    <definedName name="生产列17" localSheetId="12">#REF!</definedName>
    <definedName name="生产列19" localSheetId="12">#REF!</definedName>
    <definedName name="生产列2" localSheetId="12">#REF!</definedName>
    <definedName name="生产列20" localSheetId="12">#REF!</definedName>
    <definedName name="生产列3" localSheetId="12">#REF!</definedName>
    <definedName name="生产列4" localSheetId="12">#REF!</definedName>
    <definedName name="生产列5" localSheetId="12">#REF!</definedName>
    <definedName name="生产列6" localSheetId="12">#REF!</definedName>
    <definedName name="生产列7" localSheetId="12">#REF!</definedName>
    <definedName name="生产列8" localSheetId="12">#REF!</definedName>
    <definedName name="生产列9" localSheetId="12">#REF!</definedName>
    <definedName name="生产期" localSheetId="12">#REF!</definedName>
    <definedName name="生产期1" localSheetId="12">#REF!</definedName>
    <definedName name="生产期11" localSheetId="12">#REF!</definedName>
    <definedName name="生产期123" localSheetId="12">#REF!</definedName>
    <definedName name="生产期15" localSheetId="12">#REF!</definedName>
    <definedName name="生产期16" localSheetId="12">#REF!</definedName>
    <definedName name="生产期17" localSheetId="12">#REF!</definedName>
    <definedName name="生产期18" localSheetId="12">#REF!</definedName>
    <definedName name="生产期19" localSheetId="12">#REF!</definedName>
    <definedName name="生产期2" localSheetId="12">#REF!</definedName>
    <definedName name="生产期20" localSheetId="12">#REF!</definedName>
    <definedName name="生产期3" localSheetId="12">#REF!</definedName>
    <definedName name="生产期4" localSheetId="12">#REF!</definedName>
    <definedName name="生产期5" localSheetId="12">#REF!</definedName>
    <definedName name="生产期6" localSheetId="12">#REF!</definedName>
    <definedName name="生产期7" localSheetId="12">#REF!</definedName>
    <definedName name="生产期8" localSheetId="12">#REF!</definedName>
    <definedName name="生产期9" localSheetId="12">#REF!</definedName>
    <definedName name="전" localSheetId="12">#REF!</definedName>
    <definedName name="주택사업본부" localSheetId="12">#REF!</definedName>
    <definedName name="철구사업본부" localSheetId="12">#REF!</definedName>
    <definedName name="_xlnm.Print_Titles" localSheetId="12">'（附表11）新增债券资金用途'!$A$4:$CC$5</definedName>
    <definedName name="_xlnm.Print_Area" localSheetId="12">'（附表11）新增债券资金用途'!$A$1:$R$8</definedName>
    <definedName name="_123" localSheetId="9">OFFSET(#REF!,,,COUNTA(#REF!)-1)</definedName>
    <definedName name="a" localSheetId="9">#REF!</definedName>
    <definedName name="aa" localSheetId="9">#REF!</definedName>
    <definedName name="ABC" localSheetId="9">#REF!</definedName>
    <definedName name="ABD" localSheetId="9">#REF!</definedName>
    <definedName name="county" localSheetId="9">#REF!</definedName>
    <definedName name="data" localSheetId="9">#REF!</definedName>
    <definedName name="database2" localSheetId="9">#REF!</definedName>
    <definedName name="database3" localSheetId="9">#REF!</definedName>
    <definedName name="ddd" localSheetId="9">#REF!</definedName>
    <definedName name="dddd" localSheetId="9">[37]人民银行!#REF!</definedName>
    <definedName name="FAMERangeexchebAD12" localSheetId="9">#REF!</definedName>
    <definedName name="FAMERangeirsAD12" localSheetId="9">#REF!</definedName>
    <definedName name="FAMERangeMGSV" localSheetId="9">#REF!</definedName>
    <definedName name="FAMERangeMGSVAB10" localSheetId="9">#REF!</definedName>
    <definedName name="FAMERangeMGSVAB11" localSheetId="9">#REF!</definedName>
    <definedName name="FAMERangeMGSVAB12" localSheetId="9">#REF!</definedName>
    <definedName name="FAMERangeMGSVAB13" localSheetId="9">#REF!</definedName>
    <definedName name="FAMERangeMGSVAB14" localSheetId="9">#REF!</definedName>
    <definedName name="FAMERangeMGSVAB15" localSheetId="9">#REF!</definedName>
    <definedName name="FAMERangeMGSVAB16" localSheetId="9">#REF!</definedName>
    <definedName name="FAMERangeMGSVAB17" localSheetId="9">#REF!</definedName>
    <definedName name="FAMERangeMGSVAB18" localSheetId="9">#REF!</definedName>
    <definedName name="FAMERangeMGSVAB19" localSheetId="9">#REF!</definedName>
    <definedName name="FAMERangeMGSVAB20" localSheetId="9">#REF!</definedName>
    <definedName name="FAMERangeMGSVAB21" localSheetId="9">#REF!</definedName>
    <definedName name="FAMERangeMGSVAB22" localSheetId="9">#REF!</definedName>
    <definedName name="FAMERangeMGSVAB23" localSheetId="9">#REF!</definedName>
    <definedName name="FAMERangeMGSVAB24" localSheetId="9">#REF!</definedName>
    <definedName name="FAMERangeMGSVAB25" localSheetId="9">#REF!</definedName>
    <definedName name="FAMERangeMGSVAB26" localSheetId="9">#REF!</definedName>
    <definedName name="FAMERangeMGSVAB27" localSheetId="9">#REF!</definedName>
    <definedName name="FAMERangeMGSVAB28" localSheetId="9">#REF!</definedName>
    <definedName name="FAMERangeMGSVAB29" localSheetId="9">#REF!</definedName>
    <definedName name="FAMERangeMGSVAB30" localSheetId="9">#REF!</definedName>
    <definedName name="FAMERangeMGSVAB31" localSheetId="9">#REF!</definedName>
    <definedName name="FAMERangeMGSVAB32" localSheetId="9">#REF!</definedName>
    <definedName name="FAMERangeMGSVAB33" localSheetId="9">#REF!</definedName>
    <definedName name="FAMERangeMGSVAB34" localSheetId="9">#REF!</definedName>
    <definedName name="FAMERangeMGSVAB35" localSheetId="9">#REF!</definedName>
    <definedName name="FAMERangeMGSVAB36" localSheetId="9">#REF!</definedName>
    <definedName name="FAMERangeMGSVAB38" localSheetId="9">#REF!</definedName>
    <definedName name="FAMERangeMGSVAB5" localSheetId="9">#REF!</definedName>
    <definedName name="FAMERangeMGSVAB6" localSheetId="9">#REF!</definedName>
    <definedName name="FAMERangeMGSVAB7" localSheetId="9">#REF!</definedName>
    <definedName name="FAMERangeMGSVAB8" localSheetId="9">#REF!</definedName>
    <definedName name="FAMERangeMGSVAB9" localSheetId="9">#REF!</definedName>
    <definedName name="FAMERangeMGSVAC10" localSheetId="9">#REF!</definedName>
    <definedName name="FAMERangeMGSVAC11" localSheetId="9">#REF!</definedName>
    <definedName name="FAMERangeMGSVAC12" localSheetId="9">#REF!</definedName>
    <definedName name="FAMERangeMGSVAC13" localSheetId="9">#REF!</definedName>
    <definedName name="FAMERangeMGSVAC14" localSheetId="9">#REF!</definedName>
    <definedName name="FAMERangeMGSVAC15" localSheetId="9">#REF!</definedName>
    <definedName name="FAMERangeMGSVAC16" localSheetId="9">#REF!</definedName>
    <definedName name="FAMERangeMGSVAC17" localSheetId="9">#REF!</definedName>
    <definedName name="FAMERangeMGSVAC18" localSheetId="9">#REF!</definedName>
    <definedName name="FAMERangeMGSVAC19" localSheetId="9">#REF!</definedName>
    <definedName name="FAMERangeMGSVAC20" localSheetId="9">#REF!</definedName>
    <definedName name="FAMERangeMGSVAC21" localSheetId="9">#REF!</definedName>
    <definedName name="FAMERangeMGSVAC22" localSheetId="9">#REF!</definedName>
    <definedName name="FAMERangeMGSVAC23" localSheetId="9">#REF!</definedName>
    <definedName name="FAMERangeMGSVAC24" localSheetId="9">#REF!</definedName>
    <definedName name="FAMERangeMGSVAC25" localSheetId="9">#REF!</definedName>
    <definedName name="FAMERangeMGSVAC26" localSheetId="9">#REF!</definedName>
    <definedName name="FAMERangeMGSVAC27" localSheetId="9">#REF!</definedName>
    <definedName name="FAMERangeMGSVAC28" localSheetId="9">#REF!</definedName>
    <definedName name="FAMERangeMGSVAC29" localSheetId="9">#REF!</definedName>
    <definedName name="FAMERangeMGSVAC30" localSheetId="9">#REF!</definedName>
    <definedName name="FAMERangeMGSVAC31" localSheetId="9">#REF!</definedName>
    <definedName name="FAMERangeMGSVAC32" localSheetId="9">#REF!</definedName>
    <definedName name="FAMERangeMGSVAC33" localSheetId="9">#REF!</definedName>
    <definedName name="FAMERangeMGSVAC34" localSheetId="9">#REF!</definedName>
    <definedName name="FAMERangeMGSVAC35" localSheetId="9">#REF!</definedName>
    <definedName name="FAMERangeMGSVAC36" localSheetId="9">#REF!</definedName>
    <definedName name="FAMERangeMGSVAC38" localSheetId="9">#REF!</definedName>
    <definedName name="FAMERangeMGSVAC5" localSheetId="9">#REF!</definedName>
    <definedName name="FAMERangeMGSVAC6" localSheetId="9">#REF!</definedName>
    <definedName name="FAMERangeMGSVAC7" localSheetId="9">#REF!</definedName>
    <definedName name="FAMERangeMGSVAC8" localSheetId="9">#REF!</definedName>
    <definedName name="FAMERangeMGSVAC9" localSheetId="9">#REF!</definedName>
    <definedName name="FAMERangeMGSVAD10" localSheetId="9">#REF!</definedName>
    <definedName name="FAMERangeMGSVAD11" localSheetId="9">#REF!</definedName>
    <definedName name="FAMERangeMGSVAD12" localSheetId="9">#REF!</definedName>
    <definedName name="FAMERangeMGSVAD13" localSheetId="9">#REF!</definedName>
    <definedName name="FAMERangeMGSVAD14" localSheetId="9">#REF!</definedName>
    <definedName name="FAMERangeMGSVAD15" localSheetId="9">#REF!</definedName>
    <definedName name="FAMERangeMGSVAD16" localSheetId="9">#REF!</definedName>
    <definedName name="FAMERangeMGSVAD17" localSheetId="9">#REF!</definedName>
    <definedName name="FAMERangeMGSVAD18" localSheetId="9">#REF!</definedName>
    <definedName name="FAMERangeMGSVAD19" localSheetId="9">#REF!</definedName>
    <definedName name="FAMERangeMGSVAD20" localSheetId="9">#REF!</definedName>
    <definedName name="FAMERangeMGSVAD21" localSheetId="9">#REF!</definedName>
    <definedName name="FAMERangeMGSVAD22" localSheetId="9">#REF!</definedName>
    <definedName name="FAMERangeMGSVAD23" localSheetId="9">#REF!</definedName>
    <definedName name="FAMERangeMGSVAD24" localSheetId="9">#REF!</definedName>
    <definedName name="FAMERangeMGSVAD25" localSheetId="9">#REF!</definedName>
    <definedName name="FAMERangeMGSVAD26" localSheetId="9">#REF!</definedName>
    <definedName name="FAMERangeMGSVAD27" localSheetId="9">#REF!</definedName>
    <definedName name="FAMERangeMGSVAD28" localSheetId="9">#REF!</definedName>
    <definedName name="FAMERangeMGSVAD29" localSheetId="9">#REF!</definedName>
    <definedName name="FAMERangeMGSVAD30" localSheetId="9">#REF!</definedName>
    <definedName name="FAMERangeMGSVAD31" localSheetId="9">#REF!</definedName>
    <definedName name="FAMERangeMGSVAD32" localSheetId="9">#REF!</definedName>
    <definedName name="FAMERangeMGSVAD33" localSheetId="9">#REF!</definedName>
    <definedName name="FAMERangeMGSVAD34" localSheetId="9">#REF!</definedName>
    <definedName name="FAMERangeMGSVAD35" localSheetId="9">#REF!</definedName>
    <definedName name="FAMERangeMGSVAD36" localSheetId="9">#REF!</definedName>
    <definedName name="FAMERangeMGSVAD38" localSheetId="9">#REF!</definedName>
    <definedName name="FAMERangeMGSVAD5" localSheetId="9">#REF!</definedName>
    <definedName name="FAMERangeMGSVAD6" localSheetId="9">#REF!</definedName>
    <definedName name="FAMERangeMGSVAD7" localSheetId="9">#REF!</definedName>
    <definedName name="FAMERangeMGSVAD8" localSheetId="9">#REF!</definedName>
    <definedName name="FAMERangeMGSVAD9" localSheetId="9">#REF!</definedName>
    <definedName name="fjsldkfjsdljflsdkjf" localSheetId="9">#REF!</definedName>
    <definedName name="hhhh" localSheetId="9">#REF!</definedName>
    <definedName name="kkkk" localSheetId="9">#REF!</definedName>
    <definedName name="Print_Area_MI" localSheetId="9">#REF!</definedName>
    <definedName name="qqqqqqqqqqqqqqqqqqqqqqq" localSheetId="9">#REF!</definedName>
    <definedName name="sheng" localSheetId="9">#REF!</definedName>
    <definedName name="summary" localSheetId="9">#REF!</definedName>
    <definedName name="UniqueRange_37" localSheetId="9">#REF!</definedName>
    <definedName name="UniqueRange_38" localSheetId="9">#REF!</definedName>
    <definedName name="UniqueRange_39" localSheetId="9">#REF!</definedName>
    <definedName name="UniqueRange_40" localSheetId="9">#REF!</definedName>
    <definedName name="UniqueRange_41" localSheetId="9">#REF!</definedName>
    <definedName name="UniqueRange_42" localSheetId="9">#REF!</definedName>
    <definedName name="UniqueRange_43" localSheetId="9">#REF!</definedName>
    <definedName name="UniqueRange_44" localSheetId="9">#REF!</definedName>
    <definedName name="UniqueRange_45" localSheetId="9">#REF!</definedName>
    <definedName name="UniqueRange_46" localSheetId="9">#REF!</definedName>
    <definedName name="UniqueRange_47" localSheetId="9">#REF!</definedName>
    <definedName name="xxxx" localSheetId="9">[37]人民银行!#REF!</definedName>
    <definedName name="zqlx" localSheetId="9">[38]DB!$M$43:$M$46</definedName>
    <definedName name="北京市行政区划" localSheetId="9">#REF!</definedName>
    <definedName name="财政供养" localSheetId="9">#REF!</definedName>
    <definedName name="产品" localSheetId="9">[39]Chap5_1!$A$1:$E$72</definedName>
    <definedName name="处室" localSheetId="9">#REF!</definedName>
    <definedName name="还有" localSheetId="9">#REF!</definedName>
    <definedName name="汇率" localSheetId="9">#REF!</definedName>
    <definedName name="基金处室" localSheetId="9">#REF!</definedName>
    <definedName name="基金金额" localSheetId="9">#REF!</definedName>
    <definedName name="基金科目" localSheetId="9">#REF!</definedName>
    <definedName name="基金类型" localSheetId="9">#REF!</definedName>
    <definedName name="金额" localSheetId="9">#REF!</definedName>
    <definedName name="科目" localSheetId="9">#REF!</definedName>
    <definedName name="类型" localSheetId="9">#REF!</definedName>
    <definedName name="区划" localSheetId="9">#REF!</definedName>
    <definedName name="生产列1" localSheetId="9">#REF!</definedName>
    <definedName name="生产列11" localSheetId="9">#REF!</definedName>
    <definedName name="生产列15" localSheetId="9">#REF!</definedName>
    <definedName name="生产列16" localSheetId="9">#REF!</definedName>
    <definedName name="生产列17" localSheetId="9">#REF!</definedName>
    <definedName name="生产列19" localSheetId="9">#REF!</definedName>
    <definedName name="生产列2" localSheetId="9">#REF!</definedName>
    <definedName name="生产列20" localSheetId="9">#REF!</definedName>
    <definedName name="生产列3" localSheetId="9">#REF!</definedName>
    <definedName name="生产列4" localSheetId="9">#REF!</definedName>
    <definedName name="生产列5" localSheetId="9">#REF!</definedName>
    <definedName name="生产列6" localSheetId="9">#REF!</definedName>
    <definedName name="生产列7" localSheetId="9">#REF!</definedName>
    <definedName name="生产列8" localSheetId="9">#REF!</definedName>
    <definedName name="生产列9" localSheetId="9">#REF!</definedName>
    <definedName name="生产期" localSheetId="9">#REF!</definedName>
    <definedName name="生产期1" localSheetId="9">#REF!</definedName>
    <definedName name="生产期11" localSheetId="9">#REF!</definedName>
    <definedName name="生产期123" localSheetId="9">#REF!</definedName>
    <definedName name="生产期15" localSheetId="9">#REF!</definedName>
    <definedName name="生产期16" localSheetId="9">#REF!</definedName>
    <definedName name="生产期17" localSheetId="9">#REF!</definedName>
    <definedName name="生产期18" localSheetId="9">#REF!</definedName>
    <definedName name="生产期19" localSheetId="9">#REF!</definedName>
    <definedName name="生产期2" localSheetId="9">#REF!</definedName>
    <definedName name="生产期20" localSheetId="9">#REF!</definedName>
    <definedName name="生产期3" localSheetId="9">#REF!</definedName>
    <definedName name="生产期4" localSheetId="9">#REF!</definedName>
    <definedName name="生产期5" localSheetId="9">#REF!</definedName>
    <definedName name="生产期6" localSheetId="9">#REF!</definedName>
    <definedName name="生产期7" localSheetId="9">#REF!</definedName>
    <definedName name="生产期8" localSheetId="9">#REF!</definedName>
    <definedName name="生产期9" localSheetId="9">#REF!</definedName>
    <definedName name="전" localSheetId="9">#REF!</definedName>
    <definedName name="주택사업본부" localSheetId="9">#REF!</definedName>
    <definedName name="철구사업본부" localSheetId="9">#REF!</definedName>
    <definedName name="_xlnm._FilterDatabase" localSheetId="9" hidden="1">'（附表8）政府性基金预算支出项目'!$A$6:$L$195</definedName>
    <definedName name="_xlnm.Print_Area" localSheetId="9">'（附表8）政府性基金预算支出项目'!$A$1:$I$195</definedName>
    <definedName name="_xlnm.Print_Titles" localSheetId="9">'（附表8）政府性基金预算支出项目'!$1:$5</definedName>
    <definedName name="_123" localSheetId="8">OFFSET(#REF!,,,COUNTA(#REF!)-1)</definedName>
    <definedName name="a" localSheetId="8">#REF!</definedName>
    <definedName name="aa" localSheetId="8">#REF!</definedName>
    <definedName name="ABC" localSheetId="8">#REF!</definedName>
    <definedName name="ABD" localSheetId="8">#REF!</definedName>
    <definedName name="county" localSheetId="8">#REF!</definedName>
    <definedName name="data" localSheetId="8">#REF!</definedName>
    <definedName name="database2" localSheetId="8">#REF!</definedName>
    <definedName name="database3" localSheetId="8">#REF!</definedName>
    <definedName name="ddd" localSheetId="8">#REF!</definedName>
    <definedName name="dddd" localSheetId="8">[37]人民银行!#REF!</definedName>
    <definedName name="FAMERangeexchebAD12" localSheetId="8">#REF!</definedName>
    <definedName name="FAMERangeirsAD12" localSheetId="8">#REF!</definedName>
    <definedName name="FAMERangeMGSV" localSheetId="8">#REF!</definedName>
    <definedName name="FAMERangeMGSVAB10" localSheetId="8">#REF!</definedName>
    <definedName name="FAMERangeMGSVAB11" localSheetId="8">#REF!</definedName>
    <definedName name="FAMERangeMGSVAB12" localSheetId="8">#REF!</definedName>
    <definedName name="FAMERangeMGSVAB13" localSheetId="8">#REF!</definedName>
    <definedName name="FAMERangeMGSVAB14" localSheetId="8">#REF!</definedName>
    <definedName name="FAMERangeMGSVAB15" localSheetId="8">#REF!</definedName>
    <definedName name="FAMERangeMGSVAB16" localSheetId="8">#REF!</definedName>
    <definedName name="FAMERangeMGSVAB17" localSheetId="8">#REF!</definedName>
    <definedName name="FAMERangeMGSVAB18" localSheetId="8">#REF!</definedName>
    <definedName name="FAMERangeMGSVAB19" localSheetId="8">#REF!</definedName>
    <definedName name="FAMERangeMGSVAB20" localSheetId="8">#REF!</definedName>
    <definedName name="FAMERangeMGSVAB21" localSheetId="8">#REF!</definedName>
    <definedName name="FAMERangeMGSVAB22" localSheetId="8">#REF!</definedName>
    <definedName name="FAMERangeMGSVAB23" localSheetId="8">#REF!</definedName>
    <definedName name="FAMERangeMGSVAB24" localSheetId="8">#REF!</definedName>
    <definedName name="FAMERangeMGSVAB25" localSheetId="8">#REF!</definedName>
    <definedName name="FAMERangeMGSVAB26" localSheetId="8">#REF!</definedName>
    <definedName name="FAMERangeMGSVAB27" localSheetId="8">#REF!</definedName>
    <definedName name="FAMERangeMGSVAB28" localSheetId="8">#REF!</definedName>
    <definedName name="FAMERangeMGSVAB29" localSheetId="8">#REF!</definedName>
    <definedName name="FAMERangeMGSVAB30" localSheetId="8">#REF!</definedName>
    <definedName name="FAMERangeMGSVAB31" localSheetId="8">#REF!</definedName>
    <definedName name="FAMERangeMGSVAB32" localSheetId="8">#REF!</definedName>
    <definedName name="FAMERangeMGSVAB33" localSheetId="8">#REF!</definedName>
    <definedName name="FAMERangeMGSVAB34" localSheetId="8">#REF!</definedName>
    <definedName name="FAMERangeMGSVAB35" localSheetId="8">#REF!</definedName>
    <definedName name="FAMERangeMGSVAB36" localSheetId="8">#REF!</definedName>
    <definedName name="FAMERangeMGSVAB38" localSheetId="8">#REF!</definedName>
    <definedName name="FAMERangeMGSVAB5" localSheetId="8">#REF!</definedName>
    <definedName name="FAMERangeMGSVAB6" localSheetId="8">#REF!</definedName>
    <definedName name="FAMERangeMGSVAB7" localSheetId="8">#REF!</definedName>
    <definedName name="FAMERangeMGSVAB8" localSheetId="8">#REF!</definedName>
    <definedName name="FAMERangeMGSVAB9" localSheetId="8">#REF!</definedName>
    <definedName name="FAMERangeMGSVAC10" localSheetId="8">#REF!</definedName>
    <definedName name="FAMERangeMGSVAC11" localSheetId="8">#REF!</definedName>
    <definedName name="FAMERangeMGSVAC12" localSheetId="8">#REF!</definedName>
    <definedName name="FAMERangeMGSVAC13" localSheetId="8">#REF!</definedName>
    <definedName name="FAMERangeMGSVAC14" localSheetId="8">#REF!</definedName>
    <definedName name="FAMERangeMGSVAC15" localSheetId="8">#REF!</definedName>
    <definedName name="FAMERangeMGSVAC16" localSheetId="8">#REF!</definedName>
    <definedName name="FAMERangeMGSVAC17" localSheetId="8">#REF!</definedName>
    <definedName name="FAMERangeMGSVAC18" localSheetId="8">#REF!</definedName>
    <definedName name="FAMERangeMGSVAC19" localSheetId="8">#REF!</definedName>
    <definedName name="FAMERangeMGSVAC20" localSheetId="8">#REF!</definedName>
    <definedName name="FAMERangeMGSVAC21" localSheetId="8">#REF!</definedName>
    <definedName name="FAMERangeMGSVAC22" localSheetId="8">#REF!</definedName>
    <definedName name="FAMERangeMGSVAC23" localSheetId="8">#REF!</definedName>
    <definedName name="FAMERangeMGSVAC24" localSheetId="8">#REF!</definedName>
    <definedName name="FAMERangeMGSVAC25" localSheetId="8">#REF!</definedName>
    <definedName name="FAMERangeMGSVAC26" localSheetId="8">#REF!</definedName>
    <definedName name="FAMERangeMGSVAC27" localSheetId="8">#REF!</definedName>
    <definedName name="FAMERangeMGSVAC28" localSheetId="8">#REF!</definedName>
    <definedName name="FAMERangeMGSVAC29" localSheetId="8">#REF!</definedName>
    <definedName name="FAMERangeMGSVAC30" localSheetId="8">#REF!</definedName>
    <definedName name="FAMERangeMGSVAC31" localSheetId="8">#REF!</definedName>
    <definedName name="FAMERangeMGSVAC32" localSheetId="8">#REF!</definedName>
    <definedName name="FAMERangeMGSVAC33" localSheetId="8">#REF!</definedName>
    <definedName name="FAMERangeMGSVAC34" localSheetId="8">#REF!</definedName>
    <definedName name="FAMERangeMGSVAC35" localSheetId="8">#REF!</definedName>
    <definedName name="FAMERangeMGSVAC36" localSheetId="8">#REF!</definedName>
    <definedName name="FAMERangeMGSVAC38" localSheetId="8">#REF!</definedName>
    <definedName name="FAMERangeMGSVAC5" localSheetId="8">#REF!</definedName>
    <definedName name="FAMERangeMGSVAC6" localSheetId="8">#REF!</definedName>
    <definedName name="FAMERangeMGSVAC7" localSheetId="8">#REF!</definedName>
    <definedName name="FAMERangeMGSVAC8" localSheetId="8">#REF!</definedName>
    <definedName name="FAMERangeMGSVAC9" localSheetId="8">#REF!</definedName>
    <definedName name="FAMERangeMGSVAD10" localSheetId="8">#REF!</definedName>
    <definedName name="FAMERangeMGSVAD11" localSheetId="8">#REF!</definedName>
    <definedName name="FAMERangeMGSVAD12" localSheetId="8">#REF!</definedName>
    <definedName name="FAMERangeMGSVAD13" localSheetId="8">#REF!</definedName>
    <definedName name="FAMERangeMGSVAD14" localSheetId="8">#REF!</definedName>
    <definedName name="FAMERangeMGSVAD15" localSheetId="8">#REF!</definedName>
    <definedName name="FAMERangeMGSVAD16" localSheetId="8">#REF!</definedName>
    <definedName name="FAMERangeMGSVAD17" localSheetId="8">#REF!</definedName>
    <definedName name="FAMERangeMGSVAD18" localSheetId="8">#REF!</definedName>
    <definedName name="FAMERangeMGSVAD19" localSheetId="8">#REF!</definedName>
    <definedName name="FAMERangeMGSVAD20" localSheetId="8">#REF!</definedName>
    <definedName name="FAMERangeMGSVAD21" localSheetId="8">#REF!</definedName>
    <definedName name="FAMERangeMGSVAD22" localSheetId="8">#REF!</definedName>
    <definedName name="FAMERangeMGSVAD23" localSheetId="8">#REF!</definedName>
    <definedName name="FAMERangeMGSVAD24" localSheetId="8">#REF!</definedName>
    <definedName name="FAMERangeMGSVAD25" localSheetId="8">#REF!</definedName>
    <definedName name="FAMERangeMGSVAD26" localSheetId="8">#REF!</definedName>
    <definedName name="FAMERangeMGSVAD27" localSheetId="8">#REF!</definedName>
    <definedName name="FAMERangeMGSVAD28" localSheetId="8">#REF!</definedName>
    <definedName name="FAMERangeMGSVAD29" localSheetId="8">#REF!</definedName>
    <definedName name="FAMERangeMGSVAD30" localSheetId="8">#REF!</definedName>
    <definedName name="FAMERangeMGSVAD31" localSheetId="8">#REF!</definedName>
    <definedName name="FAMERangeMGSVAD32" localSheetId="8">#REF!</definedName>
    <definedName name="FAMERangeMGSVAD33" localSheetId="8">#REF!</definedName>
    <definedName name="FAMERangeMGSVAD34" localSheetId="8">#REF!</definedName>
    <definedName name="FAMERangeMGSVAD35" localSheetId="8">#REF!</definedName>
    <definedName name="FAMERangeMGSVAD36" localSheetId="8">#REF!</definedName>
    <definedName name="FAMERangeMGSVAD38" localSheetId="8">#REF!</definedName>
    <definedName name="FAMERangeMGSVAD5" localSheetId="8">#REF!</definedName>
    <definedName name="FAMERangeMGSVAD6" localSheetId="8">#REF!</definedName>
    <definedName name="FAMERangeMGSVAD7" localSheetId="8">#REF!</definedName>
    <definedName name="FAMERangeMGSVAD8" localSheetId="8">#REF!</definedName>
    <definedName name="FAMERangeMGSVAD9" localSheetId="8">#REF!</definedName>
    <definedName name="fjsldkfjsdljflsdkjf" localSheetId="8">#REF!</definedName>
    <definedName name="hhhh" localSheetId="8">#REF!</definedName>
    <definedName name="kkkk" localSheetId="8">#REF!</definedName>
    <definedName name="Print_Area_MI" localSheetId="8">#REF!</definedName>
    <definedName name="qqqqqqqqqqqqqqqqqqqqqqq" localSheetId="8">#REF!</definedName>
    <definedName name="sheng" localSheetId="8">#REF!</definedName>
    <definedName name="summary" localSheetId="8">#REF!</definedName>
    <definedName name="UniqueRange_37" localSheetId="8">#REF!</definedName>
    <definedName name="UniqueRange_38" localSheetId="8">#REF!</definedName>
    <definedName name="UniqueRange_39" localSheetId="8">#REF!</definedName>
    <definedName name="UniqueRange_40" localSheetId="8">#REF!</definedName>
    <definedName name="UniqueRange_41" localSheetId="8">#REF!</definedName>
    <definedName name="UniqueRange_42" localSheetId="8">#REF!</definedName>
    <definedName name="UniqueRange_43" localSheetId="8">#REF!</definedName>
    <definedName name="UniqueRange_44" localSheetId="8">#REF!</definedName>
    <definedName name="UniqueRange_45" localSheetId="8">#REF!</definedName>
    <definedName name="UniqueRange_46" localSheetId="8">#REF!</definedName>
    <definedName name="UniqueRange_47" localSheetId="8">#REF!</definedName>
    <definedName name="xxxx" localSheetId="8">[37]人民银行!#REF!</definedName>
    <definedName name="zqlx" localSheetId="8">[38]DB!$M$43:$M$46</definedName>
    <definedName name="北京市行政区划" localSheetId="8">#REF!</definedName>
    <definedName name="财政供养" localSheetId="8">#REF!</definedName>
    <definedName name="产品" localSheetId="8">[39]Chap5_1!$A$1:$E$72</definedName>
    <definedName name="处室" localSheetId="8">#REF!</definedName>
    <definedName name="还有" localSheetId="8">#REF!</definedName>
    <definedName name="汇率" localSheetId="8">#REF!</definedName>
    <definedName name="基金处室" localSheetId="8">#REF!</definedName>
    <definedName name="基金金额" localSheetId="8">#REF!</definedName>
    <definedName name="基金科目" localSheetId="8">#REF!</definedName>
    <definedName name="基金类型" localSheetId="8">#REF!</definedName>
    <definedName name="金额" localSheetId="8">#REF!</definedName>
    <definedName name="科目" localSheetId="8">#REF!</definedName>
    <definedName name="类型" localSheetId="8">#REF!</definedName>
    <definedName name="区划" localSheetId="8">#REF!</definedName>
    <definedName name="生产列1" localSheetId="8">#REF!</definedName>
    <definedName name="生产列11" localSheetId="8">#REF!</definedName>
    <definedName name="生产列15" localSheetId="8">#REF!</definedName>
    <definedName name="生产列16" localSheetId="8">#REF!</definedName>
    <definedName name="生产列17" localSheetId="8">#REF!</definedName>
    <definedName name="生产列19" localSheetId="8">#REF!</definedName>
    <definedName name="生产列2" localSheetId="8">#REF!</definedName>
    <definedName name="生产列20" localSheetId="8">#REF!</definedName>
    <definedName name="生产列3" localSheetId="8">#REF!</definedName>
    <definedName name="生产列4" localSheetId="8">#REF!</definedName>
    <definedName name="生产列5" localSheetId="8">#REF!</definedName>
    <definedName name="生产列6" localSheetId="8">#REF!</definedName>
    <definedName name="生产列7" localSheetId="8">#REF!</definedName>
    <definedName name="生产列8" localSheetId="8">#REF!</definedName>
    <definedName name="生产列9" localSheetId="8">#REF!</definedName>
    <definedName name="生产期" localSheetId="8">#REF!</definedName>
    <definedName name="生产期1" localSheetId="8">#REF!</definedName>
    <definedName name="生产期11" localSheetId="8">#REF!</definedName>
    <definedName name="生产期123" localSheetId="8">#REF!</definedName>
    <definedName name="生产期15" localSheetId="8">#REF!</definedName>
    <definedName name="生产期16" localSheetId="8">#REF!</definedName>
    <definedName name="生产期17" localSheetId="8">#REF!</definedName>
    <definedName name="生产期18" localSheetId="8">#REF!</definedName>
    <definedName name="生产期19" localSheetId="8">#REF!</definedName>
    <definedName name="生产期2" localSheetId="8">#REF!</definedName>
    <definedName name="生产期20" localSheetId="8">#REF!</definedName>
    <definedName name="生产期3" localSheetId="8">#REF!</definedName>
    <definedName name="生产期4" localSheetId="8">#REF!</definedName>
    <definedName name="生产期5" localSheetId="8">#REF!</definedName>
    <definedName name="生产期6" localSheetId="8">#REF!</definedName>
    <definedName name="生产期7" localSheetId="8">#REF!</definedName>
    <definedName name="生产期8" localSheetId="8">#REF!</definedName>
    <definedName name="生产期9" localSheetId="8">#REF!</definedName>
    <definedName name="전" localSheetId="8">#REF!</definedName>
    <definedName name="주택사업본부" localSheetId="8">#REF!</definedName>
    <definedName name="철구사업본부" localSheetId="8">#REF!</definedName>
    <definedName name="_xlnm.Print_Area" localSheetId="8">'（附表7）政府性基金支出科目'!$A$1:$T$112</definedName>
    <definedName name="_xlnm.Print_Titles" localSheetId="8">'（附表7）政府性基金支出科目'!$1:$5</definedName>
    <definedName name="_123" localSheetId="7">OFFSET(#REF!,,,COUNTA(#REF!)-1)</definedName>
    <definedName name="a" localSheetId="7">#REF!</definedName>
    <definedName name="aa" localSheetId="7">#REF!</definedName>
    <definedName name="ABC" localSheetId="7">#REF!</definedName>
    <definedName name="ABD" localSheetId="7">#REF!</definedName>
    <definedName name="county" localSheetId="7">#REF!</definedName>
    <definedName name="data" localSheetId="7">#REF!</definedName>
    <definedName name="database2" localSheetId="7">#REF!</definedName>
    <definedName name="database3" localSheetId="7">#REF!</definedName>
    <definedName name="ddd" localSheetId="7">#REF!</definedName>
    <definedName name="dddd" localSheetId="7">[37]人民银行!#REF!</definedName>
    <definedName name="FAMERangeexchebAD12" localSheetId="7">#REF!</definedName>
    <definedName name="FAMERangeirsAD12" localSheetId="7">#REF!</definedName>
    <definedName name="FAMERangeMGSV" localSheetId="7">#REF!</definedName>
    <definedName name="FAMERangeMGSVAB10" localSheetId="7">#REF!</definedName>
    <definedName name="FAMERangeMGSVAB11" localSheetId="7">#REF!</definedName>
    <definedName name="FAMERangeMGSVAB12" localSheetId="7">#REF!</definedName>
    <definedName name="FAMERangeMGSVAB13" localSheetId="7">#REF!</definedName>
    <definedName name="FAMERangeMGSVAB14" localSheetId="7">#REF!</definedName>
    <definedName name="FAMERangeMGSVAB15" localSheetId="7">#REF!</definedName>
    <definedName name="FAMERangeMGSVAB16" localSheetId="7">#REF!</definedName>
    <definedName name="FAMERangeMGSVAB17" localSheetId="7">#REF!</definedName>
    <definedName name="FAMERangeMGSVAB18" localSheetId="7">#REF!</definedName>
    <definedName name="FAMERangeMGSVAB19" localSheetId="7">#REF!</definedName>
    <definedName name="FAMERangeMGSVAB20" localSheetId="7">#REF!</definedName>
    <definedName name="FAMERangeMGSVAB21" localSheetId="7">#REF!</definedName>
    <definedName name="FAMERangeMGSVAB22" localSheetId="7">#REF!</definedName>
    <definedName name="FAMERangeMGSVAB23" localSheetId="7">#REF!</definedName>
    <definedName name="FAMERangeMGSVAB24" localSheetId="7">#REF!</definedName>
    <definedName name="FAMERangeMGSVAB25" localSheetId="7">#REF!</definedName>
    <definedName name="FAMERangeMGSVAB26" localSheetId="7">#REF!</definedName>
    <definedName name="FAMERangeMGSVAB27" localSheetId="7">#REF!</definedName>
    <definedName name="FAMERangeMGSVAB28" localSheetId="7">#REF!</definedName>
    <definedName name="FAMERangeMGSVAB29" localSheetId="7">#REF!</definedName>
    <definedName name="FAMERangeMGSVAB30" localSheetId="7">#REF!</definedName>
    <definedName name="FAMERangeMGSVAB31" localSheetId="7">#REF!</definedName>
    <definedName name="FAMERangeMGSVAB32" localSheetId="7">#REF!</definedName>
    <definedName name="FAMERangeMGSVAB33" localSheetId="7">#REF!</definedName>
    <definedName name="FAMERangeMGSVAB34" localSheetId="7">#REF!</definedName>
    <definedName name="FAMERangeMGSVAB35" localSheetId="7">#REF!</definedName>
    <definedName name="FAMERangeMGSVAB36" localSheetId="7">#REF!</definedName>
    <definedName name="FAMERangeMGSVAB38" localSheetId="7">#REF!</definedName>
    <definedName name="FAMERangeMGSVAB5" localSheetId="7">#REF!</definedName>
    <definedName name="FAMERangeMGSVAB6" localSheetId="7">#REF!</definedName>
    <definedName name="FAMERangeMGSVAB7" localSheetId="7">#REF!</definedName>
    <definedName name="FAMERangeMGSVAB8" localSheetId="7">#REF!</definedName>
    <definedName name="FAMERangeMGSVAB9" localSheetId="7">#REF!</definedName>
    <definedName name="FAMERangeMGSVAC10" localSheetId="7">#REF!</definedName>
    <definedName name="FAMERangeMGSVAC11" localSheetId="7">#REF!</definedName>
    <definedName name="FAMERangeMGSVAC12" localSheetId="7">#REF!</definedName>
    <definedName name="FAMERangeMGSVAC13" localSheetId="7">#REF!</definedName>
    <definedName name="FAMERangeMGSVAC14" localSheetId="7">#REF!</definedName>
    <definedName name="FAMERangeMGSVAC15" localSheetId="7">#REF!</definedName>
    <definedName name="FAMERangeMGSVAC16" localSheetId="7">#REF!</definedName>
    <definedName name="FAMERangeMGSVAC17" localSheetId="7">#REF!</definedName>
    <definedName name="FAMERangeMGSVAC18" localSheetId="7">#REF!</definedName>
    <definedName name="FAMERangeMGSVAC19" localSheetId="7">#REF!</definedName>
    <definedName name="FAMERangeMGSVAC20" localSheetId="7">#REF!</definedName>
    <definedName name="FAMERangeMGSVAC21" localSheetId="7">#REF!</definedName>
    <definedName name="FAMERangeMGSVAC22" localSheetId="7">#REF!</definedName>
    <definedName name="FAMERangeMGSVAC23" localSheetId="7">#REF!</definedName>
    <definedName name="FAMERangeMGSVAC24" localSheetId="7">#REF!</definedName>
    <definedName name="FAMERangeMGSVAC25" localSheetId="7">#REF!</definedName>
    <definedName name="FAMERangeMGSVAC26" localSheetId="7">#REF!</definedName>
    <definedName name="FAMERangeMGSVAC27" localSheetId="7">#REF!</definedName>
    <definedName name="FAMERangeMGSVAC28" localSheetId="7">#REF!</definedName>
    <definedName name="FAMERangeMGSVAC29" localSheetId="7">#REF!</definedName>
    <definedName name="FAMERangeMGSVAC30" localSheetId="7">#REF!</definedName>
    <definedName name="FAMERangeMGSVAC31" localSheetId="7">#REF!</definedName>
    <definedName name="FAMERangeMGSVAC32" localSheetId="7">#REF!</definedName>
    <definedName name="FAMERangeMGSVAC33" localSheetId="7">#REF!</definedName>
    <definedName name="FAMERangeMGSVAC34" localSheetId="7">#REF!</definedName>
    <definedName name="FAMERangeMGSVAC35" localSheetId="7">#REF!</definedName>
    <definedName name="FAMERangeMGSVAC36" localSheetId="7">#REF!</definedName>
    <definedName name="FAMERangeMGSVAC38" localSheetId="7">#REF!</definedName>
    <definedName name="FAMERangeMGSVAC5" localSheetId="7">#REF!</definedName>
    <definedName name="FAMERangeMGSVAC6" localSheetId="7">#REF!</definedName>
    <definedName name="FAMERangeMGSVAC7" localSheetId="7">#REF!</definedName>
    <definedName name="FAMERangeMGSVAC8" localSheetId="7">#REF!</definedName>
    <definedName name="FAMERangeMGSVAC9" localSheetId="7">#REF!</definedName>
    <definedName name="FAMERangeMGSVAD10" localSheetId="7">#REF!</definedName>
    <definedName name="FAMERangeMGSVAD11" localSheetId="7">#REF!</definedName>
    <definedName name="FAMERangeMGSVAD12" localSheetId="7">#REF!</definedName>
    <definedName name="FAMERangeMGSVAD13" localSheetId="7">#REF!</definedName>
    <definedName name="FAMERangeMGSVAD14" localSheetId="7">#REF!</definedName>
    <definedName name="FAMERangeMGSVAD15" localSheetId="7">#REF!</definedName>
    <definedName name="FAMERangeMGSVAD16" localSheetId="7">#REF!</definedName>
    <definedName name="FAMERangeMGSVAD17" localSheetId="7">#REF!</definedName>
    <definedName name="FAMERangeMGSVAD18" localSheetId="7">#REF!</definedName>
    <definedName name="FAMERangeMGSVAD19" localSheetId="7">#REF!</definedName>
    <definedName name="FAMERangeMGSVAD20" localSheetId="7">#REF!</definedName>
    <definedName name="FAMERangeMGSVAD21" localSheetId="7">#REF!</definedName>
    <definedName name="FAMERangeMGSVAD22" localSheetId="7">#REF!</definedName>
    <definedName name="FAMERangeMGSVAD23" localSheetId="7">#REF!</definedName>
    <definedName name="FAMERangeMGSVAD24" localSheetId="7">#REF!</definedName>
    <definedName name="FAMERangeMGSVAD25" localSheetId="7">#REF!</definedName>
    <definedName name="FAMERangeMGSVAD26" localSheetId="7">#REF!</definedName>
    <definedName name="FAMERangeMGSVAD27" localSheetId="7">#REF!</definedName>
    <definedName name="FAMERangeMGSVAD28" localSheetId="7">#REF!</definedName>
    <definedName name="FAMERangeMGSVAD29" localSheetId="7">#REF!</definedName>
    <definedName name="FAMERangeMGSVAD30" localSheetId="7">#REF!</definedName>
    <definedName name="FAMERangeMGSVAD31" localSheetId="7">#REF!</definedName>
    <definedName name="FAMERangeMGSVAD32" localSheetId="7">#REF!</definedName>
    <definedName name="FAMERangeMGSVAD33" localSheetId="7">#REF!</definedName>
    <definedName name="FAMERangeMGSVAD34" localSheetId="7">#REF!</definedName>
    <definedName name="FAMERangeMGSVAD35" localSheetId="7">#REF!</definedName>
    <definedName name="FAMERangeMGSVAD36" localSheetId="7">#REF!</definedName>
    <definedName name="FAMERangeMGSVAD38" localSheetId="7">#REF!</definedName>
    <definedName name="FAMERangeMGSVAD5" localSheetId="7">#REF!</definedName>
    <definedName name="FAMERangeMGSVAD6" localSheetId="7">#REF!</definedName>
    <definedName name="FAMERangeMGSVAD7" localSheetId="7">#REF!</definedName>
    <definedName name="FAMERangeMGSVAD8" localSheetId="7">#REF!</definedName>
    <definedName name="FAMERangeMGSVAD9" localSheetId="7">#REF!</definedName>
    <definedName name="fjsldkfjsdljflsdkjf" localSheetId="7">#REF!</definedName>
    <definedName name="hhhh" localSheetId="7">#REF!</definedName>
    <definedName name="kkkk" localSheetId="7">#REF!</definedName>
    <definedName name="Print_Area_MI" localSheetId="7">#REF!</definedName>
    <definedName name="qqqqqqqqqqqqqqqqqqqqqqq" localSheetId="7">#REF!</definedName>
    <definedName name="sheng" localSheetId="7">#REF!</definedName>
    <definedName name="summary" localSheetId="7">#REF!</definedName>
    <definedName name="UniqueRange_37" localSheetId="7">#REF!</definedName>
    <definedName name="UniqueRange_38" localSheetId="7">#REF!</definedName>
    <definedName name="UniqueRange_39" localSheetId="7">#REF!</definedName>
    <definedName name="UniqueRange_40" localSheetId="7">#REF!</definedName>
    <definedName name="UniqueRange_41" localSheetId="7">#REF!</definedName>
    <definedName name="UniqueRange_42" localSheetId="7">#REF!</definedName>
    <definedName name="UniqueRange_43" localSheetId="7">#REF!</definedName>
    <definedName name="UniqueRange_44" localSheetId="7">#REF!</definedName>
    <definedName name="UniqueRange_45" localSheetId="7">#REF!</definedName>
    <definedName name="UniqueRange_46" localSheetId="7">#REF!</definedName>
    <definedName name="UniqueRange_47" localSheetId="7">#REF!</definedName>
    <definedName name="xxxx" localSheetId="7">[37]人民银行!#REF!</definedName>
    <definedName name="zqlx" localSheetId="7">[38]DB!$M$43:$M$46</definedName>
    <definedName name="北京市行政区划" localSheetId="7">#REF!</definedName>
    <definedName name="财政供养" localSheetId="7">#REF!</definedName>
    <definedName name="产品" localSheetId="7">[39]Chap5_1!$A$1:$E$72</definedName>
    <definedName name="处室" localSheetId="7">#REF!</definedName>
    <definedName name="还有" localSheetId="7">#REF!</definedName>
    <definedName name="汇率" localSheetId="7">#REF!</definedName>
    <definedName name="基金处室" localSheetId="7">#REF!</definedName>
    <definedName name="基金金额" localSheetId="7">#REF!</definedName>
    <definedName name="基金科目" localSheetId="7">#REF!</definedName>
    <definedName name="基金类型" localSheetId="7">#REF!</definedName>
    <definedName name="金额" localSheetId="7">#REF!</definedName>
    <definedName name="科目" localSheetId="7">#REF!</definedName>
    <definedName name="类型" localSheetId="7">#REF!</definedName>
    <definedName name="区划" localSheetId="7">#REF!</definedName>
    <definedName name="生产列1" localSheetId="7">#REF!</definedName>
    <definedName name="生产列11" localSheetId="7">#REF!</definedName>
    <definedName name="生产列15" localSheetId="7">#REF!</definedName>
    <definedName name="生产列16" localSheetId="7">#REF!</definedName>
    <definedName name="生产列17" localSheetId="7">#REF!</definedName>
    <definedName name="生产列19" localSheetId="7">#REF!</definedName>
    <definedName name="生产列2" localSheetId="7">#REF!</definedName>
    <definedName name="生产列20" localSheetId="7">#REF!</definedName>
    <definedName name="生产列3" localSheetId="7">#REF!</definedName>
    <definedName name="生产列4" localSheetId="7">#REF!</definedName>
    <definedName name="生产列5" localSheetId="7">#REF!</definedName>
    <definedName name="生产列6" localSheetId="7">#REF!</definedName>
    <definedName name="生产列7" localSheetId="7">#REF!</definedName>
    <definedName name="生产列8" localSheetId="7">#REF!</definedName>
    <definedName name="生产列9" localSheetId="7">#REF!</definedName>
    <definedName name="生产期" localSheetId="7">#REF!</definedName>
    <definedName name="生产期1" localSheetId="7">#REF!</definedName>
    <definedName name="生产期11" localSheetId="7">#REF!</definedName>
    <definedName name="生产期123" localSheetId="7">#REF!</definedName>
    <definedName name="生产期15" localSheetId="7">#REF!</definedName>
    <definedName name="生产期16" localSheetId="7">#REF!</definedName>
    <definedName name="生产期17" localSheetId="7">#REF!</definedName>
    <definedName name="生产期18" localSheetId="7">#REF!</definedName>
    <definedName name="生产期19" localSheetId="7">#REF!</definedName>
    <definedName name="生产期2" localSheetId="7">#REF!</definedName>
    <definedName name="生产期20" localSheetId="7">#REF!</definedName>
    <definedName name="生产期3" localSheetId="7">#REF!</definedName>
    <definedName name="生产期4" localSheetId="7">#REF!</definedName>
    <definedName name="生产期5" localSheetId="7">#REF!</definedName>
    <definedName name="生产期6" localSheetId="7">#REF!</definedName>
    <definedName name="生产期7" localSheetId="7">#REF!</definedName>
    <definedName name="生产期8" localSheetId="7">#REF!</definedName>
    <definedName name="生产期9" localSheetId="7">#REF!</definedName>
    <definedName name="전" localSheetId="7">#REF!</definedName>
    <definedName name="주택사업본부" localSheetId="7">#REF!</definedName>
    <definedName name="철구사업본부" localSheetId="7">#REF!</definedName>
    <definedName name="_xlnm._FilterDatabase" localSheetId="7" hidden="1">'（附表6）政府性基金预算收入项目'!$A$3:$K$40</definedName>
    <definedName name="_xlnm.Print_Titles" localSheetId="7">'（附表6）政府性基金预算收入项目'!$1:$5</definedName>
    <definedName name="_xlnm.Print_Area" localSheetId="7">'（附表6）政府性基金预算收入项目'!$A$1:$K$40</definedName>
    <definedName name="_123" localSheetId="6">OFFSET(#REF!,,,COUNTA(#REF!)-1)</definedName>
    <definedName name="a" localSheetId="6">#REF!</definedName>
    <definedName name="aa" localSheetId="6">#REF!</definedName>
    <definedName name="ABC" localSheetId="6">#REF!</definedName>
    <definedName name="ABD" localSheetId="6">#REF!</definedName>
    <definedName name="county" localSheetId="6">#REF!</definedName>
    <definedName name="data" localSheetId="6">#REF!</definedName>
    <definedName name="database2" localSheetId="6">#REF!</definedName>
    <definedName name="database3" localSheetId="6">#REF!</definedName>
    <definedName name="ddd" localSheetId="6">#REF!</definedName>
    <definedName name="dddd" localSheetId="6">[37]人民银行!#REF!</definedName>
    <definedName name="FAMERangeexchebAD12" localSheetId="6">#REF!</definedName>
    <definedName name="FAMERangeirsAD12" localSheetId="6">#REF!</definedName>
    <definedName name="FAMERangeMGSV" localSheetId="6">#REF!</definedName>
    <definedName name="FAMERangeMGSVAB10" localSheetId="6">#REF!</definedName>
    <definedName name="FAMERangeMGSVAB11" localSheetId="6">#REF!</definedName>
    <definedName name="FAMERangeMGSVAB12" localSheetId="6">#REF!</definedName>
    <definedName name="FAMERangeMGSVAB13" localSheetId="6">#REF!</definedName>
    <definedName name="FAMERangeMGSVAB14" localSheetId="6">#REF!</definedName>
    <definedName name="FAMERangeMGSVAB15" localSheetId="6">#REF!</definedName>
    <definedName name="FAMERangeMGSVAB16" localSheetId="6">#REF!</definedName>
    <definedName name="FAMERangeMGSVAB17" localSheetId="6">#REF!</definedName>
    <definedName name="FAMERangeMGSVAB18" localSheetId="6">#REF!</definedName>
    <definedName name="FAMERangeMGSVAB19" localSheetId="6">#REF!</definedName>
    <definedName name="FAMERangeMGSVAB20" localSheetId="6">#REF!</definedName>
    <definedName name="FAMERangeMGSVAB21" localSheetId="6">#REF!</definedName>
    <definedName name="FAMERangeMGSVAB22" localSheetId="6">#REF!</definedName>
    <definedName name="FAMERangeMGSVAB23" localSheetId="6">#REF!</definedName>
    <definedName name="FAMERangeMGSVAB24" localSheetId="6">#REF!</definedName>
    <definedName name="FAMERangeMGSVAB25" localSheetId="6">#REF!</definedName>
    <definedName name="FAMERangeMGSVAB26" localSheetId="6">#REF!</definedName>
    <definedName name="FAMERangeMGSVAB27" localSheetId="6">#REF!</definedName>
    <definedName name="FAMERangeMGSVAB28" localSheetId="6">#REF!</definedName>
    <definedName name="FAMERangeMGSVAB29" localSheetId="6">#REF!</definedName>
    <definedName name="FAMERangeMGSVAB30" localSheetId="6">#REF!</definedName>
    <definedName name="FAMERangeMGSVAB31" localSheetId="6">#REF!</definedName>
    <definedName name="FAMERangeMGSVAB32" localSheetId="6">#REF!</definedName>
    <definedName name="FAMERangeMGSVAB33" localSheetId="6">#REF!</definedName>
    <definedName name="FAMERangeMGSVAB34" localSheetId="6">#REF!</definedName>
    <definedName name="FAMERangeMGSVAB35" localSheetId="6">#REF!</definedName>
    <definedName name="FAMERangeMGSVAB36" localSheetId="6">#REF!</definedName>
    <definedName name="FAMERangeMGSVAB38" localSheetId="6">#REF!</definedName>
    <definedName name="FAMERangeMGSVAB5" localSheetId="6">#REF!</definedName>
    <definedName name="FAMERangeMGSVAB6" localSheetId="6">#REF!</definedName>
    <definedName name="FAMERangeMGSVAB7" localSheetId="6">#REF!</definedName>
    <definedName name="FAMERangeMGSVAB8" localSheetId="6">#REF!</definedName>
    <definedName name="FAMERangeMGSVAB9" localSheetId="6">#REF!</definedName>
    <definedName name="FAMERangeMGSVAC10" localSheetId="6">#REF!</definedName>
    <definedName name="FAMERangeMGSVAC11" localSheetId="6">#REF!</definedName>
    <definedName name="FAMERangeMGSVAC12" localSheetId="6">#REF!</definedName>
    <definedName name="FAMERangeMGSVAC13" localSheetId="6">#REF!</definedName>
    <definedName name="FAMERangeMGSVAC14" localSheetId="6">#REF!</definedName>
    <definedName name="FAMERangeMGSVAC15" localSheetId="6">#REF!</definedName>
    <definedName name="FAMERangeMGSVAC16" localSheetId="6">#REF!</definedName>
    <definedName name="FAMERangeMGSVAC17" localSheetId="6">#REF!</definedName>
    <definedName name="FAMERangeMGSVAC18" localSheetId="6">#REF!</definedName>
    <definedName name="FAMERangeMGSVAC19" localSheetId="6">#REF!</definedName>
    <definedName name="FAMERangeMGSVAC20" localSheetId="6">#REF!</definedName>
    <definedName name="FAMERangeMGSVAC21" localSheetId="6">#REF!</definedName>
    <definedName name="FAMERangeMGSVAC22" localSheetId="6">#REF!</definedName>
    <definedName name="FAMERangeMGSVAC23" localSheetId="6">#REF!</definedName>
    <definedName name="FAMERangeMGSVAC24" localSheetId="6">#REF!</definedName>
    <definedName name="FAMERangeMGSVAC25" localSheetId="6">#REF!</definedName>
    <definedName name="FAMERangeMGSVAC26" localSheetId="6">#REF!</definedName>
    <definedName name="FAMERangeMGSVAC27" localSheetId="6">#REF!</definedName>
    <definedName name="FAMERangeMGSVAC28" localSheetId="6">#REF!</definedName>
    <definedName name="FAMERangeMGSVAC29" localSheetId="6">#REF!</definedName>
    <definedName name="FAMERangeMGSVAC30" localSheetId="6">#REF!</definedName>
    <definedName name="FAMERangeMGSVAC31" localSheetId="6">#REF!</definedName>
    <definedName name="FAMERangeMGSVAC32" localSheetId="6">#REF!</definedName>
    <definedName name="FAMERangeMGSVAC33" localSheetId="6">#REF!</definedName>
    <definedName name="FAMERangeMGSVAC34" localSheetId="6">#REF!</definedName>
    <definedName name="FAMERangeMGSVAC35" localSheetId="6">#REF!</definedName>
    <definedName name="FAMERangeMGSVAC36" localSheetId="6">#REF!</definedName>
    <definedName name="FAMERangeMGSVAC38" localSheetId="6">#REF!</definedName>
    <definedName name="FAMERangeMGSVAC5" localSheetId="6">#REF!</definedName>
    <definedName name="FAMERangeMGSVAC6" localSheetId="6">#REF!</definedName>
    <definedName name="FAMERangeMGSVAC7" localSheetId="6">#REF!</definedName>
    <definedName name="FAMERangeMGSVAC8" localSheetId="6">#REF!</definedName>
    <definedName name="FAMERangeMGSVAC9" localSheetId="6">#REF!</definedName>
    <definedName name="FAMERangeMGSVAD10" localSheetId="6">#REF!</definedName>
    <definedName name="FAMERangeMGSVAD11" localSheetId="6">#REF!</definedName>
    <definedName name="FAMERangeMGSVAD12" localSheetId="6">#REF!</definedName>
    <definedName name="FAMERangeMGSVAD13" localSheetId="6">#REF!</definedName>
    <definedName name="FAMERangeMGSVAD14" localSheetId="6">#REF!</definedName>
    <definedName name="FAMERangeMGSVAD15" localSheetId="6">#REF!</definedName>
    <definedName name="FAMERangeMGSVAD16" localSheetId="6">#REF!</definedName>
    <definedName name="FAMERangeMGSVAD17" localSheetId="6">#REF!</definedName>
    <definedName name="FAMERangeMGSVAD18" localSheetId="6">#REF!</definedName>
    <definedName name="FAMERangeMGSVAD19" localSheetId="6">#REF!</definedName>
    <definedName name="FAMERangeMGSVAD20" localSheetId="6">#REF!</definedName>
    <definedName name="FAMERangeMGSVAD21" localSheetId="6">#REF!</definedName>
    <definedName name="FAMERangeMGSVAD22" localSheetId="6">#REF!</definedName>
    <definedName name="FAMERangeMGSVAD23" localSheetId="6">#REF!</definedName>
    <definedName name="FAMERangeMGSVAD24" localSheetId="6">#REF!</definedName>
    <definedName name="FAMERangeMGSVAD25" localSheetId="6">#REF!</definedName>
    <definedName name="FAMERangeMGSVAD26" localSheetId="6">#REF!</definedName>
    <definedName name="FAMERangeMGSVAD27" localSheetId="6">#REF!</definedName>
    <definedName name="FAMERangeMGSVAD28" localSheetId="6">#REF!</definedName>
    <definedName name="FAMERangeMGSVAD29" localSheetId="6">#REF!</definedName>
    <definedName name="FAMERangeMGSVAD30" localSheetId="6">#REF!</definedName>
    <definedName name="FAMERangeMGSVAD31" localSheetId="6">#REF!</definedName>
    <definedName name="FAMERangeMGSVAD32" localSheetId="6">#REF!</definedName>
    <definedName name="FAMERangeMGSVAD33" localSheetId="6">#REF!</definedName>
    <definedName name="FAMERangeMGSVAD34" localSheetId="6">#REF!</definedName>
    <definedName name="FAMERangeMGSVAD35" localSheetId="6">#REF!</definedName>
    <definedName name="FAMERangeMGSVAD36" localSheetId="6">#REF!</definedName>
    <definedName name="FAMERangeMGSVAD38" localSheetId="6">#REF!</definedName>
    <definedName name="FAMERangeMGSVAD5" localSheetId="6">#REF!</definedName>
    <definedName name="FAMERangeMGSVAD6" localSheetId="6">#REF!</definedName>
    <definedName name="FAMERangeMGSVAD7" localSheetId="6">#REF!</definedName>
    <definedName name="FAMERangeMGSVAD8" localSheetId="6">#REF!</definedName>
    <definedName name="FAMERangeMGSVAD9" localSheetId="6">#REF!</definedName>
    <definedName name="fjsldkfjsdljflsdkjf" localSheetId="6">#REF!</definedName>
    <definedName name="hhhh" localSheetId="6">#REF!</definedName>
    <definedName name="kkkk" localSheetId="6">#REF!</definedName>
    <definedName name="Print_Area_MI" localSheetId="6">#REF!</definedName>
    <definedName name="qqqqqqqqqqqqqqqqqqqqqqq" localSheetId="6">#REF!</definedName>
    <definedName name="sheng" localSheetId="6">#REF!</definedName>
    <definedName name="summary" localSheetId="6">#REF!</definedName>
    <definedName name="UniqueRange_37" localSheetId="6">#REF!</definedName>
    <definedName name="UniqueRange_38" localSheetId="6">#REF!</definedName>
    <definedName name="UniqueRange_39" localSheetId="6">#REF!</definedName>
    <definedName name="UniqueRange_40" localSheetId="6">#REF!</definedName>
    <definedName name="UniqueRange_41" localSheetId="6">#REF!</definedName>
    <definedName name="UniqueRange_42" localSheetId="6">#REF!</definedName>
    <definedName name="UniqueRange_43" localSheetId="6">#REF!</definedName>
    <definedName name="UniqueRange_44" localSheetId="6">#REF!</definedName>
    <definedName name="UniqueRange_45" localSheetId="6">#REF!</definedName>
    <definedName name="UniqueRange_46" localSheetId="6">#REF!</definedName>
    <definedName name="UniqueRange_47" localSheetId="6">#REF!</definedName>
    <definedName name="xxxx" localSheetId="6">[37]人民银行!#REF!</definedName>
    <definedName name="zqlx" localSheetId="6">[38]DB!$M$43:$M$46</definedName>
    <definedName name="北京市行政区划" localSheetId="6">#REF!</definedName>
    <definedName name="本年" localSheetId="6">'[40]1-4余额表'!$L$3</definedName>
    <definedName name="财政供养" localSheetId="6">#REF!</definedName>
    <definedName name="产品" localSheetId="6">[39]Chap5_1!$A$1:$E$72</definedName>
    <definedName name="处室" localSheetId="6">#REF!</definedName>
    <definedName name="当年" localSheetId="6">'[41]1-1余额表'!$L$1</definedName>
    <definedName name="地区" localSheetId="6">OFFSET('[41]1-1余额表'!$A$7,,,COUNTA('[41]1-1余额表'!$A:$A)-1)</definedName>
    <definedName name="还有" localSheetId="6">#REF!</definedName>
    <definedName name="汇率" localSheetId="6">#REF!</definedName>
    <definedName name="基金处室" localSheetId="6">#REF!</definedName>
    <definedName name="基金金额" localSheetId="6">#REF!</definedName>
    <definedName name="基金科目" localSheetId="6">#REF!</definedName>
    <definedName name="基金类型" localSheetId="6">#REF!</definedName>
    <definedName name="金额" localSheetId="6">#REF!</definedName>
    <definedName name="科目" localSheetId="6">#REF!</definedName>
    <definedName name="类型" localSheetId="6">#REF!</definedName>
    <definedName name="区划" localSheetId="6">#REF!</definedName>
    <definedName name="去年" localSheetId="6">'[40]1-4余额表'!$L$4</definedName>
    <definedName name="全部担保" localSheetId="6">OFFSET('[41]1-1余额表'!$G$7,,,COUNTA('[41]1-1余额表'!$G:$G)-1)</definedName>
    <definedName name="全部一般" localSheetId="6">OFFSET('[41]1-1余额表'!$E$7,,,COUNTA('[41]1-1余额表'!$E:$E)-1)</definedName>
    <definedName name="全部余额" localSheetId="6">OFFSET('[41]1-1余额表'!$C$7,,,COUNTA('[41]1-1余额表'!$C:$C)-1)</definedName>
    <definedName name="全部直接" localSheetId="6">OFFSET('[41]1-1余额表'!$D$7,,,COUNTA('[41]1-1余额表'!$D:$D)-1)</definedName>
    <definedName name="全部专项" localSheetId="6">OFFSET('[41]1-1余额表'!$F$7,,,COUNTA('[41]1-1余额表'!$F:$F)-1)</definedName>
    <definedName name="上年" localSheetId="6">'[40]1-4余额表'!$L$2</definedName>
    <definedName name="生产列1" localSheetId="6">#REF!</definedName>
    <definedName name="生产列11" localSheetId="6">#REF!</definedName>
    <definedName name="生产列15" localSheetId="6">#REF!</definedName>
    <definedName name="生产列16" localSheetId="6">#REF!</definedName>
    <definedName name="生产列17" localSheetId="6">#REF!</definedName>
    <definedName name="生产列19" localSheetId="6">#REF!</definedName>
    <definedName name="生产列2" localSheetId="6">#REF!</definedName>
    <definedName name="生产列20" localSheetId="6">#REF!</definedName>
    <definedName name="生产列3" localSheetId="6">#REF!</definedName>
    <definedName name="生产列4" localSheetId="6">#REF!</definedName>
    <definedName name="生产列5" localSheetId="6">#REF!</definedName>
    <definedName name="生产列6" localSheetId="6">#REF!</definedName>
    <definedName name="生产列7" localSheetId="6">#REF!</definedName>
    <definedName name="生产列8" localSheetId="6">#REF!</definedName>
    <definedName name="生产列9" localSheetId="6">#REF!</definedName>
    <definedName name="生产期" localSheetId="6">#REF!</definedName>
    <definedName name="生产期1" localSheetId="6">#REF!</definedName>
    <definedName name="生产期11" localSheetId="6">#REF!</definedName>
    <definedName name="生产期123" localSheetId="6">#REF!</definedName>
    <definedName name="生产期15" localSheetId="6">#REF!</definedName>
    <definedName name="生产期16" localSheetId="6">#REF!</definedName>
    <definedName name="生产期17" localSheetId="6">#REF!</definedName>
    <definedName name="生产期18" localSheetId="6">#REF!</definedName>
    <definedName name="生产期19" localSheetId="6">#REF!</definedName>
    <definedName name="生产期2" localSheetId="6">#REF!</definedName>
    <definedName name="生产期20" localSheetId="6">#REF!</definedName>
    <definedName name="生产期3" localSheetId="6">#REF!</definedName>
    <definedName name="生产期4" localSheetId="6">#REF!</definedName>
    <definedName name="生产期5" localSheetId="6">#REF!</definedName>
    <definedName name="生产期6" localSheetId="6">#REF!</definedName>
    <definedName name="生产期7" localSheetId="6">#REF!</definedName>
    <definedName name="生产期8" localSheetId="6">#REF!</definedName>
    <definedName name="生产期9" localSheetId="6">#REF!</definedName>
    <definedName name="省级担保" localSheetId="6">OFFSET('[41]2-11担保分级表'!$C$6,,,COUNTA('[41]2-11担保分级表'!$C:$C)-1)</definedName>
    <definedName name="省级一般" localSheetId="6">OFFSET('[41]2-7一般分级表'!$C$6,,,COUNTA('[41]2-7一般分级表'!$C:$C)-1)</definedName>
    <definedName name="省级余额" localSheetId="6">OFFSET('[41]2-1余额分级表'!$C$6,,,COUNTA('[41]2-1余额分级表'!$C:$C)-1)</definedName>
    <definedName name="省级直接" localSheetId="6">OFFSET('[41]2-5直接分级表'!$C$6,,,COUNTA('[41]2-5直接分级表'!$C:$C)-1)</definedName>
    <definedName name="省级专项" localSheetId="6">OFFSET('[41]2-9专项分级表'!$C$6,,,COUNTA('[41]2-9专项分级表'!$C:$C)-1)</definedName>
    <definedName name="市级担保" localSheetId="6">OFFSET('[41]2-11担保分级表'!$E$6,,,COUNTA('[41]2-11担保分级表'!$E:$E)-1)</definedName>
    <definedName name="市级一般" localSheetId="6">OFFSET('[41]2-7一般分级表'!$E$6,,,COUNTA('[41]2-7一般分级表'!$E:$E)-1)</definedName>
    <definedName name="市级余额" localSheetId="6">OFFSET('[41]2-1余额分级表'!$E$6,,,COUNTA('[41]2-1余额分级表'!$E:$E)-1)</definedName>
    <definedName name="市级直接" localSheetId="6">OFFSET('[41]2-5直接分级表'!$E$6,,,COUNTA('[41]2-5直接分级表'!$E:$E)-1)</definedName>
    <definedName name="市级专项" localSheetId="6">OFFSET('[41]2-9专项分级表'!$E$6,,,COUNTA('[41]2-9专项分级表'!$E:$E)-1)</definedName>
    <definedName name="县级担保" localSheetId="6">OFFSET('[41]2-11担保分级表'!$G$6,,,COUNTA('[41]2-11担保分级表'!$G:$G)-1)</definedName>
    <definedName name="县级一般" localSheetId="6">OFFSET('[41]2-7一般分级表'!$G$6,,,COUNTA('[41]2-7一般分级表'!$G:$G)-1)</definedName>
    <definedName name="县级余额" localSheetId="6">OFFSET('[41]2-1余额分级表'!$G$6,,,COUNTA('[41]2-1余额分级表'!$G:$G)-1)</definedName>
    <definedName name="县级直接" localSheetId="6">OFFSET('[41]2-5直接分级表'!$G$6,,,COUNTA('[41]2-5直接分级表'!$G:$G)-1)</definedName>
    <definedName name="县级专项" localSheetId="6">OFFSET('[41]2-9专项分级表'!$G$6,,,COUNTA('[41]2-9专项分级表'!$G:$G)-1)</definedName>
    <definedName name="乡级担保" localSheetId="6">OFFSET('[41]2-11担保分级表'!$I$6,,,COUNTA('[41]2-11担保分级表'!$I:$I)-1)</definedName>
    <definedName name="乡级一般" localSheetId="6">OFFSET('[41]2-7一般分级表'!$I$6,,,COUNTA('[41]2-7一般分级表'!$I:$I)-1)</definedName>
    <definedName name="乡级余额" localSheetId="6">OFFSET('[41]2-1余额分级表'!$I$6,,,COUNTA('[41]2-1余额分级表'!$I:$I)-1)</definedName>
    <definedName name="乡级直接" localSheetId="6">OFFSET('[41]2-5直接分级表'!$I$6,,,COUNTA('[41]2-5直接分级表'!$I:$I)-1)</definedName>
    <definedName name="乡级专项" localSheetId="6">OFFSET('[41]2-9专项分级表'!$I$6,,,COUNTA('[41]2-9专项分级表'!$I:$I)-1)</definedName>
    <definedName name="政策性挂账" localSheetId="6">OFFSET('[41]1-1余额表'!$H$7,,,COUNTA('[41]1-1余额表'!$H:$H)-1)</definedName>
    <definedName name="전" localSheetId="6">#REF!</definedName>
    <definedName name="주택사업본부" localSheetId="6">#REF!</definedName>
    <definedName name="철구사업본부" localSheetId="6">#REF!</definedName>
    <definedName name="_xlnm.Print_Titles" localSheetId="6">'（附表5）政府性基金预算收入科目'!$1:$5</definedName>
    <definedName name="_xlnm.Print_Titles" localSheetId="3">'（附表2）公共预算支出科目'!$1:$5</definedName>
    <definedName name="_xlnm.Print_Area" localSheetId="3">'（附表2）公共预算支出科目'!$A$1:$N$437</definedName>
    <definedName name="_123" localSheetId="5">OFFSET(#REF!,,,COUNTA(#REF!)-1)</definedName>
    <definedName name="a" localSheetId="5">#REF!</definedName>
    <definedName name="aa" localSheetId="5">#REF!</definedName>
    <definedName name="ABC" localSheetId="5">#REF!</definedName>
    <definedName name="ABD" localSheetId="5">#REF!</definedName>
    <definedName name="county" localSheetId="5">#REF!</definedName>
    <definedName name="data" localSheetId="5">#REF!</definedName>
    <definedName name="database2" localSheetId="5">#REF!</definedName>
    <definedName name="database3" localSheetId="5">#REF!</definedName>
    <definedName name="ddd" localSheetId="5">#REF!</definedName>
    <definedName name="FAMERangeexchebAD12" localSheetId="5">#REF!</definedName>
    <definedName name="FAMERangeirsAD12" localSheetId="5">#REF!</definedName>
    <definedName name="FAMERangeMGSV" localSheetId="5">#REF!</definedName>
    <definedName name="FAMERangeMGSVAB10" localSheetId="5">#REF!</definedName>
    <definedName name="FAMERangeMGSVAB11" localSheetId="5">#REF!</definedName>
    <definedName name="FAMERangeMGSVAB12" localSheetId="5">#REF!</definedName>
    <definedName name="FAMERangeMGSVAB13" localSheetId="5">#REF!</definedName>
    <definedName name="FAMERangeMGSVAB14" localSheetId="5">#REF!</definedName>
    <definedName name="FAMERangeMGSVAB15" localSheetId="5">#REF!</definedName>
    <definedName name="FAMERangeMGSVAB16" localSheetId="5">#REF!</definedName>
    <definedName name="FAMERangeMGSVAB17" localSheetId="5">#REF!</definedName>
    <definedName name="FAMERangeMGSVAB18" localSheetId="5">#REF!</definedName>
    <definedName name="FAMERangeMGSVAB19" localSheetId="5">#REF!</definedName>
    <definedName name="FAMERangeMGSVAB20" localSheetId="5">#REF!</definedName>
    <definedName name="FAMERangeMGSVAB21" localSheetId="5">#REF!</definedName>
    <definedName name="FAMERangeMGSVAB22" localSheetId="5">#REF!</definedName>
    <definedName name="FAMERangeMGSVAB23" localSheetId="5">#REF!</definedName>
    <definedName name="FAMERangeMGSVAB24" localSheetId="5">#REF!</definedName>
    <definedName name="FAMERangeMGSVAB25" localSheetId="5">#REF!</definedName>
    <definedName name="FAMERangeMGSVAB26" localSheetId="5">#REF!</definedName>
    <definedName name="FAMERangeMGSVAB27" localSheetId="5">#REF!</definedName>
    <definedName name="FAMERangeMGSVAB28" localSheetId="5">#REF!</definedName>
    <definedName name="FAMERangeMGSVAB29" localSheetId="5">#REF!</definedName>
    <definedName name="FAMERangeMGSVAB30" localSheetId="5">#REF!</definedName>
    <definedName name="FAMERangeMGSVAB31" localSheetId="5">#REF!</definedName>
    <definedName name="FAMERangeMGSVAB32" localSheetId="5">#REF!</definedName>
    <definedName name="FAMERangeMGSVAB33" localSheetId="5">#REF!</definedName>
    <definedName name="FAMERangeMGSVAB34" localSheetId="5">#REF!</definedName>
    <definedName name="FAMERangeMGSVAB35" localSheetId="5">#REF!</definedName>
    <definedName name="FAMERangeMGSVAB36" localSheetId="5">#REF!</definedName>
    <definedName name="FAMERangeMGSVAB38" localSheetId="5">#REF!</definedName>
    <definedName name="FAMERangeMGSVAB5" localSheetId="5">#REF!</definedName>
    <definedName name="FAMERangeMGSVAB6" localSheetId="5">#REF!</definedName>
    <definedName name="FAMERangeMGSVAB7" localSheetId="5">#REF!</definedName>
    <definedName name="FAMERangeMGSVAB8" localSheetId="5">#REF!</definedName>
    <definedName name="FAMERangeMGSVAB9" localSheetId="5">#REF!</definedName>
    <definedName name="FAMERangeMGSVAC10" localSheetId="5">#REF!</definedName>
    <definedName name="FAMERangeMGSVAC11" localSheetId="5">#REF!</definedName>
    <definedName name="FAMERangeMGSVAC12" localSheetId="5">#REF!</definedName>
    <definedName name="FAMERangeMGSVAC13" localSheetId="5">#REF!</definedName>
    <definedName name="FAMERangeMGSVAC14" localSheetId="5">#REF!</definedName>
    <definedName name="FAMERangeMGSVAC15" localSheetId="5">#REF!</definedName>
    <definedName name="FAMERangeMGSVAC16" localSheetId="5">#REF!</definedName>
    <definedName name="FAMERangeMGSVAC17" localSheetId="5">#REF!</definedName>
    <definedName name="FAMERangeMGSVAC18" localSheetId="5">#REF!</definedName>
    <definedName name="FAMERangeMGSVAC19" localSheetId="5">#REF!</definedName>
    <definedName name="FAMERangeMGSVAC20" localSheetId="5">#REF!</definedName>
    <definedName name="FAMERangeMGSVAC21" localSheetId="5">#REF!</definedName>
    <definedName name="FAMERangeMGSVAC22" localSheetId="5">#REF!</definedName>
    <definedName name="FAMERangeMGSVAC23" localSheetId="5">#REF!</definedName>
    <definedName name="FAMERangeMGSVAC24" localSheetId="5">#REF!</definedName>
    <definedName name="FAMERangeMGSVAC25" localSheetId="5">#REF!</definedName>
    <definedName name="FAMERangeMGSVAC26" localSheetId="5">#REF!</definedName>
    <definedName name="FAMERangeMGSVAC27" localSheetId="5">#REF!</definedName>
    <definedName name="FAMERangeMGSVAC28" localSheetId="5">#REF!</definedName>
    <definedName name="FAMERangeMGSVAC29" localSheetId="5">#REF!</definedName>
    <definedName name="FAMERangeMGSVAC30" localSheetId="5">#REF!</definedName>
    <definedName name="FAMERangeMGSVAC31" localSheetId="5">#REF!</definedName>
    <definedName name="FAMERangeMGSVAC32" localSheetId="5">#REF!</definedName>
    <definedName name="FAMERangeMGSVAC33" localSheetId="5">#REF!</definedName>
    <definedName name="FAMERangeMGSVAC34" localSheetId="5">#REF!</definedName>
    <definedName name="FAMERangeMGSVAC35" localSheetId="5">#REF!</definedName>
    <definedName name="FAMERangeMGSVAC36" localSheetId="5">#REF!</definedName>
    <definedName name="FAMERangeMGSVAC38" localSheetId="5">#REF!</definedName>
    <definedName name="FAMERangeMGSVAC5" localSheetId="5">#REF!</definedName>
    <definedName name="FAMERangeMGSVAC6" localSheetId="5">#REF!</definedName>
    <definedName name="FAMERangeMGSVAC7" localSheetId="5">#REF!</definedName>
    <definedName name="FAMERangeMGSVAC8" localSheetId="5">#REF!</definedName>
    <definedName name="FAMERangeMGSVAC9" localSheetId="5">#REF!</definedName>
    <definedName name="FAMERangeMGSVAD10" localSheetId="5">#REF!</definedName>
    <definedName name="FAMERangeMGSVAD11" localSheetId="5">#REF!</definedName>
    <definedName name="FAMERangeMGSVAD12" localSheetId="5">#REF!</definedName>
    <definedName name="FAMERangeMGSVAD13" localSheetId="5">#REF!</definedName>
    <definedName name="FAMERangeMGSVAD14" localSheetId="5">#REF!</definedName>
    <definedName name="FAMERangeMGSVAD15" localSheetId="5">#REF!</definedName>
    <definedName name="FAMERangeMGSVAD16" localSheetId="5">#REF!</definedName>
    <definedName name="FAMERangeMGSVAD17" localSheetId="5">#REF!</definedName>
    <definedName name="FAMERangeMGSVAD18" localSheetId="5">#REF!</definedName>
    <definedName name="FAMERangeMGSVAD19" localSheetId="5">#REF!</definedName>
    <definedName name="FAMERangeMGSVAD20" localSheetId="5">#REF!</definedName>
    <definedName name="FAMERangeMGSVAD21" localSheetId="5">#REF!</definedName>
    <definedName name="FAMERangeMGSVAD22" localSheetId="5">#REF!</definedName>
    <definedName name="FAMERangeMGSVAD23" localSheetId="5">#REF!</definedName>
    <definedName name="FAMERangeMGSVAD24" localSheetId="5">#REF!</definedName>
    <definedName name="FAMERangeMGSVAD25" localSheetId="5">#REF!</definedName>
    <definedName name="FAMERangeMGSVAD26" localSheetId="5">#REF!</definedName>
    <definedName name="FAMERangeMGSVAD27" localSheetId="5">#REF!</definedName>
    <definedName name="FAMERangeMGSVAD28" localSheetId="5">#REF!</definedName>
    <definedName name="FAMERangeMGSVAD29" localSheetId="5">#REF!</definedName>
    <definedName name="FAMERangeMGSVAD30" localSheetId="5">#REF!</definedName>
    <definedName name="FAMERangeMGSVAD31" localSheetId="5">#REF!</definedName>
    <definedName name="FAMERangeMGSVAD32" localSheetId="5">#REF!</definedName>
    <definedName name="FAMERangeMGSVAD33" localSheetId="5">#REF!</definedName>
    <definedName name="FAMERangeMGSVAD34" localSheetId="5">#REF!</definedName>
    <definedName name="FAMERangeMGSVAD35" localSheetId="5">#REF!</definedName>
    <definedName name="FAMERangeMGSVAD36" localSheetId="5">#REF!</definedName>
    <definedName name="FAMERangeMGSVAD38" localSheetId="5">#REF!</definedName>
    <definedName name="FAMERangeMGSVAD5" localSheetId="5">#REF!</definedName>
    <definedName name="FAMERangeMGSVAD6" localSheetId="5">#REF!</definedName>
    <definedName name="FAMERangeMGSVAD7" localSheetId="5">#REF!</definedName>
    <definedName name="FAMERangeMGSVAD8" localSheetId="5">#REF!</definedName>
    <definedName name="FAMERangeMGSVAD9" localSheetId="5">#REF!</definedName>
    <definedName name="fjsldkfjsdljflsdkjf" localSheetId="5">#REF!</definedName>
    <definedName name="hhhh" localSheetId="5">#REF!</definedName>
    <definedName name="kkkk" localSheetId="5">#REF!</definedName>
    <definedName name="Print_Area_MI" localSheetId="5">#REF!</definedName>
    <definedName name="qqqqqqqqqqqqqqqqqqqqqqq" localSheetId="5">#REF!</definedName>
    <definedName name="sheng" localSheetId="5">#REF!</definedName>
    <definedName name="summary" localSheetId="5">#REF!</definedName>
    <definedName name="UniqueRange_37" localSheetId="5">#REF!</definedName>
    <definedName name="UniqueRange_38" localSheetId="5">#REF!</definedName>
    <definedName name="UniqueRange_39" localSheetId="5">#REF!</definedName>
    <definedName name="UniqueRange_40" localSheetId="5">#REF!</definedName>
    <definedName name="UniqueRange_41" localSheetId="5">#REF!</definedName>
    <definedName name="UniqueRange_42" localSheetId="5">#REF!</definedName>
    <definedName name="UniqueRange_43" localSheetId="5">#REF!</definedName>
    <definedName name="UniqueRange_44" localSheetId="5">#REF!</definedName>
    <definedName name="UniqueRange_45" localSheetId="5">#REF!</definedName>
    <definedName name="UniqueRange_46" localSheetId="5">#REF!</definedName>
    <definedName name="UniqueRange_47" localSheetId="5">#REF!</definedName>
    <definedName name="北京市行政区划" localSheetId="5">#REF!</definedName>
    <definedName name="财政供养" localSheetId="5">#REF!</definedName>
    <definedName name="处室" localSheetId="5">#REF!</definedName>
    <definedName name="还有" localSheetId="5">#REF!</definedName>
    <definedName name="汇率" localSheetId="5">#REF!</definedName>
    <definedName name="基金处室" localSheetId="5">#REF!</definedName>
    <definedName name="基金金额" localSheetId="5">#REF!</definedName>
    <definedName name="基金科目" localSheetId="5">#REF!</definedName>
    <definedName name="基金类型" localSheetId="5">#REF!</definedName>
    <definedName name="金额" localSheetId="5">#REF!</definedName>
    <definedName name="科目" localSheetId="5">#REF!</definedName>
    <definedName name="类型" localSheetId="5">#REF!</definedName>
    <definedName name="区划" localSheetId="5">#REF!</definedName>
    <definedName name="生产列1" localSheetId="5">#REF!</definedName>
    <definedName name="生产列11" localSheetId="5">#REF!</definedName>
    <definedName name="生产列15" localSheetId="5">#REF!</definedName>
    <definedName name="生产列16" localSheetId="5">#REF!</definedName>
    <definedName name="生产列17" localSheetId="5">#REF!</definedName>
    <definedName name="生产列19" localSheetId="5">#REF!</definedName>
    <definedName name="生产列2" localSheetId="5">#REF!</definedName>
    <definedName name="生产列20" localSheetId="5">#REF!</definedName>
    <definedName name="生产列3" localSheetId="5">#REF!</definedName>
    <definedName name="生产列4" localSheetId="5">#REF!</definedName>
    <definedName name="生产列5" localSheetId="5">#REF!</definedName>
    <definedName name="生产列6" localSheetId="5">#REF!</definedName>
    <definedName name="生产列7" localSheetId="5">#REF!</definedName>
    <definedName name="生产列8" localSheetId="5">#REF!</definedName>
    <definedName name="生产列9" localSheetId="5">#REF!</definedName>
    <definedName name="生产期" localSheetId="5">#REF!</definedName>
    <definedName name="生产期1" localSheetId="5">#REF!</definedName>
    <definedName name="生产期11" localSheetId="5">#REF!</definedName>
    <definedName name="生产期123" localSheetId="5">#REF!</definedName>
    <definedName name="生产期15" localSheetId="5">#REF!</definedName>
    <definedName name="生产期16" localSheetId="5">#REF!</definedName>
    <definedName name="生产期17" localSheetId="5">#REF!</definedName>
    <definedName name="生产期18" localSheetId="5">#REF!</definedName>
    <definedName name="生产期19" localSheetId="5">#REF!</definedName>
    <definedName name="生产期2" localSheetId="5">#REF!</definedName>
    <definedName name="生产期20" localSheetId="5">#REF!</definedName>
    <definedName name="生产期3" localSheetId="5">#REF!</definedName>
    <definedName name="生产期4" localSheetId="5">#REF!</definedName>
    <definedName name="生产期5" localSheetId="5">#REF!</definedName>
    <definedName name="生产期6" localSheetId="5">#REF!</definedName>
    <definedName name="生产期7" localSheetId="5">#REF!</definedName>
    <definedName name="生产期8" localSheetId="5">#REF!</definedName>
    <definedName name="生产期9" localSheetId="5">#REF!</definedName>
    <definedName name="전" localSheetId="5">#REF!</definedName>
    <definedName name="주택사업본부" localSheetId="5">#REF!</definedName>
    <definedName name="철구사업본부" localSheetId="5">#REF!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曾燕婷</author>
  </authors>
  <commentList>
    <comment ref="I472" authorId="0">
      <text>
        <r>
          <rPr>
            <b/>
            <sz val="9"/>
            <rFont val="宋体"/>
            <charset val="134"/>
          </rPr>
          <t xml:space="preserve">调整为线下支出
</t>
        </r>
      </text>
    </comment>
    <comment ref="K605" authorId="0">
      <text>
        <r>
          <rPr>
            <b/>
            <sz val="9"/>
            <rFont val="宋体"/>
            <charset val="134"/>
          </rPr>
          <t>全年监护区级应补助</t>
        </r>
        <r>
          <rPr>
            <b/>
            <sz val="9"/>
            <rFont val="Tahoma"/>
            <charset val="134"/>
          </rPr>
          <t>134.7</t>
        </r>
        <r>
          <rPr>
            <b/>
            <sz val="9"/>
            <rFont val="宋体"/>
            <charset val="134"/>
          </rPr>
          <t>万（市级有对应资金文件）、新增监护区级应补助</t>
        </r>
        <r>
          <rPr>
            <b/>
            <sz val="9"/>
            <rFont val="Tahoma"/>
            <charset val="134"/>
          </rPr>
          <t>12.264</t>
        </r>
        <r>
          <rPr>
            <b/>
            <sz val="9"/>
            <rFont val="宋体"/>
            <charset val="134"/>
          </rPr>
          <t>万（市级未下达资金文件）。区级今年年初预算</t>
        </r>
        <r>
          <rPr>
            <b/>
            <sz val="9"/>
            <rFont val="Tahoma"/>
            <charset val="134"/>
          </rPr>
          <t>126</t>
        </r>
        <r>
          <rPr>
            <b/>
            <sz val="9"/>
            <rFont val="宋体"/>
            <charset val="134"/>
          </rPr>
          <t>万，故本次需预算调增</t>
        </r>
        <r>
          <rPr>
            <b/>
            <sz val="9"/>
            <rFont val="Tahoma"/>
            <charset val="134"/>
          </rPr>
          <t>20.97</t>
        </r>
        <r>
          <rPr>
            <b/>
            <sz val="9"/>
            <rFont val="宋体"/>
            <charset val="134"/>
          </rPr>
          <t xml:space="preserve">万。
</t>
        </r>
      </text>
    </comment>
    <comment ref="K607" authorId="0">
      <text>
        <r>
          <rPr>
            <b/>
            <sz val="9"/>
            <rFont val="宋体"/>
            <charset val="134"/>
          </rPr>
          <t>标准咨询市四医院</t>
        </r>
      </text>
    </comment>
    <comment ref="K784" authorId="0">
      <text>
        <r>
          <rPr>
            <b/>
            <sz val="9"/>
            <rFont val="宋体"/>
            <charset val="134"/>
          </rPr>
          <t>去年当年缺口</t>
        </r>
        <r>
          <rPr>
            <b/>
            <sz val="9"/>
            <rFont val="Tahoma"/>
            <charset val="134"/>
          </rPr>
          <t>3103+</t>
        </r>
        <r>
          <rPr>
            <b/>
            <sz val="9"/>
            <rFont val="宋体"/>
            <charset val="134"/>
          </rPr>
          <t>去年清算缺口</t>
        </r>
        <r>
          <rPr>
            <b/>
            <sz val="9"/>
            <rFont val="Tahoma"/>
            <charset val="134"/>
          </rPr>
          <t>2978+</t>
        </r>
        <r>
          <rPr>
            <b/>
            <sz val="9"/>
            <rFont val="宋体"/>
            <charset val="134"/>
          </rPr>
          <t>当年需求（</t>
        </r>
        <r>
          <rPr>
            <b/>
            <sz val="9"/>
            <rFont val="Tahoma"/>
            <charset val="134"/>
          </rPr>
          <t>535*12+</t>
        </r>
        <r>
          <rPr>
            <b/>
            <sz val="9"/>
            <rFont val="宋体"/>
            <charset val="134"/>
          </rPr>
          <t>当年清算缺口</t>
        </r>
        <r>
          <rPr>
            <b/>
            <sz val="9"/>
            <rFont val="Tahoma"/>
            <charset val="134"/>
          </rPr>
          <t>14</t>
        </r>
        <r>
          <rPr>
            <b/>
            <sz val="9"/>
            <rFont val="宋体"/>
            <charset val="134"/>
          </rPr>
          <t>）</t>
        </r>
        <r>
          <rPr>
            <b/>
            <sz val="9"/>
            <rFont val="Tahoma"/>
            <charset val="134"/>
          </rPr>
          <t>-</t>
        </r>
        <r>
          <rPr>
            <b/>
            <sz val="9"/>
            <rFont val="宋体"/>
            <charset val="134"/>
          </rPr>
          <t>年初编列预算</t>
        </r>
        <r>
          <rPr>
            <b/>
            <sz val="9"/>
            <rFont val="Tahoma"/>
            <charset val="134"/>
          </rPr>
          <t>11481</t>
        </r>
        <r>
          <rPr>
            <b/>
            <sz val="9"/>
            <rFont val="宋体"/>
            <charset val="134"/>
          </rPr>
          <t>万元</t>
        </r>
        <r>
          <rPr>
            <b/>
            <sz val="9"/>
            <rFont val="Tahoma"/>
            <charset val="134"/>
          </rPr>
          <t>=1034</t>
        </r>
        <r>
          <rPr>
            <b/>
            <sz val="9"/>
            <rFont val="宋体"/>
            <charset val="134"/>
          </rPr>
          <t>万元</t>
        </r>
        <r>
          <rPr>
            <sz val="9"/>
            <rFont val="Tahoma"/>
            <charset val="134"/>
          </rPr>
          <t xml:space="preserve">
</t>
        </r>
      </text>
    </comment>
  </commentList>
</comments>
</file>

<file path=xl/comments2.xml><?xml version="1.0" encoding="utf-8"?>
<comments xmlns="http://schemas.openxmlformats.org/spreadsheetml/2006/main">
  <authors>
    <author>作者</author>
    <author>Administrator</author>
  </authors>
  <commentList>
    <comment ref="G5" authorId="0">
      <text>
        <r>
          <rPr>
            <b/>
            <sz val="9"/>
            <rFont val="宋体"/>
            <charset val="134"/>
          </rPr>
          <t>作者:</t>
        </r>
        <r>
          <rPr>
            <sz val="9"/>
            <rFont val="宋体"/>
            <charset val="134"/>
          </rPr>
          <t xml:space="preserve">
调资增资和公用拨款标准变动\原计划数与实际有出入\非税收入变动\</t>
        </r>
      </text>
    </comment>
    <comment ref="H5" authorId="0">
      <text>
        <r>
          <rPr>
            <b/>
            <sz val="9"/>
            <rFont val="宋体"/>
            <charset val="134"/>
          </rPr>
          <t>作者:</t>
        </r>
        <r>
          <rPr>
            <sz val="9"/>
            <rFont val="宋体"/>
            <charset val="134"/>
          </rPr>
          <t xml:space="preserve">
区政府或区领导批增/批复增加</t>
        </r>
      </text>
    </comment>
    <comment ref="I5" authorId="0">
      <text>
        <r>
          <rPr>
            <b/>
            <sz val="9"/>
            <rFont val="宋体"/>
            <charset val="134"/>
          </rPr>
          <t>作者:</t>
        </r>
        <r>
          <rPr>
            <sz val="9"/>
            <rFont val="宋体"/>
            <charset val="134"/>
          </rPr>
          <t xml:space="preserve">
含包括使用上级资金后调减，具体项目须另加批注</t>
        </r>
      </text>
    </comment>
    <comment ref="Q28" authorId="1">
      <text>
        <r>
          <rPr>
            <sz val="9"/>
            <rFont val="宋体"/>
            <charset val="134"/>
          </rPr>
          <t>调整后计划数按年初数填列，差额部分填列在本空</t>
        </r>
      </text>
    </comment>
  </commentList>
</comments>
</file>

<file path=xl/sharedStrings.xml><?xml version="1.0" encoding="utf-8"?>
<sst xmlns="http://schemas.openxmlformats.org/spreadsheetml/2006/main" count="5109" uniqueCount="2538">
  <si>
    <t>[内部资料 妥善保管]</t>
  </si>
  <si>
    <t>汕头市濠江区2022年政府预算调整草案</t>
  </si>
  <si>
    <t>编制部门：汕头市濠江区财政局</t>
  </si>
  <si>
    <t>编制时间：2022年9月</t>
  </si>
  <si>
    <t>汕头市濠江区2022年政府预算调整草案目录</t>
  </si>
  <si>
    <t>一、一般公共预算</t>
  </si>
  <si>
    <t>1.汕头市濠江区2022年公共财政预算收入计划调整表</t>
  </si>
  <si>
    <t>2.汕头市濠江区2022年一般公共预算支出科目调整情况表</t>
  </si>
  <si>
    <t>3.2022年一般公共预算支出项目调整情况表</t>
  </si>
  <si>
    <t>二、政府性基金预算</t>
  </si>
  <si>
    <t>4.汕头市濠江区2022年公共财政上级财力性补助收支预算调整表</t>
  </si>
  <si>
    <t>5.汕头市濠江区2022年政府性基金预算收入计划调整表</t>
  </si>
  <si>
    <t>6.汕头市濠江区2022年本级政府性基金预算收入项目调整表</t>
  </si>
  <si>
    <t>7.汕头市濠江区2022年政府性基金预算支出计划功能科目调整表</t>
  </si>
  <si>
    <t>8.汕头市濠江区2022年本级政府性基金预算支出项目调整表</t>
  </si>
  <si>
    <t>三、社会保险基金预算</t>
  </si>
  <si>
    <t>9.汕头市濠江区2022年社会保险基金预算收入计划调整表</t>
  </si>
  <si>
    <t>10.汕头市濠江区2022年社会保险基金预算支出计划调整表</t>
  </si>
  <si>
    <t>四、地方政府债务</t>
  </si>
  <si>
    <t>11.汕头市濠江区新增债券资金用途调整明细表</t>
  </si>
  <si>
    <t>附表1</t>
  </si>
  <si>
    <t>汕头市濠江区2022年公共财政预算收入计划调整表</t>
  </si>
  <si>
    <t>单位：万元</t>
  </si>
  <si>
    <t>科目</t>
  </si>
  <si>
    <t>第一次预算调整数</t>
  </si>
  <si>
    <t>变动因素</t>
  </si>
  <si>
    <t>调整后计划数</t>
  </si>
  <si>
    <t>比增%</t>
  </si>
  <si>
    <t>备注</t>
  </si>
  <si>
    <t>总库</t>
  </si>
  <si>
    <t>本级</t>
  </si>
  <si>
    <t>一.税收收入</t>
  </si>
  <si>
    <t xml:space="preserve">   1.增值税</t>
  </si>
  <si>
    <t>其中留抵退税调库11997万元</t>
  </si>
  <si>
    <t>市与区共享收入</t>
  </si>
  <si>
    <t xml:space="preserve">   2.消费税</t>
  </si>
  <si>
    <t xml:space="preserve">   3.车辆购置税</t>
  </si>
  <si>
    <t>市本级固定收入</t>
  </si>
  <si>
    <t xml:space="preserve">   4.企业所得税</t>
  </si>
  <si>
    <t xml:space="preserve">   5.个人所得税</t>
  </si>
  <si>
    <t xml:space="preserve">   6.资源税</t>
  </si>
  <si>
    <t>区级固定收入</t>
  </si>
  <si>
    <t xml:space="preserve">   7.城市维护建设税</t>
  </si>
  <si>
    <t xml:space="preserve">   8.房产税</t>
  </si>
  <si>
    <t xml:space="preserve">   9.印花税</t>
  </si>
  <si>
    <t xml:space="preserve">   10.城镇土地使用税</t>
  </si>
  <si>
    <t xml:space="preserve">   11.土地增值税</t>
  </si>
  <si>
    <t xml:space="preserve">   12.车船税</t>
  </si>
  <si>
    <t xml:space="preserve">   13.耕地占用税</t>
  </si>
  <si>
    <t xml:space="preserve">   14.契税</t>
  </si>
  <si>
    <t xml:space="preserve">   15.环境保护税</t>
  </si>
  <si>
    <t xml:space="preserve">   16.其他税收收入</t>
  </si>
  <si>
    <t>二.非税收入</t>
  </si>
  <si>
    <t xml:space="preserve">   1.教育费附加收入</t>
  </si>
  <si>
    <t xml:space="preserve">   2.地方教育费附加收入</t>
  </si>
  <si>
    <t xml:space="preserve">   3.农田水利建设</t>
  </si>
  <si>
    <t xml:space="preserve">   4.森林植被恢复费</t>
  </si>
  <si>
    <t xml:space="preserve">   5.捐赠收入</t>
  </si>
  <si>
    <t xml:space="preserve">   6.政府住房基金收入</t>
  </si>
  <si>
    <t xml:space="preserve">   7.行政事业性收费收入</t>
  </si>
  <si>
    <t xml:space="preserve">   8.罚没收入</t>
  </si>
  <si>
    <t xml:space="preserve">   9.国有资产经营收入</t>
  </si>
  <si>
    <t xml:space="preserve">   10.国有资源(资产)有偿使用收入</t>
  </si>
  <si>
    <t xml:space="preserve">   11.水土保持补偿费</t>
  </si>
  <si>
    <t xml:space="preserve">   12.防空地下室易地建设费</t>
  </si>
  <si>
    <t xml:space="preserve">   13.其他收入</t>
  </si>
  <si>
    <t>征收收入小计</t>
  </si>
  <si>
    <t xml:space="preserve">   其中：税务局</t>
  </si>
  <si>
    <t xml:space="preserve">         财政局</t>
  </si>
  <si>
    <t>三.转移性收入</t>
  </si>
  <si>
    <t xml:space="preserve">   1.上级财力性补助收入</t>
  </si>
  <si>
    <t xml:space="preserve">   2.上级专项性补助收入</t>
  </si>
  <si>
    <t xml:space="preserve">   3.上级债券转贷收入</t>
  </si>
  <si>
    <t xml:space="preserve">   4.再融资一般债券转贷收入</t>
  </si>
  <si>
    <t xml:space="preserve">   5.上年结余收入</t>
  </si>
  <si>
    <t xml:space="preserve">   6.预算稳定调节基金</t>
  </si>
  <si>
    <t xml:space="preserve">   7.调入资金</t>
  </si>
  <si>
    <t>收入合计</t>
  </si>
  <si>
    <t>附表2</t>
  </si>
  <si>
    <t>汕头市濠江区2022年一般公共预算支出科目调整情况表</t>
  </si>
  <si>
    <t>功能分类代码</t>
  </si>
  <si>
    <t>功能分类名称</t>
  </si>
  <si>
    <t>本级支出</t>
  </si>
  <si>
    <t>上级支出</t>
  </si>
  <si>
    <t>合计</t>
  </si>
  <si>
    <t>政策性调整</t>
  </si>
  <si>
    <t>其他调整</t>
  </si>
  <si>
    <t>预留、功能分类调整</t>
  </si>
  <si>
    <t>一般公共服务支出</t>
  </si>
  <si>
    <t>人大事务</t>
  </si>
  <si>
    <t>行政运行</t>
  </si>
  <si>
    <t>调剂人员经费、压减5%公用经费。</t>
  </si>
  <si>
    <t>一般行政管理事务</t>
  </si>
  <si>
    <t>编办调剂使用科目。</t>
  </si>
  <si>
    <t>人大会议</t>
  </si>
  <si>
    <t>人大监督</t>
  </si>
  <si>
    <t>代表工作</t>
  </si>
  <si>
    <t>其他人大事务支出</t>
  </si>
  <si>
    <t>调增人大机关及人大工委设备购置经费。</t>
  </si>
  <si>
    <t>政协事务</t>
  </si>
  <si>
    <t>政协会议</t>
  </si>
  <si>
    <t>参政议政</t>
  </si>
  <si>
    <t>其他政协事务支出</t>
  </si>
  <si>
    <t>政府办公厅（室）及相关机构事务</t>
  </si>
  <si>
    <t>压减5%公用经费。</t>
  </si>
  <si>
    <t>其他政府办公厅（室）及相关机构事务支出</t>
  </si>
  <si>
    <t>调增信访工作经费。</t>
  </si>
  <si>
    <t>发展与改革事务</t>
  </si>
  <si>
    <t>战略规划与实施</t>
  </si>
  <si>
    <t>物价管理</t>
  </si>
  <si>
    <t>其他发展与改革事务支出</t>
  </si>
  <si>
    <t>调增发改局项目管理工作经费、概算审查经费。</t>
  </si>
  <si>
    <t>统计信息事务</t>
  </si>
  <si>
    <t>调增人员经费、压减5%公用经费。</t>
  </si>
  <si>
    <t>专项普查活动</t>
  </si>
  <si>
    <t>调减经济普查经费。</t>
  </si>
  <si>
    <t>统计抽样调查</t>
  </si>
  <si>
    <t>调增统计调查经费。</t>
  </si>
  <si>
    <t>事业运行</t>
  </si>
  <si>
    <t>调剂人员经费。</t>
  </si>
  <si>
    <t>其他统计信息事务支出</t>
  </si>
  <si>
    <t>财政事务</t>
  </si>
  <si>
    <t>信息化建设</t>
  </si>
  <si>
    <t>调增系统维护费。</t>
  </si>
  <si>
    <t>财政委托业务支出</t>
  </si>
  <si>
    <t>调增财政委托业务支出经费。</t>
  </si>
  <si>
    <t>其他财政事务支出</t>
  </si>
  <si>
    <t>调增农村财务监管平台升级经费等。</t>
  </si>
  <si>
    <t>税收事务</t>
  </si>
  <si>
    <t>调增征管经费。</t>
  </si>
  <si>
    <t>审计事务</t>
  </si>
  <si>
    <t>调减人员经费、压减5%公用经费。</t>
  </si>
  <si>
    <t>审计业务</t>
  </si>
  <si>
    <t>其他审计事务支出</t>
  </si>
  <si>
    <t>调增审计局公车购置费。</t>
  </si>
  <si>
    <t>纪检监察事务</t>
  </si>
  <si>
    <t>大案要案查处</t>
  </si>
  <si>
    <t>派驻派出机构</t>
  </si>
  <si>
    <t>其他纪检监察事务支出</t>
  </si>
  <si>
    <t>商贸事务</t>
  </si>
  <si>
    <t>招商引资</t>
  </si>
  <si>
    <t>调增招商引资工作经费。</t>
  </si>
  <si>
    <t>其他商贸事务支出</t>
  </si>
  <si>
    <t>调增人员经费。</t>
  </si>
  <si>
    <t>知识产权事务</t>
  </si>
  <si>
    <t>知识产权宏观管理</t>
  </si>
  <si>
    <t>其他知识产权事务支出</t>
  </si>
  <si>
    <t>调剂项目经费。</t>
  </si>
  <si>
    <t>港澳台事务</t>
  </si>
  <si>
    <t>港澳事务</t>
  </si>
  <si>
    <t>调减出境经费。</t>
  </si>
  <si>
    <t>档案事务</t>
  </si>
  <si>
    <t>档案馆</t>
  </si>
  <si>
    <t>民主党派及工商联事务</t>
  </si>
  <si>
    <t>其他民主党派及工商联事务支出</t>
  </si>
  <si>
    <t>群众团体事务</t>
  </si>
  <si>
    <t>调增法治宣传教育工作经费。</t>
  </si>
  <si>
    <t>工会事务</t>
  </si>
  <si>
    <t>调剂工会经费。</t>
  </si>
  <si>
    <t>其他群众团体事务支出</t>
  </si>
  <si>
    <t>组织事务</t>
  </si>
  <si>
    <t>其他组织事务支出</t>
  </si>
  <si>
    <t>调减社区一般工作人员工作补贴，调增新一轮村（社区）党群服务中心提档升级资金和两委干部学历大专班等。</t>
  </si>
  <si>
    <t>宣传事务</t>
  </si>
  <si>
    <t>其他宣传事务支出</t>
  </si>
  <si>
    <t>统战事务</t>
  </si>
  <si>
    <t>华侨事务</t>
  </si>
  <si>
    <t>其他统战事务支出</t>
  </si>
  <si>
    <t>其他共产党事务支出</t>
  </si>
  <si>
    <t>2013650</t>
  </si>
  <si>
    <t>调增中海信电费和网络维护经费。</t>
  </si>
  <si>
    <t>市场监督管理事务</t>
  </si>
  <si>
    <t>质量安全监管</t>
  </si>
  <si>
    <t>食品安全监管</t>
  </si>
  <si>
    <t>2013850</t>
  </si>
  <si>
    <t>其他市场监督管理事务</t>
  </si>
  <si>
    <t>调增执法办案、专项整治工作经费。</t>
  </si>
  <si>
    <t>其他一般公共服务支出</t>
  </si>
  <si>
    <t>调减区民政局春节慰问活动经费和便民利企经费，调增行政大厅运转经费。</t>
  </si>
  <si>
    <t>国防支出</t>
  </si>
  <si>
    <t>国防动员</t>
  </si>
  <si>
    <t>兵役征集</t>
  </si>
  <si>
    <t>调增武装部兵役征集经费。</t>
  </si>
  <si>
    <t>人民防空</t>
  </si>
  <si>
    <t>调增人防知识教育进社区经费。</t>
  </si>
  <si>
    <t>民兵</t>
  </si>
  <si>
    <t>调增民兵事业费。</t>
  </si>
  <si>
    <t>其他国防支出</t>
  </si>
  <si>
    <t>2039999</t>
  </si>
  <si>
    <t>调增民兵武器仓库管理费、营房管理费和国防动员专项经费。</t>
  </si>
  <si>
    <t>公共安全支出</t>
  </si>
  <si>
    <t>公安</t>
  </si>
  <si>
    <t>其他公安支出</t>
  </si>
  <si>
    <t>调减“平安汕头”智能视频监控系统租赁资金，调增上划市联防治安经费、社会治安辅助服务工作经费和购买警械装备经费。</t>
  </si>
  <si>
    <t>检察</t>
  </si>
  <si>
    <t>其他检察支出</t>
  </si>
  <si>
    <t>法院</t>
  </si>
  <si>
    <t>其他法院支出</t>
  </si>
  <si>
    <t>调增区法院补充工作经费和执行工作专项经费。</t>
  </si>
  <si>
    <t>司法</t>
  </si>
  <si>
    <t>基层司法业务</t>
  </si>
  <si>
    <t>普法宣传</t>
  </si>
  <si>
    <t>律师公证管理</t>
  </si>
  <si>
    <t>法律援助</t>
  </si>
  <si>
    <t>社区矫正</t>
  </si>
  <si>
    <t>其他司法支出</t>
  </si>
  <si>
    <t>其他公共安全支出</t>
  </si>
  <si>
    <t>调减见义勇为奖励经费。</t>
  </si>
  <si>
    <t>教育支出</t>
  </si>
  <si>
    <t>教育管理事务</t>
  </si>
  <si>
    <t>普通教育</t>
  </si>
  <si>
    <t>学前教育</t>
  </si>
  <si>
    <t>调剂人员经费，调增补充公用经费。</t>
  </si>
  <si>
    <t>小学教育</t>
  </si>
  <si>
    <t>调剂人员经费、公用经费等，调减珠浦第二小学改建围墙大门和运动场及配套项目。</t>
  </si>
  <si>
    <t>初中教育</t>
  </si>
  <si>
    <t>调剂人员经费、公用经费等。</t>
  </si>
  <si>
    <t>高中教育</t>
  </si>
  <si>
    <t>其他普通教育支出</t>
  </si>
  <si>
    <t>调剂人员经费、公用经费等，调增汕头金中南滨学校博美校区开办经费、韩山师范学院附属濠江实验学校开办经费和校内课后服务基本托管费用等。</t>
  </si>
  <si>
    <t>职业教育</t>
  </si>
  <si>
    <t>中等职业教育</t>
  </si>
  <si>
    <t>调剂人员经费等。</t>
  </si>
  <si>
    <t>技校教育</t>
  </si>
  <si>
    <t>高等职业教育</t>
  </si>
  <si>
    <t>特殊教育</t>
  </si>
  <si>
    <t>特殊学校教育</t>
  </si>
  <si>
    <t>其他特殊教育支出</t>
  </si>
  <si>
    <t>进修及培训</t>
  </si>
  <si>
    <t>教师进修</t>
  </si>
  <si>
    <t>干部教育</t>
  </si>
  <si>
    <t>教育费附加安排的支出</t>
  </si>
  <si>
    <t>其他教育费附加安排的支出</t>
  </si>
  <si>
    <t>调增教师发展中心及人力资源服务产业园建设项目经费。</t>
  </si>
  <si>
    <t>其他教育支出</t>
  </si>
  <si>
    <t>科学技术支出</t>
  </si>
  <si>
    <t>技术研究与开发支出</t>
  </si>
  <si>
    <t>其他技术研究与开发支出</t>
  </si>
  <si>
    <t>社会科学</t>
  </si>
  <si>
    <t>社会科学研究</t>
  </si>
  <si>
    <t>科学技术普及</t>
  </si>
  <si>
    <t>其他科学技术普及支出</t>
  </si>
  <si>
    <t>其他科学技术支出</t>
  </si>
  <si>
    <t>调减科技创新公共服务平台建设项目经费。</t>
  </si>
  <si>
    <t>文化旅游体育与传媒支出</t>
  </si>
  <si>
    <t>文化和旅游</t>
  </si>
  <si>
    <t>图书馆</t>
  </si>
  <si>
    <t>调减人员经费。</t>
  </si>
  <si>
    <t>群众文化</t>
  </si>
  <si>
    <t>文化和旅游市场管理</t>
  </si>
  <si>
    <t>旅游宣传</t>
  </si>
  <si>
    <t>其他文化和旅游支出</t>
  </si>
  <si>
    <t>文物</t>
  </si>
  <si>
    <t>文物保护</t>
  </si>
  <si>
    <t>博物馆</t>
  </si>
  <si>
    <t>体育</t>
  </si>
  <si>
    <t>体育竞赛</t>
  </si>
  <si>
    <t>体育场馆</t>
  </si>
  <si>
    <t>其他体育支出</t>
  </si>
  <si>
    <t>其他文化旅游体育与传媒支出</t>
  </si>
  <si>
    <t>调减创文经费。</t>
  </si>
  <si>
    <t>社会保障和就业支出</t>
  </si>
  <si>
    <t>人力资源和社会保障管理事务</t>
  </si>
  <si>
    <t>公共就业服务和职业技能鉴定机构</t>
  </si>
  <si>
    <t>调增人员经费等</t>
  </si>
  <si>
    <t>其他人力资源和社会保障管理事务支出</t>
  </si>
  <si>
    <t>调增人社局工作补充经费。</t>
  </si>
  <si>
    <t>民政管理事务</t>
  </si>
  <si>
    <t>社会组织管理</t>
  </si>
  <si>
    <t>行政区划和地名管理</t>
  </si>
  <si>
    <t>基层政权建设和社区治理</t>
  </si>
  <si>
    <t>其他民政管理事务支出</t>
  </si>
  <si>
    <t>行政事业单位养老支出</t>
  </si>
  <si>
    <t>行政单位离退休</t>
  </si>
  <si>
    <t>事业单位离退休</t>
  </si>
  <si>
    <t>离退休人员管理机构</t>
  </si>
  <si>
    <t>机关事业单位基本养老保险缴费支出</t>
  </si>
  <si>
    <t>机关事业单位职业年金缴费支出</t>
  </si>
  <si>
    <t>对机关事业单位基本养老保险基金的补助</t>
  </si>
  <si>
    <t>就业补助</t>
  </si>
  <si>
    <t>就业创业服务补贴</t>
  </si>
  <si>
    <t>其他就业补助支出</t>
  </si>
  <si>
    <t>调增就业创业政策性补贴。</t>
  </si>
  <si>
    <t>抚恤</t>
  </si>
  <si>
    <t>死亡抚恤</t>
  </si>
  <si>
    <t>调剂预留基本经费。</t>
  </si>
  <si>
    <t>在乡复员、退伍军人生活补助</t>
  </si>
  <si>
    <t>调减抚恤补助金。</t>
  </si>
  <si>
    <t>义务兵优待</t>
  </si>
  <si>
    <t>调减城乡义务兵优待金（含高原兵）及一次性大学生入伍奖励。</t>
  </si>
  <si>
    <t>农村籍退役士兵老年生活补助</t>
  </si>
  <si>
    <t>调增困难企业部分军队退役人员生活困难补助、调整市级负担2020年度退役士兵职业技能培训经费功能科目。</t>
  </si>
  <si>
    <t>退役安置</t>
  </si>
  <si>
    <t>退役士兵安置</t>
  </si>
  <si>
    <t>调增政府安排工作退役士官待安置期间生活补助。</t>
  </si>
  <si>
    <t>退役士兵管理教育</t>
  </si>
  <si>
    <t>军队转业干部安置</t>
  </si>
  <si>
    <t>调增困难企业军转干部“五一”节日慰问经费。</t>
  </si>
  <si>
    <t>其他退役安置支出</t>
  </si>
  <si>
    <t>调整市级负担2020年度退役士兵职业技能培训经费功能科目。</t>
  </si>
  <si>
    <t>社会福利</t>
  </si>
  <si>
    <t>儿童福利</t>
  </si>
  <si>
    <t>老年福利</t>
  </si>
  <si>
    <t>调减百岁老人保健金。</t>
  </si>
  <si>
    <t>殡葬</t>
  </si>
  <si>
    <t>调增殡葬惠民经费，调减殡改年度工作补助经费。</t>
  </si>
  <si>
    <t>社会福利事业单位</t>
  </si>
  <si>
    <t>养老服务</t>
  </si>
  <si>
    <t>残疾人事业</t>
  </si>
  <si>
    <t>残疾人康复</t>
  </si>
  <si>
    <t>残疾人就业和扶贫</t>
  </si>
  <si>
    <t>残疾人生活和护理补贴</t>
  </si>
  <si>
    <t>调减困难残疾人生活补贴和重度残疾人护理补贴。</t>
  </si>
  <si>
    <t>其他残疾人事业支出</t>
  </si>
  <si>
    <t>调增2020年度残疾人就业保障金及年审工作经费等。</t>
  </si>
  <si>
    <t>红十字事业</t>
  </si>
  <si>
    <t>其他红十字事业支出</t>
  </si>
  <si>
    <t>最低生活保障</t>
  </si>
  <si>
    <t>城市最低生活保障金支出</t>
  </si>
  <si>
    <t>调增城市居民最低生活保障金。</t>
  </si>
  <si>
    <t>农村最低生活保障金支出</t>
  </si>
  <si>
    <t>临时救助</t>
  </si>
  <si>
    <t>临时救助支出</t>
  </si>
  <si>
    <t>流浪乞讨人员救助支出</t>
  </si>
  <si>
    <t>特困人员救助供养</t>
  </si>
  <si>
    <t>城市特困人员救助供养支出</t>
  </si>
  <si>
    <t>农村特困人员救助供养支出</t>
  </si>
  <si>
    <t>调增农村特困人员供养。</t>
  </si>
  <si>
    <t>其他生活救助</t>
  </si>
  <si>
    <t>其他城市生活救助</t>
  </si>
  <si>
    <t>其他农村生活救助</t>
  </si>
  <si>
    <t>财政对基本养老保险基金的补助</t>
  </si>
  <si>
    <t>财政对城乡居民基本养老保险基金的补助</t>
  </si>
  <si>
    <t>财政对其他基本养老保险基金的补助</t>
  </si>
  <si>
    <t>退役军人管理事务</t>
  </si>
  <si>
    <t>调剂双拥工作经费。</t>
  </si>
  <si>
    <t>拥军优属</t>
  </si>
  <si>
    <t>调增调减区退役军人事务局春节慰问活动经费。</t>
  </si>
  <si>
    <t>其他退役军人事务管理支出</t>
  </si>
  <si>
    <t>调减退役军人服务组织专职人员经费。</t>
  </si>
  <si>
    <t>财政代缴社会保险费支出</t>
  </si>
  <si>
    <t>财政代缴城乡居民基本养老保险费支出</t>
  </si>
  <si>
    <t>其他社会保障和就业支出</t>
  </si>
  <si>
    <t>调减预留工作性和政策性专项经费等。</t>
  </si>
  <si>
    <t>卫生健康支出</t>
  </si>
  <si>
    <t>卫生健康管理事务</t>
  </si>
  <si>
    <t>其他卫生健康管理事务支出</t>
  </si>
  <si>
    <t>调减严重精神障碍患者排查经费。</t>
  </si>
  <si>
    <t>公立医院</t>
  </si>
  <si>
    <t>综合医院</t>
  </si>
  <si>
    <t>妇幼保健医院</t>
  </si>
  <si>
    <t>调增妇幼保健院门诊部设备购置款。</t>
  </si>
  <si>
    <t>其他公立医院支出</t>
  </si>
  <si>
    <t>基层医疗卫生机构</t>
  </si>
  <si>
    <t>城市社区卫生机构</t>
  </si>
  <si>
    <t>乡镇卫生院</t>
  </si>
  <si>
    <t>其他基层医疗卫生机构支出</t>
  </si>
  <si>
    <t>公共卫生</t>
  </si>
  <si>
    <t>疾病预防控制机构</t>
  </si>
  <si>
    <t>妇幼保健机构</t>
  </si>
  <si>
    <t>调增2021年省级医疗卫生健康事业发展专项资金、调减人员经费。</t>
  </si>
  <si>
    <t>基本公共卫生服务</t>
  </si>
  <si>
    <t>调增基本公共卫生服务区级资金等。</t>
  </si>
  <si>
    <t>重大公共卫生服务</t>
  </si>
  <si>
    <t>突发公共卫生事件应急处理</t>
  </si>
  <si>
    <t>动用预备费用于2022年新型冠状病毒感染的肺炎应急防控专项经费。</t>
  </si>
  <si>
    <t>其他公共卫生支出</t>
  </si>
  <si>
    <t>调增严重精神障碍患者监护补助费用、严重精神障碍患者长效针剂等。</t>
  </si>
  <si>
    <t>中医药</t>
  </si>
  <si>
    <t>其他中医药支出</t>
  </si>
  <si>
    <t>计划生育事务</t>
  </si>
  <si>
    <t>计划生育服务</t>
  </si>
  <si>
    <t>其他计划生育事务支出</t>
  </si>
  <si>
    <t>调减计生家庭商业保险等。</t>
  </si>
  <si>
    <t>行政事业单位医疗</t>
  </si>
  <si>
    <t>行政单位医疗</t>
  </si>
  <si>
    <t>2101102</t>
  </si>
  <si>
    <t>事业单位医疗</t>
  </si>
  <si>
    <t>调减医疗保险，调剂人员经费。</t>
  </si>
  <si>
    <t>其他行政事业单位医疗支出</t>
  </si>
  <si>
    <t>调减离休干部医药费，调剂人员经费。</t>
  </si>
  <si>
    <t>财政对基本医疗保险基金的补助</t>
  </si>
  <si>
    <t>财政对职工基本医疗保险基金的补助</t>
  </si>
  <si>
    <t>财政对城乡居民基本医疗保险基金的补助</t>
  </si>
  <si>
    <t>医疗救助</t>
  </si>
  <si>
    <t>优抚对象医疗</t>
  </si>
  <si>
    <t>优抚对象医疗补助</t>
  </si>
  <si>
    <t>医疗保障管理事务</t>
  </si>
  <si>
    <t>老龄卫生健康事务</t>
  </si>
  <si>
    <t>其他卫生健康支出</t>
  </si>
  <si>
    <t>调剂预留工作性和政策性专项经费。</t>
  </si>
  <si>
    <t>节能环保支出</t>
  </si>
  <si>
    <t>环境监测与监察</t>
  </si>
  <si>
    <t>其他环境监测与监察支出</t>
  </si>
  <si>
    <t>能源节约利用</t>
  </si>
  <si>
    <t>城乡社区环境卫生</t>
  </si>
  <si>
    <t>固体废弃物与化学品</t>
  </si>
  <si>
    <t>其他污染防治支出</t>
  </si>
  <si>
    <t>调增濠江区濠江周边农村生活污水治理项目前期工作经费等。</t>
  </si>
  <si>
    <t>循环经济</t>
  </si>
  <si>
    <t>其他节能环保支出</t>
  </si>
  <si>
    <t>2119999</t>
  </si>
  <si>
    <t>城乡社区支出</t>
  </si>
  <si>
    <t>城乡社区管理事务</t>
  </si>
  <si>
    <t>调整人员经费。</t>
  </si>
  <si>
    <t>调整公用经费功能科目。</t>
  </si>
  <si>
    <t>城管执法</t>
  </si>
  <si>
    <t>工程建设管理</t>
  </si>
  <si>
    <t>其他城乡社区管理事务支出</t>
  </si>
  <si>
    <t>调剂人员经费，调减非税支出、税收返还资金和2019年度汕头市扶持建筑业发展专项资金等，调增2019年度汕头市扶持建筑业发展专项资金。</t>
  </si>
  <si>
    <t>城乡社区规划与管理</t>
  </si>
  <si>
    <t>城乡社区公共设施</t>
  </si>
  <si>
    <t>其他城乡社区公共设施支出</t>
  </si>
  <si>
    <t>调增南滨绿地公园、石林湖公园代管养期间水费等。</t>
  </si>
  <si>
    <t>调增更新垃圾转运设备项目，调剂人员经费。</t>
  </si>
  <si>
    <t>其他城乡社区支出</t>
  </si>
  <si>
    <t>农林水支出</t>
  </si>
  <si>
    <t>农业农村</t>
  </si>
  <si>
    <t>科技转化与推广服务</t>
  </si>
  <si>
    <t>调增科技转化与推广服务费。</t>
  </si>
  <si>
    <t>病虫害控制</t>
  </si>
  <si>
    <t>调减突发重大动物疫情应急储备金。</t>
  </si>
  <si>
    <t>农产品质量安全</t>
  </si>
  <si>
    <t>调增濠江区2021年农产品质量安全监测项目经费等。</t>
  </si>
  <si>
    <t>执法监管</t>
  </si>
  <si>
    <t>防灾救灾</t>
  </si>
  <si>
    <t>农业生产发展</t>
  </si>
  <si>
    <t>农业资源保护修复与利用</t>
  </si>
  <si>
    <t>调减农业资源保护与修复利用费用，调剂后江湾海堤修复加固工程。</t>
  </si>
  <si>
    <t>渔业发展</t>
  </si>
  <si>
    <t>对高校毕业生到基层任职补助</t>
  </si>
  <si>
    <t>调增2020年度选调生到村任职财政补助资金。</t>
  </si>
  <si>
    <t>农田建设</t>
  </si>
  <si>
    <t>调增补建新建汕头至汕尾铁路（濠江区段）及虎头山隧道及南延工程建设项目用地占用高标准农田补建费。</t>
  </si>
  <si>
    <t>其他农业农村支出</t>
  </si>
  <si>
    <t>调增2022年农村公路养护区级配套、调减农民专业合作社工作经费。</t>
  </si>
  <si>
    <t>林业和草原</t>
  </si>
  <si>
    <t>森林生态效益补偿</t>
  </si>
  <si>
    <t>林业草原防灾减灾</t>
  </si>
  <si>
    <t>其他林业和草原支出</t>
  </si>
  <si>
    <t>水利</t>
  </si>
  <si>
    <t>水利行业业务管理</t>
  </si>
  <si>
    <t>水利工程建设</t>
  </si>
  <si>
    <t>调剂后江湾海堤修复加固工程。</t>
  </si>
  <si>
    <t>水利工程运行与维护</t>
  </si>
  <si>
    <t>水资源节约管理与保护</t>
  </si>
  <si>
    <t>防汛</t>
  </si>
  <si>
    <t>调减汛期防汛值班补贴。</t>
  </si>
  <si>
    <t>抗旱</t>
  </si>
  <si>
    <t>水利技术推广</t>
  </si>
  <si>
    <t>其他水利支出</t>
  </si>
  <si>
    <t>扶贫</t>
  </si>
  <si>
    <t>其他扶贫支出</t>
  </si>
  <si>
    <t>农村综合改革</t>
  </si>
  <si>
    <t>对村级公益事业建设的补助</t>
  </si>
  <si>
    <t>对村民委员会和村党支部的补助</t>
  </si>
  <si>
    <t>农村综合改革示范试点补助</t>
  </si>
  <si>
    <t>普惠金融发展支出</t>
  </si>
  <si>
    <t>农业保险保费补贴</t>
  </si>
  <si>
    <t>调增农业（畜牧）保险补贴。</t>
  </si>
  <si>
    <t>创业担保贷款贴息</t>
  </si>
  <si>
    <t>其他农林水支出</t>
  </si>
  <si>
    <t>调增人员经费，调剂项目科目。</t>
  </si>
  <si>
    <t>交通运输支出</t>
  </si>
  <si>
    <t>公路水路运输</t>
  </si>
  <si>
    <t>公路建设</t>
  </si>
  <si>
    <t>公路养护</t>
  </si>
  <si>
    <t>公路和运输安全</t>
  </si>
  <si>
    <t>其他公路水路运输支出</t>
  </si>
  <si>
    <t>其他交通运输支出</t>
  </si>
  <si>
    <t>资源勘探工业信息等支出</t>
  </si>
  <si>
    <t>工业和信息产业监管</t>
  </si>
  <si>
    <t>其他工业和信息产业监管支出</t>
  </si>
  <si>
    <t>调增协调经费工作补助、园区宣传费用工作经费。</t>
  </si>
  <si>
    <t>支持中小企业发展和管理支出</t>
  </si>
  <si>
    <t>中小企业发展专项</t>
  </si>
  <si>
    <t>其他资源勘探工业信息等支出</t>
  </si>
  <si>
    <t>调剂重大项目集中开工活动费用。</t>
  </si>
  <si>
    <t>商业服务业等支出</t>
  </si>
  <si>
    <t>商业流通事务</t>
  </si>
  <si>
    <t>其他商业流通事务支出</t>
  </si>
  <si>
    <t>涉外发展服务支出</t>
  </si>
  <si>
    <t>其他涉外发展服务支出</t>
  </si>
  <si>
    <t>其他商业服务业等支出</t>
  </si>
  <si>
    <t>金融支出</t>
  </si>
  <si>
    <t>金融部门监管支出</t>
  </si>
  <si>
    <t>调增限售股股权转让交易奖励。</t>
  </si>
  <si>
    <t>金融部门其他监管支出</t>
  </si>
  <si>
    <t>其他金融支出</t>
  </si>
  <si>
    <t>自然资源海洋气象等支出</t>
  </si>
  <si>
    <t>自然资源事务</t>
  </si>
  <si>
    <t>自然资源利用与保护</t>
  </si>
  <si>
    <t>海域与海岛管理</t>
  </si>
  <si>
    <t>调减海域海岛综合管理经费。</t>
  </si>
  <si>
    <t>其他自然资源事务支出</t>
  </si>
  <si>
    <t>调减非税支出。</t>
  </si>
  <si>
    <t>其他自然资源海洋气象等支出</t>
  </si>
  <si>
    <t>调减鸡心屿及其周边海域管养、维护经费。</t>
  </si>
  <si>
    <t>住房保障支出</t>
  </si>
  <si>
    <t>保障性安居工程支出</t>
  </si>
  <si>
    <t>信息统计</t>
  </si>
  <si>
    <t>专项业务活动</t>
  </si>
  <si>
    <t>保障性住房租金补贴</t>
  </si>
  <si>
    <t>调整濠江区西园里片区城镇老旧小区改造项目功能科目。</t>
  </si>
  <si>
    <t>老旧小区改造</t>
  </si>
  <si>
    <t>其他粮油物资事务支出</t>
  </si>
  <si>
    <t>住房改革支出</t>
  </si>
  <si>
    <t>住房公积金</t>
  </si>
  <si>
    <t>粮油物资储备支出</t>
  </si>
  <si>
    <t>粮油事务</t>
  </si>
  <si>
    <t>粮食风险基金</t>
  </si>
  <si>
    <t>其他粮油事务支出</t>
  </si>
  <si>
    <t>调剂预留项目经费。</t>
  </si>
  <si>
    <t>重要商品储备</t>
  </si>
  <si>
    <t>肉类储备</t>
  </si>
  <si>
    <t>其他重要商品储备支出</t>
  </si>
  <si>
    <t>调增2020年至2022年欠缴食盐储备管理费。</t>
  </si>
  <si>
    <t>灾害防治及应急管理支出</t>
  </si>
  <si>
    <t>应急管理事务</t>
  </si>
  <si>
    <t>灾害风险防治</t>
  </si>
  <si>
    <t>安全监管</t>
  </si>
  <si>
    <t>2240109</t>
  </si>
  <si>
    <t>应急管理</t>
  </si>
  <si>
    <t>其他应急管理支出</t>
  </si>
  <si>
    <t>消防事务</t>
  </si>
  <si>
    <t>消防应急救援</t>
  </si>
  <si>
    <t>调增南滨消防站住宅片消防车辆购置经费。</t>
  </si>
  <si>
    <t>其他消防事务支出</t>
  </si>
  <si>
    <t>调增南滨消防站住宅片设施购置经费。</t>
  </si>
  <si>
    <t>地震事务</t>
  </si>
  <si>
    <t>其他地震事务支出</t>
  </si>
  <si>
    <t>自然灾害防治</t>
  </si>
  <si>
    <t>地质灾害防治</t>
  </si>
  <si>
    <t>调减汕头市濠江区合作构建地质灾害防治技术支撑等经费。</t>
  </si>
  <si>
    <t>其他自然灾害防治支出</t>
  </si>
  <si>
    <t>调增第一次全国自然灾害综合风险普查专项经费。</t>
  </si>
  <si>
    <t>预备费</t>
  </si>
  <si>
    <t>其他支出</t>
  </si>
  <si>
    <t>调剂使用预留项目经费。</t>
  </si>
  <si>
    <t>转移性支出</t>
  </si>
  <si>
    <t>上解支出</t>
  </si>
  <si>
    <t>专项上解支出</t>
  </si>
  <si>
    <t>债务还本支出</t>
  </si>
  <si>
    <t>地方政府一般债务还本支出</t>
  </si>
  <si>
    <t>地方政府一般债券还本支出</t>
  </si>
  <si>
    <t>债务付息支出</t>
  </si>
  <si>
    <t>地方政府一般债务付息支出</t>
  </si>
  <si>
    <t>地方政府一般债券付息支出</t>
  </si>
  <si>
    <t>按需求调增。</t>
  </si>
  <si>
    <t>债务发行费用支出</t>
  </si>
  <si>
    <t>地方政府一般债务发行费用支出</t>
  </si>
  <si>
    <t>附表3</t>
  </si>
  <si>
    <t>2022年一般公共预算支出项目调整情况表</t>
  </si>
  <si>
    <t>序号</t>
  </si>
  <si>
    <t>股室</t>
  </si>
  <si>
    <t>单位</t>
  </si>
  <si>
    <t>项目名称</t>
  </si>
  <si>
    <t>7月31日余额</t>
  </si>
  <si>
    <t>调整情况</t>
  </si>
  <si>
    <t>预留调剂</t>
  </si>
  <si>
    <t>单位申请</t>
  </si>
  <si>
    <t>财政建议</t>
  </si>
  <si>
    <t>栏次</t>
  </si>
  <si>
    <t>基本支出小计</t>
  </si>
  <si>
    <t>调减机关公用经费5%部分65.48万元，调增人员经费（住房公积金、医保和政策性增资经费）。</t>
  </si>
  <si>
    <t>预算股</t>
  </si>
  <si>
    <t>归口单位</t>
  </si>
  <si>
    <t>基本支出</t>
  </si>
  <si>
    <t>调增人员经费2000万元，调减机关公用经费5%部分9.45万元</t>
  </si>
  <si>
    <t>行财股</t>
  </si>
  <si>
    <t>人员经费（绩效奖、住房公积金、医保和调资经费）调增3000万元，春节慰问金调减8.54万元，休假补贴调减45.50万元，行政部门公用经费调减39.84万元。</t>
  </si>
  <si>
    <t>国资股</t>
  </si>
  <si>
    <t>农业股</t>
  </si>
  <si>
    <t>年终绩效预留、调减公用经费和年中人员调整需调增各项基本支出</t>
  </si>
  <si>
    <t>工贸股</t>
  </si>
  <si>
    <t>行政机关公用经费核减8.01万，调增预留绩效奖、住房公积金和医疗保险调资经费300万</t>
  </si>
  <si>
    <t>社保股</t>
  </si>
  <si>
    <t>社保股（代编）</t>
  </si>
  <si>
    <t>预留机关事业单位职业年金</t>
  </si>
  <si>
    <t>调减公用经费4.185万元</t>
  </si>
  <si>
    <t>综合股</t>
  </si>
  <si>
    <t>综合股（代编）</t>
  </si>
  <si>
    <t>预留基本支出</t>
  </si>
  <si>
    <t>预留剩余四个月基本支出，公积金医保调整部分、新增公务员及事业编支出、绩效等各类支出。（综合股每个月基本支出为68万左右，需发绩效人数100人，按照人均2.8万）</t>
  </si>
  <si>
    <t>调减公用经费2.1万元</t>
  </si>
  <si>
    <t>钱塘小学</t>
  </si>
  <si>
    <t>钱塘小学补充公用经费</t>
  </si>
  <si>
    <t>学前人数增加以及年前占用一定额度</t>
  </si>
  <si>
    <t>南区幼儿园</t>
  </si>
  <si>
    <t>南区幼儿园补充公用经费</t>
  </si>
  <si>
    <t>预计幼儿园保教费收入增加40万</t>
  </si>
  <si>
    <t>区市场物业管理站</t>
  </si>
  <si>
    <t>补充人员经费</t>
  </si>
  <si>
    <t>市场物业站预计今年市场物业租金收入增加37万，拟安排人员办公经费，及解决截止目前历年结欠职工社保费38万元等。</t>
  </si>
  <si>
    <t>上年结转小计</t>
  </si>
  <si>
    <t>2021年上级专项。</t>
  </si>
  <si>
    <t>新增一般债券支出小计</t>
  </si>
  <si>
    <t>项目支出小计</t>
  </si>
  <si>
    <t>各街道</t>
  </si>
  <si>
    <t>行政村（居）配备动物疫病防治员补助</t>
  </si>
  <si>
    <t>计生经费</t>
  </si>
  <si>
    <t>计生职能弱化，拟调减。</t>
  </si>
  <si>
    <t>纯居社区办公经费</t>
  </si>
  <si>
    <t>调增南滨社区：省、市级合计9万元/年*75%（9个月/12个月）+区级1万元/月*9个月=15.75万元。</t>
  </si>
  <si>
    <t>社区党组织服务群众专项经费</t>
  </si>
  <si>
    <t>调增南滨社区：省、市、区三级6万元/年*75%=4.5万元。</t>
  </si>
  <si>
    <t>社区“两委”干部岗位补贴</t>
  </si>
  <si>
    <t>调增南滨社区90万元。</t>
  </si>
  <si>
    <t>社区“两委”干部医疗保险</t>
  </si>
  <si>
    <t>调增马滘街道0.3万元。</t>
  </si>
  <si>
    <t>社区一般工作人员工作补贴</t>
  </si>
  <si>
    <t>社区专职工作者职业化体系暂未开始执行，拟调减。</t>
  </si>
  <si>
    <t>社区“两委”干部养老保险</t>
  </si>
  <si>
    <t>社区“两委”干部住房公积金</t>
  </si>
  <si>
    <t>退转后社区“两委”干部补助资金</t>
  </si>
  <si>
    <t>综治维稳、安全生产经费</t>
  </si>
  <si>
    <t>殡改经费</t>
  </si>
  <si>
    <t>困难社区办公经费</t>
  </si>
  <si>
    <t>涉农社区办公经费</t>
  </si>
  <si>
    <t>社区党组织书记绩效奖励经费</t>
  </si>
  <si>
    <t>正常离任村干部生活补助</t>
  </si>
  <si>
    <t>人大工委工作经费</t>
  </si>
  <si>
    <t>农税改</t>
  </si>
  <si>
    <t>补列中央选调生到村任职补助资金</t>
  </si>
  <si>
    <t>达濠街道0.1万元，滨海街道0.6万元。2020年中央补助资金，2021年被收回，拟补列。</t>
  </si>
  <si>
    <t>石街道办事处</t>
  </si>
  <si>
    <t>尾村社区工作经费</t>
  </si>
  <si>
    <t>经建股</t>
  </si>
  <si>
    <t>达濠街道办事处</t>
  </si>
  <si>
    <t>吴氏红字祠堂门前文化广场工程</t>
  </si>
  <si>
    <t>红桥路、商业街、西田北路雨污分流改造项目</t>
  </si>
  <si>
    <t>根据汕濠发改投〔2020〕58号文件精神，红桥路、商业街、西田北路雨污分流改造项目总投资2450.51万元，资金来源为区级财政统筹。该项目目前已到达支付条件还未支付金额为931.76万元。</t>
  </si>
  <si>
    <t>老渔工生活困难补助</t>
  </si>
  <si>
    <t>达濠古城日常管理和维护经费</t>
  </si>
  <si>
    <t>万人墓维护经费</t>
  </si>
  <si>
    <t>渔业联社和困难纯居社区补助经费</t>
  </si>
  <si>
    <t>玉新街道办事处</t>
  </si>
  <si>
    <t>东牧养鸡场整改工作经费</t>
  </si>
  <si>
    <t>滨海街道办事处</t>
  </si>
  <si>
    <t>社区“两委”干部离任补偿经费</t>
  </si>
  <si>
    <t>河浦街道办事处</t>
  </si>
  <si>
    <t>三屿围片区卫生整治工作经费</t>
  </si>
  <si>
    <t>各街道小计</t>
  </si>
  <si>
    <t>区纪委监委机关</t>
  </si>
  <si>
    <t>干部培训费</t>
  </si>
  <si>
    <t>纪检监察机关陪护队伍工作经费</t>
  </si>
  <si>
    <t>纪律教育月</t>
  </si>
  <si>
    <t>年度例会</t>
  </si>
  <si>
    <t>巡察工作经费</t>
  </si>
  <si>
    <t>征订党报党刊资金</t>
  </si>
  <si>
    <t>政务公开</t>
  </si>
  <si>
    <t>纪检监察机关办案经费</t>
  </si>
  <si>
    <t>区纪委监委机关小计</t>
  </si>
  <si>
    <t>区财政局</t>
  </si>
  <si>
    <t>金融管理工作经费</t>
  </si>
  <si>
    <t>会计监督检查（绩评）工作经费</t>
  </si>
  <si>
    <t>开展会计信息质量检查、重点绩效评价、违规使用大额现金支付和违反中央八项规定专项检查、预决算公开情况检查业务需要。</t>
  </si>
  <si>
    <t>财政信息系统建设和维护经费</t>
  </si>
  <si>
    <t>按上级要求新增系统运维服务经费，省非税系统运维服务4万、票据管理系统运维服务3万元。</t>
  </si>
  <si>
    <t>常年法律顾问经费</t>
  </si>
  <si>
    <t>协税经费补助</t>
  </si>
  <si>
    <t>根据业务工作需要调增。</t>
  </si>
  <si>
    <t>预算、国库、债务管理工作经费</t>
  </si>
  <si>
    <t>设备购置及维护经费</t>
  </si>
  <si>
    <t>会计档案资料整理等工作经费</t>
  </si>
  <si>
    <t>根据档案整理合同金额调增经费。</t>
  </si>
  <si>
    <t>预算、预算调整、年终决算等编审工作经费</t>
  </si>
  <si>
    <t>根据8-12月需求支出预测调减。</t>
  </si>
  <si>
    <t>农村财务工作经费</t>
  </si>
  <si>
    <t>农村财务专项检查及培训。按往年开展农村财会人员支农培训预测调增。</t>
  </si>
  <si>
    <t>数字政府工作经费</t>
  </si>
  <si>
    <t>政府综合财务报告编报工作经费</t>
  </si>
  <si>
    <t>区财政局小计</t>
  </si>
  <si>
    <t>区残联</t>
  </si>
  <si>
    <t>工作补充经费</t>
  </si>
  <si>
    <t>残疾人康复中心大楼功能性装修项目</t>
  </si>
  <si>
    <t>汕濠办文〔2021〕Z3-1409号，拟使用2022预留。</t>
  </si>
  <si>
    <t>0-6周岁残疾儿童康复训练购买服务经费</t>
  </si>
  <si>
    <t>2022年区残联春节慰问</t>
  </si>
  <si>
    <t>白内障术前筛查工作经费</t>
  </si>
  <si>
    <t>残疾人居家无障碍改造配套经费</t>
  </si>
  <si>
    <t>上级下达任务数从6户调整为33户。每户6000元，中央负担1000元，剩下的省、市、区70：15：15。</t>
  </si>
  <si>
    <t>残疾人医疗康复救助基金</t>
  </si>
  <si>
    <t>根据汕残联通〔2022〕59号，按人口每人0.5元计算。区级补助13.48万元，年初预算福彩基金结转结余5.77万元，本次调整7.72万元。</t>
  </si>
  <si>
    <t>残疾学生及困难残疾人子女助学金</t>
  </si>
  <si>
    <t>康复经费</t>
  </si>
  <si>
    <t>康复中心物业管理人员经费</t>
  </si>
  <si>
    <t>全国助残日、国际残疾人日经费</t>
  </si>
  <si>
    <t>社区康园运行补助经费</t>
  </si>
  <si>
    <t>救助、慰问困难残疾人经费</t>
  </si>
  <si>
    <t>区残联小计</t>
  </si>
  <si>
    <t>工贸股、国资股</t>
  </si>
  <si>
    <t>区城管局</t>
  </si>
  <si>
    <t>更新垃圾转运设备项目</t>
  </si>
  <si>
    <t>汕濠办文〔2021〕Z3-0507号，购置设备40万元、垃圾转运车辆经费40万元。</t>
  </si>
  <si>
    <t>加装磊广大道车止柱及警示牌设施项目</t>
  </si>
  <si>
    <t>汕濠财报2022-2号。</t>
  </si>
  <si>
    <t>城市管理和综合执法运转经费</t>
  </si>
  <si>
    <t>玉新街道创建城市生活垃圾分类示范片区</t>
  </si>
  <si>
    <t>汕濠办文〔2020〕Z1-0895号。</t>
  </si>
  <si>
    <t>移动执法平台通信费用（一年）</t>
  </si>
  <si>
    <t>治超工作专项经费</t>
  </si>
  <si>
    <t>菊展经费</t>
  </si>
  <si>
    <t>文化市场管理</t>
  </si>
  <si>
    <t>数字城管一期互联网租金(一年费用）</t>
  </si>
  <si>
    <t>劳动保障监察专项经费</t>
  </si>
  <si>
    <t>创文强管工作补充经费</t>
  </si>
  <si>
    <t>数字城管二期互联网租金（一年费用）</t>
  </si>
  <si>
    <t>动物防疫专项经费</t>
  </si>
  <si>
    <t>“数字城管”一二期平台建设项目维修保养经费</t>
  </si>
  <si>
    <t>区城管局小计</t>
  </si>
  <si>
    <t>区环卫事务中心</t>
  </si>
  <si>
    <t>珠浦路保洁经费（2021年）</t>
  </si>
  <si>
    <t>汕濠府办财函〔2013〕154号。考虑财政已负担农村保洁员经费，拟不再单独编列。</t>
  </si>
  <si>
    <t>环卫质量考核工作经费</t>
  </si>
  <si>
    <t>珠浦路保洁经费</t>
  </si>
  <si>
    <t>广澳垃圾压缩站场地租金</t>
  </si>
  <si>
    <t>环卫节经费</t>
  </si>
  <si>
    <t>垃圾压缩站场地租金</t>
  </si>
  <si>
    <t>区环卫事务中心小计</t>
  </si>
  <si>
    <t>区发展改革局</t>
  </si>
  <si>
    <t>现代产业项目评估论证费用</t>
  </si>
  <si>
    <t>汕濠办文〔2021〕Z3-1408号文。</t>
  </si>
  <si>
    <t>项目社会稳定风险评估</t>
  </si>
  <si>
    <t>广东省重大项目集中开工工作经费</t>
  </si>
  <si>
    <t>汕市项目办〔2021〕15号。</t>
  </si>
  <si>
    <t>申请中央资金、债券、前期经费等费用</t>
  </si>
  <si>
    <t>区重点办工作经费</t>
  </si>
  <si>
    <t>区重点产业片区建设招商领导小组办公室工作经费（购买服务）</t>
  </si>
  <si>
    <t>科学保粮工作经费</t>
  </si>
  <si>
    <t>区重点产业片区建设招商领导小组办公室工作经费</t>
  </si>
  <si>
    <t>省、市、区重点项目管理工作经费</t>
  </si>
  <si>
    <t>汕濠办函〔2019〕32号、汕濠府办函〔2020〕18号。</t>
  </si>
  <si>
    <t>区级冻猪肉储备费用</t>
  </si>
  <si>
    <t>区经济动员办公室工作经费</t>
  </si>
  <si>
    <t>对口鹤岗市向阳区办公经费</t>
  </si>
  <si>
    <t>救灾物资管理经费</t>
  </si>
  <si>
    <t>区级应急成品粮有关费用</t>
  </si>
  <si>
    <t>可行性研究报告专家评审费</t>
  </si>
  <si>
    <t>《汕头经济特区政府投资项目管理条例》。</t>
  </si>
  <si>
    <t>粮食质量安全监管、库存检查等经费</t>
  </si>
  <si>
    <t>区级节能专项资金</t>
  </si>
  <si>
    <t>节能监察工作经费</t>
  </si>
  <si>
    <t>粮食安全应急工作经费</t>
  </si>
  <si>
    <t>固定资产投资网上备案登记经费</t>
  </si>
  <si>
    <t>粮食供需平衡、市场监测、流通统计、居民粮油消费调查等经费</t>
  </si>
  <si>
    <t>春节慰问困难职工补助经费</t>
  </si>
  <si>
    <t>按实结算项目，结余资金调减。</t>
  </si>
  <si>
    <t>汕头市粮食安全责任制考核工作经费</t>
  </si>
  <si>
    <t>营商环境办公经费</t>
  </si>
  <si>
    <t>概算审查经费</t>
  </si>
  <si>
    <t>区发展改革局小计</t>
  </si>
  <si>
    <t>区价格认证中心</t>
  </si>
  <si>
    <t>刑事涉案物品价格鉴审经费</t>
  </si>
  <si>
    <t>区价格认证中心小计</t>
  </si>
  <si>
    <t>区法院</t>
  </si>
  <si>
    <t>书记员经费</t>
  </si>
  <si>
    <t>聘用制人员包干经费</t>
  </si>
  <si>
    <t>诉前调解中心工作经费</t>
  </si>
  <si>
    <t>区法院补充工作经费</t>
  </si>
  <si>
    <t>汕濠办文〔2021〕Z3-1464号。</t>
  </si>
  <si>
    <t>执行工作专项经费</t>
  </si>
  <si>
    <t>上年被收回10万元。</t>
  </si>
  <si>
    <t>区法院小计</t>
  </si>
  <si>
    <t>区检察院</t>
  </si>
  <si>
    <t>区检察院小计</t>
  </si>
  <si>
    <t>区妇联</t>
  </si>
  <si>
    <t>三八节经费</t>
  </si>
  <si>
    <t>六一节经费</t>
  </si>
  <si>
    <t>家庭教育和小公民教育经费</t>
  </si>
  <si>
    <t>妇儿工委监测评估经费</t>
  </si>
  <si>
    <t>单亲特困母亲、困境儿童家庭慰问活动经费</t>
  </si>
  <si>
    <t>法治宣传教育工作经费</t>
  </si>
  <si>
    <t>汕妇字〔2021〕28号。</t>
  </si>
  <si>
    <t>区妇联小计</t>
  </si>
  <si>
    <t>区工商联</t>
  </si>
  <si>
    <t>濠江区民营投诉中心</t>
  </si>
  <si>
    <t>濠江区总商会</t>
  </si>
  <si>
    <t>区工商联小计</t>
  </si>
  <si>
    <t>区工业和信息化局</t>
  </si>
  <si>
    <t>提前复工生产疫情防控应急保障物资或零部件的企业奖励</t>
  </si>
  <si>
    <t>汕濠办文〔2021〕Z3-1235号。</t>
  </si>
  <si>
    <t>2020年第一季度工业产值、销售额和建安产值完成奖励资金</t>
  </si>
  <si>
    <t>高新技术企业认定奖励（2020年）</t>
  </si>
  <si>
    <t>汕濠府〔2019〕34号。</t>
  </si>
  <si>
    <t>高新技术企业认定奖励项目（2021年）</t>
  </si>
  <si>
    <t>推动小微企业上规模（2020年）</t>
  </si>
  <si>
    <t>推动小微企业上规模（2021年）</t>
  </si>
  <si>
    <t>支持企业研发机构建设项目（2019-2021年）</t>
  </si>
  <si>
    <t>支持规上工业企业加大研发投入经费项目（2019年）</t>
  </si>
  <si>
    <t>支持规上工业企业加大研发投入经费项目（2020年）</t>
  </si>
  <si>
    <t>支持规上工业企业加大研发投入经费项目（2021年）</t>
  </si>
  <si>
    <t>供地企业经济贡献奖项目</t>
  </si>
  <si>
    <t>汕濠办发电〔2020〕20号。</t>
  </si>
  <si>
    <t>非供地企业经济贡献奖项目</t>
  </si>
  <si>
    <t>物流补助奖项目</t>
  </si>
  <si>
    <t>招商引资和产业发展工作经费</t>
  </si>
  <si>
    <t>海上风电产业发展专班工作经费</t>
  </si>
  <si>
    <t>关于印发濠江区海上风电产业发展专班工作方案的通知。</t>
  </si>
  <si>
    <t>2020年奖励生产型外贸企业出口项目</t>
  </si>
  <si>
    <t>汕濠府办〔2022〕5号。</t>
  </si>
  <si>
    <t>2020年支持市场采购贸易出口项目</t>
  </si>
  <si>
    <t>2020年支持企业开拓国内外市场项目</t>
  </si>
  <si>
    <t>2020年补贴出口信用保险项目</t>
  </si>
  <si>
    <t>2020年支持纳入统计的限上批零住餐企业继续做大项目</t>
  </si>
  <si>
    <t>2021年奖励生产型外贸企业出口项目</t>
  </si>
  <si>
    <t>2021年支持企业开拓国内外市场项目</t>
  </si>
  <si>
    <t>2021年补贴出口信用保险项目</t>
  </si>
  <si>
    <t>2021年支持生产型外贸企业进口项目</t>
  </si>
  <si>
    <t>2021年支持纳入统计的限上批零住餐企业继续做大项目</t>
  </si>
  <si>
    <t>濠江区新冠肺炎防控指挥办生活物资保障组工作经费</t>
  </si>
  <si>
    <t>关于印发《濠江区新冠肺炎疫情局部暴发生活必需品保供应急工作预案（第二版）》的通知。</t>
  </si>
  <si>
    <t>招商引资工作经费</t>
  </si>
  <si>
    <t>科普经费</t>
  </si>
  <si>
    <t>地震经费</t>
  </si>
  <si>
    <t>广交会、进博会、中博会等会展推介、参展经费</t>
  </si>
  <si>
    <t>高新技术企业认定奖励项目</t>
  </si>
  <si>
    <t>春节慰问下辖国有企业困难职工经费</t>
  </si>
  <si>
    <t>区工业和信息化局小计</t>
  </si>
  <si>
    <t>区生产力促进中心</t>
  </si>
  <si>
    <t>濠江区科技创新公共服务平台建设项目</t>
  </si>
  <si>
    <t>区生产力促进中心小计</t>
  </si>
  <si>
    <t>区供销社</t>
  </si>
  <si>
    <t>综合改革工作经费</t>
  </si>
  <si>
    <t>濠江区供销合作社新型乡村助农服务综合平台（中心）</t>
  </si>
  <si>
    <t>综合性合作经济组织建设工作经费</t>
  </si>
  <si>
    <t>区供销社小计</t>
  </si>
  <si>
    <t>区红十字会</t>
  </si>
  <si>
    <t>备灾救灾专项经费</t>
  </si>
  <si>
    <t>工作经费</t>
  </si>
  <si>
    <t>卫生救护培训专项经费</t>
  </si>
  <si>
    <t>重大疾病医疗救助工作经费</t>
  </si>
  <si>
    <t>区红十字会小计</t>
  </si>
  <si>
    <t>区教育局</t>
  </si>
  <si>
    <t>民办代课教师补助</t>
  </si>
  <si>
    <t>学前教育幼儿资助</t>
  </si>
  <si>
    <t>每生每学年1000元，省、区8.5：1.5。</t>
  </si>
  <si>
    <t>家庭经济困难学生国家助学金（高中）</t>
  </si>
  <si>
    <t>每生每学年5000元，省、区8.5：1.5。</t>
  </si>
  <si>
    <t>省外高校贫困大学生助学金</t>
  </si>
  <si>
    <t>教师节活动经费</t>
  </si>
  <si>
    <t>教师培训经费</t>
  </si>
  <si>
    <t>2022年明确增加规范后绩效工资，按计提2%算，教师培训经费需调增到786.36万。</t>
  </si>
  <si>
    <t>华南师范大学品牌费、管理费</t>
  </si>
  <si>
    <t>区公办中小学、幼儿园保安购买服务经费</t>
  </si>
  <si>
    <t>去年下半年及今年上半年需355万；根据汕濠办文〔2022〕Z2-0550号，安排教育系统现有51所公办义务教育学校和幼儿园及9所计划开班校（园）保安服务补助经费年补助经费429.12万元，即下半年需214.56万，全年需569.56万，暂按419万元编列，按实结算。500学生以上学校，2个保安，每人每月2130元；500学生以下学校，2个保安，每人每月3630元。</t>
  </si>
  <si>
    <t>濠江花园南区幼儿园、广澳街道中心幼儿园学前教育购买服务经费</t>
  </si>
  <si>
    <t>特教办学经费</t>
  </si>
  <si>
    <t>教育综合改革工作经费--社区教育专项培训</t>
  </si>
  <si>
    <t>教育综合改革工作经费--体育艺术特色教育</t>
  </si>
  <si>
    <t>考点考务经费</t>
  </si>
  <si>
    <t>教育经费审计经费</t>
  </si>
  <si>
    <t>督导工作专项经费</t>
  </si>
  <si>
    <t>统计工作经费</t>
  </si>
  <si>
    <t>劳动教育活动经费</t>
  </si>
  <si>
    <t>招聘招考新教师经费</t>
  </si>
  <si>
    <t>学前教育管理经费</t>
  </si>
  <si>
    <t>义务教育优质均衡发展区工作经费</t>
  </si>
  <si>
    <t>深化教育改革工作经费</t>
  </si>
  <si>
    <t>德育工作经费</t>
  </si>
  <si>
    <t>考试招生工作经费</t>
  </si>
  <si>
    <t>国家义务教育专项质量监测工作经费</t>
  </si>
  <si>
    <t>政府履行教育职责考核工作经费</t>
  </si>
  <si>
    <t>教育装备建设项目经费</t>
  </si>
  <si>
    <t>高中免学费</t>
  </si>
  <si>
    <t>每生每学年2500元，省、区8.5：1.5。</t>
  </si>
  <si>
    <t>高中残疾生</t>
  </si>
  <si>
    <t>每生每学年3850元，省、区8.5：1.5。</t>
  </si>
  <si>
    <t>国家义务教育专项质量监测结果应用工作经费</t>
  </si>
  <si>
    <t>校内课后服务基本托管费用</t>
  </si>
  <si>
    <t>根据汕市财科教﹝2022﹞82号，区级需配套26.703万元，年初预算8万元，需补足差额18.703万元。</t>
  </si>
  <si>
    <t>互联网接入服务</t>
  </si>
  <si>
    <t>教育系统IS智慧平台、录播系统资源平台、智慧教师平台等互联网到期续费。政府履职（中考阅卷系统）。</t>
  </si>
  <si>
    <t>2021年教育装备经费</t>
  </si>
  <si>
    <t>上年度预算被收回。</t>
  </si>
  <si>
    <t>韩山师范学院附属濠江实验学校开办经费</t>
  </si>
  <si>
    <t>汕濠办文〔2022〕Z2-N0287号。</t>
  </si>
  <si>
    <t>汕头金中南滨学校博美校区开办经费</t>
  </si>
  <si>
    <t>区教师发展中心及人力资源服务产业园建设项目</t>
  </si>
  <si>
    <t>水表安装费，中央就业发展200万，市人才发展20万。</t>
  </si>
  <si>
    <t>教育局机关大楼水电紧急维护</t>
  </si>
  <si>
    <t>人力资源服务产业园项目二次装修</t>
  </si>
  <si>
    <t>汕濠办文〔2021〕Z2-0519。</t>
  </si>
  <si>
    <t>预留2022年教育系统项目前期及工程费用</t>
  </si>
  <si>
    <t>捐资助学支出</t>
  </si>
  <si>
    <t>区教育局及各学校汇总</t>
  </si>
  <si>
    <t>学前教育生均公用经费</t>
  </si>
  <si>
    <t>每生每学年500元，省、区5：5。</t>
  </si>
  <si>
    <t>城乡义务教育生均公用经费</t>
  </si>
  <si>
    <t>小学每生每学年1150元，初中每生每学年1950元，省、市、区6：2：2。</t>
  </si>
  <si>
    <t>义务教育阶段特殊教育学校和随班就读残疾学生生均公用经费</t>
  </si>
  <si>
    <t>每生每学年6000元，省、市、区6：2：2。</t>
  </si>
  <si>
    <t>公办普通高中生均公用经费</t>
  </si>
  <si>
    <t>每生每学年1000元，省、区5：5。</t>
  </si>
  <si>
    <t>濠江各学校</t>
  </si>
  <si>
    <t>提高寄宿制学校等公用经费水平</t>
  </si>
  <si>
    <t>初中每生每学年350元，省、市、区6：2：2。</t>
  </si>
  <si>
    <t>公办普通高中生均公用经费（2021年度）</t>
  </si>
  <si>
    <t>2021年经费被收回，现补足。</t>
  </si>
  <si>
    <t>义务教育阶段特殊教育学校和随班就读残疾学生生均公用经费（2021年度）</t>
  </si>
  <si>
    <t>玉新中学</t>
  </si>
  <si>
    <t>玉新中学运动场和校区排水管网及绿化配套改造项目</t>
  </si>
  <si>
    <t>总投360万元，已拨付116万元，汕濠办文〔2020〕Z2-1162号。</t>
  </si>
  <si>
    <t>石中学</t>
  </si>
  <si>
    <t>石中学扩建宿舍楼及配套设施项目</t>
  </si>
  <si>
    <t>总投1669.95万元，已拨付917.72万元，汕濠办文〔2019〕Z3-1037号。</t>
  </si>
  <si>
    <t>三河中学</t>
  </si>
  <si>
    <t>三河中学校舍综合改造项目</t>
  </si>
  <si>
    <t>总投5351万元，已拨付72万元，汕濠办文〔2021〕Z2-0519号。</t>
  </si>
  <si>
    <t>达濠第三中学</t>
  </si>
  <si>
    <t>达濠第三中学阶梯教室环境配套升级改造项目</t>
  </si>
  <si>
    <t>项目结算审定金额50万元，已拨付49.3万元，尚欠0.7万元（工程尾款）。</t>
  </si>
  <si>
    <t>达濠华侨中学</t>
  </si>
  <si>
    <t>达濠华侨中学学生宿舍楼及配套建设</t>
  </si>
  <si>
    <t>总投11066万元，已拨付10759万元。</t>
  </si>
  <si>
    <t>达濠中学</t>
  </si>
  <si>
    <t>达濠中学改建运动场及配套设施</t>
  </si>
  <si>
    <t>预算审核金额381.41万，已拨付18万元。（汕濠办文〔2020〕Z2-2041号。</t>
  </si>
  <si>
    <t>河浦中学</t>
  </si>
  <si>
    <t>河浦中学学生宿舍楼及配套设施</t>
  </si>
  <si>
    <t>总投8844.9万元，已拨付5053.95万，剩余应付款约3790.95万元。</t>
  </si>
  <si>
    <t>河浦中学教学楼前景观改造工程项目</t>
  </si>
  <si>
    <t>总投131.25万元，已拨付28.43万元，存量资金尚余36万元可用。</t>
  </si>
  <si>
    <t>埭头小学</t>
  </si>
  <si>
    <t>濠江区埭头小学校舍综合改造工程</t>
  </si>
  <si>
    <t>总投2207.63万元，已拨付1926.03万元，汕濠办文〔2020〕Z2-0931号。</t>
  </si>
  <si>
    <t>埭头学校山体挡土墙及场区配套建设</t>
  </si>
  <si>
    <t>总投391.22万元，已拨付109万元，存量资金尚余6.8万元可用。</t>
  </si>
  <si>
    <t>凤岗小学</t>
  </si>
  <si>
    <t>凤岗小学校舍综合改造项目</t>
  </si>
  <si>
    <t>总投2925.25万元，汕濠办文〔2021〕Z2-0519，上级资金尚余374万元可用。</t>
  </si>
  <si>
    <t>葛洲学校</t>
  </si>
  <si>
    <t>葛洲学校教学楼卫生间维修改造</t>
  </si>
  <si>
    <t>总投50.52万元，存量资金尚余17万元可用。</t>
  </si>
  <si>
    <t>葛洲学校运动场改造及配套项目</t>
  </si>
  <si>
    <t>总投82.37万元，已拨付26.99万元，存量资金尚余17.66万元可用。</t>
  </si>
  <si>
    <t>濠城学校</t>
  </si>
  <si>
    <t>濠城学校扩建教学楼和运动场及配套设施建设项目</t>
  </si>
  <si>
    <t>总投2075万元，已拨付16万元。汕濠办文〔2021〕Z2-0519号。</t>
  </si>
  <si>
    <t>西墩小学</t>
  </si>
  <si>
    <t>西墩小学教学楼墙体和卫生间及配套修缮</t>
  </si>
  <si>
    <t>总投381.24万元，存量资金尚余13.33万元可用。</t>
  </si>
  <si>
    <t>溪头禧伦小学</t>
  </si>
  <si>
    <t>溪头禧伦小学校区场地及围墙维修改造</t>
  </si>
  <si>
    <t>总投91.1万元，汕濠办文〔2020〕Z2-1632号。</t>
  </si>
  <si>
    <t>玉石小学</t>
  </si>
  <si>
    <t>玉石小学教学楼升级改造工程</t>
  </si>
  <si>
    <t>总投850.84万元，已拨付54.71万元，预算审核金额850.84，已拨56.15万，剩余应付款约794.69万元。</t>
  </si>
  <si>
    <t>珠浦第二小学</t>
  </si>
  <si>
    <t>珠浦第二小学课桌椅等设备（使用2019年教育捐赠款）</t>
  </si>
  <si>
    <t>珠浦第二小学改建围墙大门和运动场及配套项目</t>
  </si>
  <si>
    <t>总投396.52万元，已拨付81.26万元。</t>
  </si>
  <si>
    <t>河北小学</t>
  </si>
  <si>
    <t>河北小学教学用房及配套设施综合改建项目</t>
  </si>
  <si>
    <t>总投3824.23万元，已拨付1666.71万元，上级资金尚余67万元可用。</t>
  </si>
  <si>
    <t>河南小学</t>
  </si>
  <si>
    <t>河南小学校舍维修</t>
  </si>
  <si>
    <t>总投301万元，2019年教育捐赠资金安排200万元，已使用存量资金拨付40万元。</t>
  </si>
  <si>
    <t>华桥小学</t>
  </si>
  <si>
    <t>华桥小学综合楼建设</t>
  </si>
  <si>
    <t>总投1203.73万元，2019年教育捐赠资金安排1000万元，已使用存量资金拨付22万元。</t>
  </si>
  <si>
    <t>华新小学</t>
  </si>
  <si>
    <t>华新小学教学楼外墙和运动场改造项目</t>
  </si>
  <si>
    <t>总投346.75万元，已拨付99.77万元，汕濠办文〔2020〕Z2-1158号，上级资金尚余53万元可用。</t>
  </si>
  <si>
    <t>磊口小学</t>
  </si>
  <si>
    <t>磊口小学校舍维修及用电线路改造项目</t>
  </si>
  <si>
    <t>总投50.16万元，已拨付15.79万元，上级资金尚余19万元可用。</t>
  </si>
  <si>
    <t>民生学校</t>
  </si>
  <si>
    <t>民生学校教学楼屋面补漏及墙体维修</t>
  </si>
  <si>
    <t>总投112.38万元，存量资金尚余23万元可用。</t>
  </si>
  <si>
    <t>濠江华附</t>
  </si>
  <si>
    <t>根据汕濠财﹝2021﹞8号，安排2021年教育装备经费245万元，已支付6.09万元，剩余238.91万元尚未拨付。</t>
  </si>
  <si>
    <t>区教师发展中心</t>
  </si>
  <si>
    <t>义务教育阶段质量检测</t>
  </si>
  <si>
    <t>教学科研专项经费（含教科所）</t>
  </si>
  <si>
    <t>教育高质量发展工作经费--教育科研经费</t>
  </si>
  <si>
    <t>区中心幼儿园</t>
  </si>
  <si>
    <t>每生每学年600元，省250元，区350元。</t>
  </si>
  <si>
    <t>区教育局及各学校小计</t>
  </si>
  <si>
    <t>区职教中心</t>
  </si>
  <si>
    <t>中职教育国家助学金</t>
  </si>
  <si>
    <t>每生每学年2000元，省、区8.5：1.5。</t>
  </si>
  <si>
    <t>中职教育免学费补助</t>
  </si>
  <si>
    <t>每生每学年3500元，省、区8.5：1.5。</t>
  </si>
  <si>
    <t>聘用专业教师补助经费</t>
  </si>
  <si>
    <t>广澳中学综合实训楼和学生宿舍楼及配套设施</t>
  </si>
  <si>
    <t>总投7897.55万元，已拨付5385.08万元，存量资金尚余95万元可用。</t>
  </si>
  <si>
    <t>运动场建设改造及配套设施修缮项目</t>
  </si>
  <si>
    <t>总投320.18万元，已拨付5.58万元，存量资金尚余74.42万元可用。</t>
  </si>
  <si>
    <t>汕头市濠江职业技术教育中心（广澳校区）维修改造</t>
  </si>
  <si>
    <t>濠江职教中心校新校区卫生间修缮及屋顶补漏工程</t>
  </si>
  <si>
    <t>总投161.94万元，已拨付93.80万元，项目已竣工验收，但2020年上级补助资金被本级收回。</t>
  </si>
  <si>
    <t>濠江职教中心校舍综合维修改造工程（二期）</t>
  </si>
  <si>
    <t>总投5512.4万元，已拨付10.89万元。</t>
  </si>
  <si>
    <t>区职教中心小计</t>
  </si>
  <si>
    <t>区民政局</t>
  </si>
  <si>
    <t>居务监督委员会成员补贴</t>
  </si>
  <si>
    <t>每人每月1275元，市250元，区1025元。</t>
  </si>
  <si>
    <t>2022年居务监督委员会成员培训经费</t>
  </si>
  <si>
    <t>2022年“双随机、一公开”对社会组织监管工作经费</t>
  </si>
  <si>
    <t>区民政局春节慰问活动经费</t>
  </si>
  <si>
    <t>按实结算项目。</t>
  </si>
  <si>
    <t>城市居民最低生活保障金</t>
  </si>
  <si>
    <t>总额度1359,已支出1027，预计支出533，缺口201万元。每人每月808元，补差不低于659元。</t>
  </si>
  <si>
    <t>农村居民最低生活保障金</t>
  </si>
  <si>
    <t>每人每月795元，补差不低于388元。</t>
  </si>
  <si>
    <t>城镇特困人员供养</t>
  </si>
  <si>
    <t>每人每月1340元。</t>
  </si>
  <si>
    <t>农村特困人员供养</t>
  </si>
  <si>
    <t>总额度398，已支出278，预计支出142，缺口21万元。每人每月1272元。</t>
  </si>
  <si>
    <t>孤儿基本生活保障</t>
  </si>
  <si>
    <t>每人每月1313元。</t>
  </si>
  <si>
    <t>临时救助资金</t>
  </si>
  <si>
    <t>高龄老人政府津贴</t>
  </si>
  <si>
    <t>每人每年，80-89岁500元（市144元，区356元），90-99岁1000元（市240元，区640元）。</t>
  </si>
  <si>
    <t>百岁老人保健金</t>
  </si>
  <si>
    <t>每人每月500元，市120元，区380元。</t>
  </si>
  <si>
    <t>困难残疾人生活补贴和重度残疾人护理补贴</t>
  </si>
  <si>
    <t>月107万支出，8-12月共需535万，目前各级剩余指标685万元，可调减120万元。每人每月生活补188元，护理补252元，省、市、区5：2：3。</t>
  </si>
  <si>
    <t>低保工作经费</t>
  </si>
  <si>
    <t>按上年本级低保资金3%计算。</t>
  </si>
  <si>
    <t>加强基层社会救助经办服务能力政府购买服务项目经费</t>
  </si>
  <si>
    <t>根据汕濠府〔2021〕78号文，按人月400元标准编列。区民政局年初未编列，现需400元*8人*12个月=3.84万元。</t>
  </si>
  <si>
    <t>双百镇（街）社会工作服务站建设运营示范项目资金</t>
  </si>
  <si>
    <t>人年5万，省3万，市1.2万，区0.8万，37人；运营经费每个3万，市1.8万，区1.2万，7个。</t>
  </si>
  <si>
    <t>双百镇其他政府社会工作服务站工作经费</t>
  </si>
  <si>
    <t>根据汕濠府〔2021〕78号文，按人月400元标准编列，37人。</t>
  </si>
  <si>
    <t>殡改年度工作补助经费</t>
  </si>
  <si>
    <t>行政区划界线及路标维护工作经费</t>
  </si>
  <si>
    <t>婚姻登记工本费</t>
  </si>
  <si>
    <t>民政局办公楼修缮</t>
  </si>
  <si>
    <t>农村留守儿童关爱工作和困境儿童保障工作等经费</t>
  </si>
  <si>
    <t>清秋山院经费</t>
  </si>
  <si>
    <t>养老床位设置补助和护理老人运营资助</t>
  </si>
  <si>
    <t>每个床位8000元，分四年执行，从2020年开始；老人护理，每人每月100元，132人。</t>
  </si>
  <si>
    <t>殡葬管理殡改宣传工作经费</t>
  </si>
  <si>
    <t>殡葬惠民</t>
  </si>
  <si>
    <t>月需17万，预计8-12月需84万，需调增33万。每宗1550元。</t>
  </si>
  <si>
    <t>慈善会宣传办公经费</t>
  </si>
  <si>
    <t>基层政权和社区建设经费</t>
  </si>
  <si>
    <t>精简退职</t>
  </si>
  <si>
    <t>3人，每人每月120-150元。</t>
  </si>
  <si>
    <t>流浪乞讨人员救助及工作经费</t>
  </si>
  <si>
    <t>社会组织和民间管理工作经费（含网络维护）</t>
  </si>
  <si>
    <t>区民政局小计</t>
  </si>
  <si>
    <t>区南山湾园区办</t>
  </si>
  <si>
    <t>汕头市濠江区党群服务中心物业管理费及水电费</t>
  </si>
  <si>
    <t>协调经费工作补助、园区宣传费用、招商引资工作经费</t>
  </si>
  <si>
    <t>汕头市南山湾产业园区规划环境影响跟踪评价与年度环境管理状况评估报告编制工作</t>
  </si>
  <si>
    <t>区南山湾园区办小计</t>
  </si>
  <si>
    <t>区农产品质量安全中心</t>
  </si>
  <si>
    <t>2022年该项工作任务为实施蔬菜定性检测样品2640个次，检测范围覆盖全区。</t>
  </si>
  <si>
    <t>对辖区内实用技术和新品种的引进、试验、示范和推广指导各街道农业技术推广业务工作费用。</t>
  </si>
  <si>
    <t>对红火蚁、贪夜蛾等田间病虫害的防治各项宣传工作经费。</t>
  </si>
  <si>
    <t>区农产品质量安全中心小计</t>
  </si>
  <si>
    <t>区农业农村水务局</t>
  </si>
  <si>
    <t>招聘动物检疫协检人员劳务派遣费用</t>
  </si>
  <si>
    <t>4人。</t>
  </si>
  <si>
    <t>农办社会购买服务人员经费</t>
  </si>
  <si>
    <t>2人。</t>
  </si>
  <si>
    <t>河长办社会购买服务人员经费</t>
  </si>
  <si>
    <t>100吨渔政执法船船员经费</t>
  </si>
  <si>
    <t>渔业安全生产通信指挥系统平台专项工作人员经费</t>
  </si>
  <si>
    <t>巩固脱贫衔接乡村振兴工作经费</t>
  </si>
  <si>
    <t>畜禽屠宰环节和养殖环节无害化处理区级配套资金</t>
  </si>
  <si>
    <t>离岗基层老兽医补助区级配套资金</t>
  </si>
  <si>
    <t>新型粮食种植经营主体专项资金</t>
  </si>
  <si>
    <t>政策性水稻种植保险区级配套资金</t>
  </si>
  <si>
    <t>突发重大动物疫情应急储备金</t>
  </si>
  <si>
    <t>农村集体资产资源管理服务交易平台系统的运行日常维护及服务器托管租用费</t>
  </si>
  <si>
    <t>政策性农村住房保险区级配套资金</t>
  </si>
  <si>
    <t>新时期精准扶贫小额信贷贴息专项资金</t>
  </si>
  <si>
    <t>汛期防汛值班补贴</t>
  </si>
  <si>
    <t>农业农村综合管理工作经费</t>
  </si>
  <si>
    <t>渔业渔政工作经费</t>
  </si>
  <si>
    <t>河长制工作经费</t>
  </si>
  <si>
    <t>乡村振兴工作经费</t>
  </si>
  <si>
    <t>三屿围养虾东场原管理机构人员社保资金</t>
  </si>
  <si>
    <t>25宗小型水库集中管护经费</t>
  </si>
  <si>
    <t>驻镇帮镇扶村工作经费</t>
  </si>
  <si>
    <t>农业机械购置补贴工作经费</t>
  </si>
  <si>
    <t>濠江区2021年农产品质量安全监测项目经费</t>
  </si>
  <si>
    <t>依据汕农农函〔2021〕66号《2021年市级农产品质量安全监测各区县检测任务分配表》 种植业产品监督30批次*550元/批次=16500元、例行144批次*700元/批次=100800元；畜禽产品监督20批次*850元/批次=17000元 、例行96批次*850元/批次=81600元；水产品监督10批次*950元/批次=9500元、例行48批次*1600元/批次=76800元 采样费用20000元 合计322200元、税费19332元（322200*6%=19332元），总计：341532元 （项目已完成，涉及食品安全考核任务）。</t>
  </si>
  <si>
    <t>补建新建汕头至汕尾铁路（濠江区段）及虎头山隧道及南延工程建设项目用地占用高标准农田补建费</t>
  </si>
  <si>
    <t>涉及粮食生产安全考核。依据广汕铁路征函〔2021〕61号文，汕头至汕尾铁路（濠江区段）缴纳补建费用共129.1920万元，依据虎头山隧道及南延工程建设项目委托高标准农田补建协议，缴纳补建费25.959万元。</t>
  </si>
  <si>
    <t>水土保持天地一体化动态监管工作技术服务费</t>
  </si>
  <si>
    <t>该项资金为2020年度区级预算资金指标额度被收回，该项为2020年合同欠款。</t>
  </si>
  <si>
    <t>《濠江区水土保持规划》编制经费</t>
  </si>
  <si>
    <t>编制《濠江区规划水资源论证》</t>
  </si>
  <si>
    <t>该项目去年4月份分配安排给2019年涉农资金调剂100万元，11月份被调剂了77.18万元给其他项目，只剩22.824万元，但该项目合同总金额为56.61万元，还差33.786万元需列入预算调整，确保项目完成后能及时按约定付还合同款。</t>
  </si>
  <si>
    <t>汕头市濠江区2020年生产建设项目“天地一体化”动态监管和水土保持监督管理工作</t>
  </si>
  <si>
    <t>该项目2020年上级第一批涉农资金分配安排给市级补助资金50万元，2020年11月份被调剂了34.2万元给其他项目，只剩15.8万元，但该项目合同总金额为31.4万元，还差15.6万元需列入预算调整 目前该项目已实施完成，按约定需支付还全部合同价款。</t>
  </si>
  <si>
    <t>2019年度濠江区西坑水库等5宗小型水库安全鉴定项目</t>
  </si>
  <si>
    <t>该项目签订的政府采购合同金额55.5万元，2020年小型水库安全治理省级补助资金46万元，缺口资金9.5万元 现项目已实施完成，按合同约定急需付还合同款，缺口9.5万元需列入预算调整。</t>
  </si>
  <si>
    <t>2022年-2023年濠江区水利工程运行管护项目</t>
  </si>
  <si>
    <t>该项目为省下达任务，总投资250万元，根据项目进度2022年需支付120万元。</t>
  </si>
  <si>
    <t>濠江区农村集体资产资源交易平台委托进行信息系统安全等级保护服务项目费</t>
  </si>
  <si>
    <t>对濠江区农村集体资产资源交易平台网站进行信息系统安全等级（二级）保护服务，2022年度服务费共5.5万元。</t>
  </si>
  <si>
    <t>14个产业扶贫项目尽职调查费用</t>
  </si>
  <si>
    <t>每年定期委托第三方核查经营主体对扶贫资金运作和项目收益情况进行评估制度，评估费用21万元。</t>
  </si>
  <si>
    <t>渔业执法船、执法艇油料及维护保障经费</t>
  </si>
  <si>
    <t>由于用了今年的预算额度支付还上一年度的执法船维修保养服务费欠款10万元，加上疫情防控等工作需要，大大增加了执法船艇的燃油和维护费用，因此需调增预算数，以确保执法船艇正常开展海上巡查执法工作。</t>
  </si>
  <si>
    <t>2022年区管水利工程管养经费</t>
  </si>
  <si>
    <t>区农业局牵头落实区水利管养中心水利工程管养购买服务。</t>
  </si>
  <si>
    <t>农林业保险区级配套资金</t>
  </si>
  <si>
    <t>乡村振兴大事要事。</t>
  </si>
  <si>
    <t>汕头市濠江区上彼沟水库除险加固工程</t>
  </si>
  <si>
    <t>工程已完工验收，按工程结算终审定案金额减去已付款，尚结欠7.908111万元需列入预算调整。</t>
  </si>
  <si>
    <t>水资源管理工作经费</t>
  </si>
  <si>
    <t>区农业农村水务局小计</t>
  </si>
  <si>
    <t>区乡村振兴战略发展中心</t>
  </si>
  <si>
    <t>日常办公工作经费</t>
  </si>
  <si>
    <t>区乡村振兴战略发展中心小计</t>
  </si>
  <si>
    <t>区动物疫病预防控制中心</t>
  </si>
  <si>
    <t>动物病虫害控制</t>
  </si>
  <si>
    <t>用于购买消毒药等防病虫害物资。</t>
  </si>
  <si>
    <t>区动物疫病预防控制中心小计</t>
  </si>
  <si>
    <t>区水利与渔港建设管养中心</t>
  </si>
  <si>
    <t>水利技术推广与培训</t>
  </si>
  <si>
    <t>水库维护管理</t>
  </si>
  <si>
    <t>水流娘电排站抽排水经费及日常养护费</t>
  </si>
  <si>
    <t>汕头市濠江区洲角闸应急强排站新建工程</t>
  </si>
  <si>
    <t>区水利与渔港建设管养中心小计</t>
  </si>
  <si>
    <t>区人大常委会办公室</t>
  </si>
  <si>
    <t>市、区人代会及常委会会议保障经费</t>
  </si>
  <si>
    <t>代表履职补贴</t>
  </si>
  <si>
    <t>代表履职活动保障经费</t>
  </si>
  <si>
    <t>监督工作经费</t>
  </si>
  <si>
    <t>业务工作经费</t>
  </si>
  <si>
    <t>人大机关工作经费</t>
  </si>
  <si>
    <t>会议室LED全彩屏幕、话筒、音响等设备购置经费</t>
  </si>
  <si>
    <t>区人大机关拟启动购置会议室LED全彩屏幕、话筒、音响等设备。</t>
  </si>
  <si>
    <t>区人大常委会办公室小计</t>
  </si>
  <si>
    <t>区人力资源社会保障局</t>
  </si>
  <si>
    <t>人力资源和社会保障工作补充经费</t>
  </si>
  <si>
    <t>退管服务经费</t>
  </si>
  <si>
    <t>上级专项资金尚未用完。</t>
  </si>
  <si>
    <t>被征地农民养老保障金</t>
  </si>
  <si>
    <t>每人每年55元，省、市、区5：2：3。</t>
  </si>
  <si>
    <t>城乡居民社会养老保险</t>
  </si>
  <si>
    <t>每人每年190元，中央和省、市、区85：7.5：7.5。</t>
  </si>
  <si>
    <t>城乡居民社会养老保险代缴困难人群补助</t>
  </si>
  <si>
    <t>每人每年120元，市、区5：5。</t>
  </si>
  <si>
    <t>就业创业政策性补贴</t>
  </si>
  <si>
    <t>按上级要求，区级需配套67万元。</t>
  </si>
  <si>
    <t>开展公益性招聘会、事业单位招考、人力资源系统建设等公共就业服务经费</t>
  </si>
  <si>
    <t>事业单位招考经费</t>
  </si>
  <si>
    <t>街道公益性岗位安置政府购买服务包干经费</t>
  </si>
  <si>
    <t>技工院校建档立卡贫困家庭学生生活费补助</t>
  </si>
  <si>
    <t>每生每学年3000元，省属学校省、市、区6：2：2，市属学校省、市6：4。</t>
  </si>
  <si>
    <t>局及事业单位运转经费</t>
  </si>
  <si>
    <t>人力资源库管理经费</t>
  </si>
  <si>
    <t>社保扩面征缴工作经费</t>
  </si>
  <si>
    <t>事业单位培训与考核经费</t>
  </si>
  <si>
    <t>大学生人事代管和档案寄管业务经费</t>
  </si>
  <si>
    <t>工资管理和系统维护经费</t>
  </si>
  <si>
    <t>监察和工伤办案经费</t>
  </si>
  <si>
    <t>劳动人事争议仲裁办案补助</t>
  </si>
  <si>
    <t>人力资源市场建设与信息经费</t>
  </si>
  <si>
    <t>人力资源与就业服务经费</t>
  </si>
  <si>
    <t>三支一扶大学生生活补助</t>
  </si>
  <si>
    <t>每人每月3600元，省2100元，市、区各750元。</t>
  </si>
  <si>
    <t>中海信实训基地和博士博士后基地日常运转经费</t>
  </si>
  <si>
    <t>区人力资源与就业服务中心</t>
  </si>
  <si>
    <t>人力资源与就业服务中心运行经费</t>
  </si>
  <si>
    <t>区人力资源社会保障局小计</t>
  </si>
  <si>
    <t>区审计局</t>
  </si>
  <si>
    <t>公务车购置费</t>
  </si>
  <si>
    <t>原有公务车于2009年购入，零件老旧、无法正常行驶，维修费用高，拟购置新公务车用于日常审计业务。</t>
  </si>
  <si>
    <t>各项审计经费</t>
  </si>
  <si>
    <t>审计信息化建设</t>
  </si>
  <si>
    <t>其他政府审计服务工作经费</t>
  </si>
  <si>
    <t>经济责任审计工作经费</t>
  </si>
  <si>
    <t>审计事业补助工作经费</t>
  </si>
  <si>
    <t>区审计局小计</t>
  </si>
  <si>
    <t>区市场监管局</t>
  </si>
  <si>
    <t>重点工业产品质量监督抽查经费</t>
  </si>
  <si>
    <t>汕头市质量强市工作领导小组关于印发《汕头市2021年度区县人民政府质量工作考核实施方案》的通知（汕强市组〔2022〕2号）。</t>
  </si>
  <si>
    <t>2008年-2011年档案文书整理费</t>
  </si>
  <si>
    <t>《濠江区档案馆2021年度接收档案进馆工作计划的通知》（汕濠档字〔2021〕1号）。</t>
  </si>
  <si>
    <t>食品包装材料抽检经费</t>
  </si>
  <si>
    <t>汕头市重点食品相关产品专项整治的工作方案。</t>
  </si>
  <si>
    <t>市场监督管理各类登记、检查、抽检、专用材料、执法办案、专项整治、标准化、办公楼维护等工作经费</t>
  </si>
  <si>
    <t>明厨亮灶联网监管系统专项经费</t>
  </si>
  <si>
    <t>汕市监〔2020〕85号，汕府办函〔2019〕202号，2022年度濠江区明厨亮灶联网监管系统服务费用合同书。</t>
  </si>
  <si>
    <t>食品安全监督抽检经费</t>
  </si>
  <si>
    <t>关于印发《汕头市濠江区市场监督管理局2022年食品安全监督抽检计划》的通知、2022年食品抽检委托业务合同。</t>
  </si>
  <si>
    <t>农贸市场食用农产品快速检测工作经费</t>
  </si>
  <si>
    <t>汕市监办字〔2020〕35号，关于印发2022年濠江区农贸市场食用农产品快速检测工作方案的通知、2022年食用农产品快速检测委托费合同。</t>
  </si>
  <si>
    <t>区市场监管局小计</t>
  </si>
  <si>
    <t>区市政园林设施管理所</t>
  </si>
  <si>
    <t>南滨绿地公园、石林湖公园代管养期间水费</t>
  </si>
  <si>
    <t>市政设施巡查工作经费</t>
  </si>
  <si>
    <t>市政设施水费</t>
  </si>
  <si>
    <t>区市政园林设施管理所小计</t>
  </si>
  <si>
    <t>区司法局</t>
  </si>
  <si>
    <t>法律援助经费</t>
  </si>
  <si>
    <t>人民调解经费</t>
  </si>
  <si>
    <t>安置帮教、社区矫正经费</t>
  </si>
  <si>
    <t>社区矫正两级平台运行维护经费</t>
  </si>
  <si>
    <t>公共法律服务工作经费</t>
  </si>
  <si>
    <t>依法治区工作经费</t>
  </si>
  <si>
    <t>依法行政经费</t>
  </si>
  <si>
    <t>行政复议工作经费</t>
  </si>
  <si>
    <t>一社区一法律顾问工作经费</t>
  </si>
  <si>
    <t>一社区一法律顾问区级配套经费</t>
  </si>
  <si>
    <t>每个社区每年1万，省、市、区5：2：3。</t>
  </si>
  <si>
    <t>区委区政府法律顾问服务费（党政办）</t>
  </si>
  <si>
    <t>区委区政府法律顾问服务费</t>
  </si>
  <si>
    <t>“以案定补”补助</t>
  </si>
  <si>
    <t>司法救助经费</t>
  </si>
  <si>
    <t>专职人民调解员包干经费</t>
  </si>
  <si>
    <t>社区矫正专职社会工作者包干经费</t>
  </si>
  <si>
    <t>“广东省行政执法信息平台和行政执法监督网络平台”建设经费</t>
  </si>
  <si>
    <t>省、市要求配套经费。粤办函〔2019〕170号 ，汕府办函〔2020〕94号，区来文202101457号，政府批文〔2021〕Z3-2013号。</t>
  </si>
  <si>
    <t>“广东省行政执法信息平台和行政执法监督网络平台”运维运营经费</t>
  </si>
  <si>
    <t>区司法局小计</t>
  </si>
  <si>
    <t>区统计局</t>
  </si>
  <si>
    <t>第五次全国经济普查经费</t>
  </si>
  <si>
    <t>根据普查条例要求和普查工作进度安排，2022年底前落实好普查机构、人员、经费、措施和责任，普查两员选聘培训和宣传动员工作，以及做好数据处理设备及普查物资准备工作，确保第五次全国经济普查前期准备各项工作的顺利开展。</t>
  </si>
  <si>
    <t>城乡一体化统计调查经费</t>
  </si>
  <si>
    <t>按照国家统计局广东调查总队《关于印发〈2022年广东住户调查大样本轮换实施方案〉的通知》（粤调办字〔2022〕59号）的要求，测算我区城乡一体化统计调查经费缺口8万元，（其中：1、入户宣传及资料印刷费1.0万元；2、业务培训费1.5万元；3、购置调查设备1.5万元；4、样本轮换工作补贴2.0万元；5、开户试记账补贴2.0万元）。</t>
  </si>
  <si>
    <t>街道统计工作经费</t>
  </si>
  <si>
    <t>劳动力调查经费</t>
  </si>
  <si>
    <t>区统计局小计</t>
  </si>
  <si>
    <t>区图书馆</t>
  </si>
  <si>
    <t>购书经费</t>
  </si>
  <si>
    <t>图书管理经费</t>
  </si>
  <si>
    <t>区图书馆小计</t>
  </si>
  <si>
    <t>区退役军人事务局</t>
  </si>
  <si>
    <t>区退役军人事务局春节慰问活动经费</t>
  </si>
  <si>
    <t>八一慰问</t>
  </si>
  <si>
    <t>城乡退伍士兵安置补助金（含西藏兵）</t>
  </si>
  <si>
    <t>每人约3.5万，省1万，市、区各1.25万。</t>
  </si>
  <si>
    <t>城乡义务兵优待金（含高原兵）及一次性大学生入伍奖励</t>
  </si>
  <si>
    <t>按市要求义务兵家庭优待金调整为专项上解支出。每人约1.2万，市3000元，区兜底。</t>
  </si>
  <si>
    <t>随军家属未就业生活补助</t>
  </si>
  <si>
    <t>每人每月1500元，市、区5：5。</t>
  </si>
  <si>
    <t>政府安排工作退役士兵待安置期间参加基本养老、职工基本医疗保险保障经费</t>
  </si>
  <si>
    <t>每人每月约2500元，最多补助6个月。</t>
  </si>
  <si>
    <t>政府安排工作退役士官待安置期间生活补助</t>
  </si>
  <si>
    <t>今年我区共接收安排工作退役士兵7名，人数大于年初预测人数。每人每月1550元，最多补6个月。</t>
  </si>
  <si>
    <t>自主择业军转干部管理经费</t>
  </si>
  <si>
    <t>自主择业军转干部医保单位缴费</t>
  </si>
  <si>
    <t>困难企业部分军队退役人员医疗保障经费</t>
  </si>
  <si>
    <t>16人，医保费增加，根据今年度第一、二季度数据预测，全年共需4.84836万元，需调增0.55836万元。</t>
  </si>
  <si>
    <t>困难企业部分军队退役人员生活困难补助</t>
  </si>
  <si>
    <t>每人每月520元。</t>
  </si>
  <si>
    <t>困难企业军转干部节日生活补助</t>
  </si>
  <si>
    <t>每人每年4200元。</t>
  </si>
  <si>
    <t>困难企业军转干部生活补助</t>
  </si>
  <si>
    <t>每人每月约6000元，共8人。</t>
  </si>
  <si>
    <t>困难企业军转干部体检费</t>
  </si>
  <si>
    <t>抚恤补助金</t>
  </si>
  <si>
    <t>优抚对象医疗保障资金</t>
  </si>
  <si>
    <t>优抚与双拥工作经费</t>
  </si>
  <si>
    <t>部分退役士兵社会保险接续</t>
  </si>
  <si>
    <t>汕退役士兵社保组发（2022）2号关于继续开展部分退役士兵社会保险补缴工作的通知，调增用于继续开展补缴所需金额。</t>
  </si>
  <si>
    <t>立功受奖人员家庭慰问经费</t>
  </si>
  <si>
    <t>三等功每人1000元。</t>
  </si>
  <si>
    <t>烈士设施维护经费</t>
  </si>
  <si>
    <t>根据《转发退役军人事务部 财政部关于庆祝中国共产党成立100周年加强英雄烈士纪念设施修缮保护的通知》粤退役军人发〔2021〕54号文件及汕濠机编〔2022〕6号文要求，对烈士设施进行修缮及保护管理，我区现有烈士墓5个，按照每个年维护管理费1万元计算，共需5*1万=5万。</t>
  </si>
  <si>
    <t>区退役军人服务体系工作经费</t>
  </si>
  <si>
    <t>退役军人服务组织专职人员经费</t>
  </si>
  <si>
    <t>合同7月份到期，项目完结。</t>
  </si>
  <si>
    <t>退役军人就业创业（含党建和宣传工作）经费</t>
  </si>
  <si>
    <t>区退役军人事务局小计</t>
  </si>
  <si>
    <t>区委编办</t>
  </si>
  <si>
    <t>编办管理工作经费</t>
  </si>
  <si>
    <t>网上名称注册和年度维护费用</t>
  </si>
  <si>
    <t>将全区187个机关事业单位纳入中文域名管理维护工作，同时考虑下来拟增加部分机关事业单位，需一并纳入本年度预算支出。《关于做好党政机关网站开办审核、资格复核和网站标识管理工作的通知》（中央编办发〔2014〕69号）。</t>
  </si>
  <si>
    <t>区委编办小计</t>
  </si>
  <si>
    <t>区委统战部</t>
  </si>
  <si>
    <t>统战专项工作经费</t>
  </si>
  <si>
    <t>预留外宾接待费</t>
  </si>
  <si>
    <t>预留全区领导干部出境经费</t>
  </si>
  <si>
    <t>春节慰问困难归侨侨眷经费</t>
  </si>
  <si>
    <t>春节前宗教工作专项经费</t>
  </si>
  <si>
    <t>侨务工作经费</t>
  </si>
  <si>
    <t>工作需要。</t>
  </si>
  <si>
    <t>香港工作经费</t>
  </si>
  <si>
    <t>新阶联成立工作经费</t>
  </si>
  <si>
    <t>区委统战部小计</t>
  </si>
  <si>
    <t>区委武装部</t>
  </si>
  <si>
    <t>民兵训练</t>
  </si>
  <si>
    <t>民兵武器仓库管理费</t>
  </si>
  <si>
    <t>兵役征集经费（含新兵役前教育培训经费）</t>
  </si>
  <si>
    <t>营房管理费</t>
  </si>
  <si>
    <t>马耳角哨所经费</t>
  </si>
  <si>
    <t>国防动员专项经费</t>
  </si>
  <si>
    <t>2021年预算被收回重安排。</t>
  </si>
  <si>
    <t>民兵事业费</t>
  </si>
  <si>
    <t>区委武装部小计</t>
  </si>
  <si>
    <t>区委宣传部</t>
  </si>
  <si>
    <t>精神文明工作经费</t>
  </si>
  <si>
    <t>党报党刊征订工作经费</t>
  </si>
  <si>
    <t>创文工作经费</t>
  </si>
  <si>
    <t>文明创建工作经费</t>
  </si>
  <si>
    <t>扫黄打非工作经费</t>
  </si>
  <si>
    <t>宣传工作费用</t>
  </si>
  <si>
    <t>中心组理论学习经费</t>
  </si>
  <si>
    <t>老放映员陈乙丰工作年限补助</t>
  </si>
  <si>
    <t>网信工作经费</t>
  </si>
  <si>
    <t>区创文办网报资料收集整理购买服务经费</t>
  </si>
  <si>
    <t>区创建办网报资料收集整理购买服务经费</t>
  </si>
  <si>
    <t>“濠江党建”专区建设经费</t>
  </si>
  <si>
    <t>经区政府审批，新增项目经费。汕濠办文〔2022〕Z1-2212号。</t>
  </si>
  <si>
    <t>调增上年预算项目未结转金额。汕濠财〔2021〕8号。</t>
  </si>
  <si>
    <t>建党100周年有关宣传工作经费</t>
  </si>
  <si>
    <t>调增上年预算项目未结转金额。汕濠办文〔2021〕Z3-1405号。</t>
  </si>
  <si>
    <t>新增政府购买拍摄录像服务事项</t>
  </si>
  <si>
    <t>与广东台触电传媒融媒体宣传推广年度合作经费</t>
  </si>
  <si>
    <t>区委宣传部小计</t>
  </si>
  <si>
    <t>区委政法委</t>
  </si>
  <si>
    <t>综治中心中海信电费</t>
  </si>
  <si>
    <t>社会治理网格化工作专职网格员包干经费</t>
  </si>
  <si>
    <t>综治信息化建设工作经费</t>
  </si>
  <si>
    <t>综治、综治中心及综治宣传工作经费</t>
  </si>
  <si>
    <t>610工作经费</t>
  </si>
  <si>
    <t>防邪教经费</t>
  </si>
  <si>
    <t>情报信息工作经费</t>
  </si>
  <si>
    <t>维稳平安创建工作经费</t>
  </si>
  <si>
    <t>扫黑除恶常态化工作经费</t>
  </si>
  <si>
    <t>区委政法委小计</t>
  </si>
  <si>
    <t>区委组织部</t>
  </si>
  <si>
    <t>购车经费</t>
  </si>
  <si>
    <t>党建办和党代表联络服务工作经费</t>
  </si>
  <si>
    <t>人才管理服务经费</t>
  </si>
  <si>
    <t>优秀拔尖人才津贴</t>
  </si>
  <si>
    <t>2022年老干部春节慰问活动经费</t>
  </si>
  <si>
    <t>重阳节离休干部及副处级以上退休干部活动经费</t>
  </si>
  <si>
    <t>党代表视察调研等活动经费</t>
  </si>
  <si>
    <t>濠江区整顿软弱涣散基层党组织经费</t>
  </si>
  <si>
    <t>街道党校区级配套运行经费</t>
  </si>
  <si>
    <t>全区党员教育、党政群干部、两委干部、党务干部及入党积极分子等培训经费</t>
  </si>
  <si>
    <t>七一活动经费</t>
  </si>
  <si>
    <t>全区“两新”组织党建工作区级配套经费</t>
  </si>
  <si>
    <t>区干部档案维护管理费用</t>
  </si>
  <si>
    <t>社区党组织为民办实事工作经费</t>
  </si>
  <si>
    <t>科级以上在职干部和离退休干部慰问经费</t>
  </si>
  <si>
    <t>参照以往做法，对全区生病住院的科级（含副科）以上在职干部和离退休干部进行慰问。</t>
  </si>
  <si>
    <t>党内关爱扶助金</t>
  </si>
  <si>
    <t>我区每年春节及“七一”需对我区困难党员进行慰问、对因病等致困的党员进行补助。</t>
  </si>
  <si>
    <t>新一轮村（社区）党群服务中心提档升级资金</t>
  </si>
  <si>
    <t>汕濠办〔2022〕7号（新建6个各50万，扩建9个各20万）。</t>
  </si>
  <si>
    <t>千村党群服务中心提档升级启动资金（区级配套）</t>
  </si>
  <si>
    <t>社区干部大专班培训经费</t>
  </si>
  <si>
    <t>调增新增学员学费。</t>
  </si>
  <si>
    <t>区委组织部小计</t>
  </si>
  <si>
    <t>区老干部服务中心</t>
  </si>
  <si>
    <t>老干部特需经费</t>
  </si>
  <si>
    <t>老干中心、老干室器材更新及维护经费</t>
  </si>
  <si>
    <t>老干部大学办学经费</t>
  </si>
  <si>
    <t>为全区离退休老干部搭建多样化的学习交流平台，丰富老干部精神文化生活。《关于加强新时代离退休干部党的建设工作的意见》。</t>
  </si>
  <si>
    <t>关工委计划经费</t>
  </si>
  <si>
    <t>管理经费补助</t>
  </si>
  <si>
    <t>区老干部服务中心小计</t>
  </si>
  <si>
    <t>区卫生健康局</t>
  </si>
  <si>
    <t>妇幼保健院门诊部设备购置款</t>
  </si>
  <si>
    <t>根据2019年12月与设备公司签订的合同约定，质保期（2年）满后15天，需向乙方支付设备尾款3.897万元。</t>
  </si>
  <si>
    <t>2022年春节慰问特别扶助家庭、“纯二女”和“独女”户结扎对象、留观点工作人员</t>
  </si>
  <si>
    <t>2022年新型冠状病毒感染的肺炎应急防控专项经费</t>
  </si>
  <si>
    <t>紧急接种阶段新冠病毒疫苗及接种费用区级财政补助资金</t>
  </si>
  <si>
    <t>在预留新冠中列支。</t>
  </si>
  <si>
    <t>2021年病媒生物防制工作经费</t>
  </si>
  <si>
    <t>病媒生物防制工作经费</t>
  </si>
  <si>
    <t>爱卫工作经费</t>
  </si>
  <si>
    <t>基本公共卫生服务区级资金</t>
  </si>
  <si>
    <t>每人每年84元，中央和省、市、区85：7.5：7.5。</t>
  </si>
  <si>
    <t>基本公共卫生工作经费</t>
  </si>
  <si>
    <t>健康促进区专项经费</t>
  </si>
  <si>
    <t>法治建设经费</t>
  </si>
  <si>
    <t>固定资产审计服务</t>
  </si>
  <si>
    <t>计生协会经费</t>
  </si>
  <si>
    <t>卫生健康工作经费</t>
  </si>
  <si>
    <t>卫生健康监管及公共卫生应急工作经费</t>
  </si>
  <si>
    <t>医改工作经费</t>
  </si>
  <si>
    <t>职业病防治工作经费</t>
  </si>
  <si>
    <t>“银龄安康”行动60周岁以上老人保险费</t>
  </si>
  <si>
    <t>60-69岁，每人每年20（市5元，区15元），70-100岁，每人每年20元（市10元，区10元）。</t>
  </si>
  <si>
    <t>城乡妇女两癌检查专项经费</t>
  </si>
  <si>
    <t>每人宫颈癌147.5，乳腺癌88.6元，省、市、区8：1：1。</t>
  </si>
  <si>
    <t>处级干部体检经费</t>
  </si>
  <si>
    <t>传染病防治经费</t>
  </si>
  <si>
    <t>国家随机监督抽查</t>
  </si>
  <si>
    <t>计划生育家庭特别扶助</t>
  </si>
  <si>
    <t>每人每月，死亡800元，伤残500元，中央和省、市、区85：7.5：7.5。</t>
  </si>
  <si>
    <t>计生工作经费</t>
  </si>
  <si>
    <t>计生家庭商业保险</t>
  </si>
  <si>
    <t>项目已完结。</t>
  </si>
  <si>
    <t>计生家庭意外伤害保险</t>
  </si>
  <si>
    <t>每家庭每年60元。</t>
  </si>
  <si>
    <t>计生家庭子女就学补助和保险</t>
  </si>
  <si>
    <t>离休干部医药费</t>
  </si>
  <si>
    <t>农村已离岗接生员和赤脚医生生活困难补助</t>
  </si>
  <si>
    <t>工龄每10年一档，每人月400元-900元不等，省、市、区、社区48：16：16：20。</t>
  </si>
  <si>
    <t>清算2017-2022年基层医疗卫生机构全科医生特设岗位补助资金</t>
  </si>
  <si>
    <t>区卫健局固定资产盘点评估费用</t>
  </si>
  <si>
    <t>省城镇独生子女父母计生奖励</t>
  </si>
  <si>
    <t>每人每月200元，市、区5：5，全年需32.49万元，预算编列30.84万元，现调增1.65万元。</t>
  </si>
  <si>
    <t>省农村部分计划生育家庭奖励</t>
  </si>
  <si>
    <t>每人每月200元，省、市、区85：7.5：7.5。</t>
  </si>
  <si>
    <t>示范性全国老年友好型社区创建经费</t>
  </si>
  <si>
    <t>卫健已报文。</t>
  </si>
  <si>
    <t>市农村计划生育节育奖</t>
  </si>
  <si>
    <t>每人每月50元，市、区6：4。</t>
  </si>
  <si>
    <t>严重精神障碍患者监护补助费用</t>
  </si>
  <si>
    <t>一、二级每人每年1000元，三、四级每人每年4200元，市、区4：6。</t>
  </si>
  <si>
    <t>严重精神障碍患者排查经费</t>
  </si>
  <si>
    <t>严重精神障碍患者长效针剂</t>
  </si>
  <si>
    <t>按上级分的任务数120人算，第一针为2250元（区负担约425元）第二针开始为1823元（区负担约305元），8月开始接种，即=120人*（425+305*5）=23.4万元。</t>
  </si>
  <si>
    <t>二类疫苗接种服务工作经费</t>
  </si>
  <si>
    <t>根据汕濠办文〔2022〕Z4-N0057号文件精神，区政府同意安5元/针次的标准安排2021年7月至2022年12月的二类疫苗接种服务工作经费。七所社区中心2021年7月-2022年4月共接种28242针次，需二类疫苗接种服务工作经费14.121万元。预测2022年5月-2022年12月二类疫苗接种量为31252针次，需二类疫苗接种服务工作经费31252*5元/针次=15.626万元，合计共需29.75万。</t>
  </si>
  <si>
    <t>区卫生健康局小计</t>
  </si>
  <si>
    <t>区妇幼保健计划生育服务中心</t>
  </si>
  <si>
    <t>出生缺陷综合防控项目目标人群专项经费</t>
  </si>
  <si>
    <t>孕妇每人620元，新生儿每人214元，省、市、区6：2：2。</t>
  </si>
  <si>
    <t>妇幼保健工作经费</t>
  </si>
  <si>
    <t>妇幼门诊信息化软件系统建设</t>
  </si>
  <si>
    <t>婴幼儿照护托育服务指导中心工作经费</t>
  </si>
  <si>
    <t>区妇幼保健计划生育服务中心小计</t>
  </si>
  <si>
    <t>区疾病预防控制中心</t>
  </si>
  <si>
    <t>传染病疫情报告系统</t>
  </si>
  <si>
    <t>结核病控制经费</t>
  </si>
  <si>
    <t>突发公共事件应急</t>
  </si>
  <si>
    <t>二类疫苗费</t>
  </si>
  <si>
    <t>二类疫苗储存配送费</t>
  </si>
  <si>
    <t>区疾病预防控制中心小计</t>
  </si>
  <si>
    <t>区文化广电旅游体育局</t>
  </si>
  <si>
    <t>旅游发展专项经费</t>
  </si>
  <si>
    <t>促进旅游业发展扶持资金</t>
  </si>
  <si>
    <t>楹联之乡活动经费</t>
  </si>
  <si>
    <t>非遗推广工作经费</t>
  </si>
  <si>
    <t>旅游宣传经费</t>
  </si>
  <si>
    <t>文化大区建设经费</t>
  </si>
  <si>
    <t>老年体协经费</t>
  </si>
  <si>
    <t>文物保护经费</t>
  </si>
  <si>
    <t>两馆一园物业管理费</t>
  </si>
  <si>
    <t>预留国家级全域旅游示范区创建经费（包括宣传营销、软硬件配套设施等）</t>
  </si>
  <si>
    <t>区文化广电旅游体育局小计</t>
  </si>
  <si>
    <t>区文化馆</t>
  </si>
  <si>
    <t>文化活动经费</t>
  </si>
  <si>
    <t>非遗补助经费</t>
  </si>
  <si>
    <t>区文化馆小计</t>
  </si>
  <si>
    <t>区博物馆</t>
  </si>
  <si>
    <t>博物馆业务运营经费</t>
  </si>
  <si>
    <t>区博物馆小计</t>
  </si>
  <si>
    <t>区文联</t>
  </si>
  <si>
    <t>濠江区文联工作经费</t>
  </si>
  <si>
    <t>区文联小计</t>
  </si>
  <si>
    <t>区消防救援大队</t>
  </si>
  <si>
    <t>南滨消防站住宅片设施购置经费</t>
  </si>
  <si>
    <t>汕濠办文〔2022〕Z3-0204号。</t>
  </si>
  <si>
    <t>南滨消防站住宅片消防车辆购置经费</t>
  </si>
  <si>
    <t>水罐消防车 1 辆（250）、泡沫消防水罐车 1 辆（280）、抢险救援消防车 1 辆（200），总价 730万元，根据采购流程预付30%，即本次预算调整申请219万元。</t>
  </si>
  <si>
    <t>政府专职消防队专项补充经费</t>
  </si>
  <si>
    <t>消防指战员改革性住房补贴</t>
  </si>
  <si>
    <t>消防指战员住房公积金</t>
  </si>
  <si>
    <t>政府专职消防队专项补充经费（消防文员）</t>
  </si>
  <si>
    <t>消防经费（含装备款）</t>
  </si>
  <si>
    <t>政府专职消防人员经费</t>
  </si>
  <si>
    <t>119消防安全宣传月经费</t>
  </si>
  <si>
    <t>消防器材装备购置经费</t>
  </si>
  <si>
    <t>消防指战员绩效奖金</t>
  </si>
  <si>
    <t>消防指战员计划生育奖金</t>
  </si>
  <si>
    <t>区消防救援大队小计</t>
  </si>
  <si>
    <t>区应急管理局</t>
  </si>
  <si>
    <t>区森林专业扑火专项工作购买服务经费</t>
  </si>
  <si>
    <t>购买应急管理综合行政执法装备</t>
  </si>
  <si>
    <t>应急救援、安全生产、三防应急演练培训等经费</t>
  </si>
  <si>
    <t>森林防火工作经费</t>
  </si>
  <si>
    <t>安全生产技术及应急救援服务专业购买服务包干经费</t>
  </si>
  <si>
    <t>街道安全生产监督检查工作购买服务经费</t>
  </si>
  <si>
    <t>清明森林防火专项经费</t>
  </si>
  <si>
    <t>清明森林防火专项经费（区公安分局）</t>
  </si>
  <si>
    <t>清明森林防火专项经费（区自然资源局）</t>
  </si>
  <si>
    <t>清明森林防火专项经费（区委政法委区综治中心）</t>
  </si>
  <si>
    <t>清明森林防火专项经费（达濠街道办事处）</t>
  </si>
  <si>
    <t>清明森林防火专项经费（区消防救援大队）</t>
  </si>
  <si>
    <t>清明森林防火专项经费（广澳街道办事处）</t>
  </si>
  <si>
    <t>清明森林防火专项经费（石街道办事处）</t>
  </si>
  <si>
    <t>清明森林防火专项经费（马滘街道办事处）</t>
  </si>
  <si>
    <t>清明森林防火专项经费（河浦街道办事处）</t>
  </si>
  <si>
    <t>清明森林防火专项经费（玉新街道办事处）</t>
  </si>
  <si>
    <t>清明森林防火专项经费（滨海街道办事处）</t>
  </si>
  <si>
    <t>行政社区防灾减灾救灾能力“十个有”建设专项经费</t>
  </si>
  <si>
    <t>汕减灾办〔2020〕9号汕头市减灾办汕头市应急管理局关于大力开展全国综合减灾示范社区创建工作的通知、汕头市减灾委员会办公室 汕头市应急管理局转发关于深入开展全国综合减灾示范社区和示范县创建工作的通知。</t>
  </si>
  <si>
    <t>第一次全国自然灾害综合风险普查专项经费</t>
  </si>
  <si>
    <t>总额需43.31万元，上级补助已拨13万，本级资金已拨1.8万元，尚欠28.51万。</t>
  </si>
  <si>
    <t>全国综合减灾示范社区创建工作专项经费</t>
  </si>
  <si>
    <t>粤减灾办〔2020〕6号行政社区防灾减灾救灾能力“十个有”建设、汕减灾办〔2020〕5号行政社区防灾减灾救灾能力“十个有”建设。</t>
  </si>
  <si>
    <t>涉密计算机</t>
  </si>
  <si>
    <t>档案管理</t>
  </si>
  <si>
    <t>区应急管理局小计</t>
  </si>
  <si>
    <t>区政府办公室</t>
  </si>
  <si>
    <t>区委、区政府公务活动租赁车辆费用</t>
  </si>
  <si>
    <t>公务用车购置</t>
  </si>
  <si>
    <t>党史经费</t>
  </si>
  <si>
    <t>调研督查工作经费</t>
  </si>
  <si>
    <t>国家安全工作经费</t>
  </si>
  <si>
    <t>保密工作经费</t>
  </si>
  <si>
    <t>《濠江年鉴》编纂出版经费</t>
  </si>
  <si>
    <t>网络维护费</t>
  </si>
  <si>
    <t>大型会议专项经费</t>
  </si>
  <si>
    <t>公务用车运行维护补充经费</t>
  </si>
  <si>
    <t>办公自动化OA系统运行费用</t>
  </si>
  <si>
    <t>办公设备维护费</t>
  </si>
  <si>
    <t>宣传工作经费</t>
  </si>
  <si>
    <t>机关事务管理经费</t>
  </si>
  <si>
    <t>培训经费</t>
  </si>
  <si>
    <t>区委大院后勤物业服务社会化购买费用</t>
  </si>
  <si>
    <t>党务公开工作经费</t>
  </si>
  <si>
    <t>全区政务公开工作经费</t>
  </si>
  <si>
    <t>全区党内法规工作经费</t>
  </si>
  <si>
    <t>招商引资和重点项目经费</t>
  </si>
  <si>
    <t>区委信息交换系统使用服务费</t>
  </si>
  <si>
    <t>“今日濠江”建设运维工作经费</t>
  </si>
  <si>
    <t>政府网站运维及安全管理工作经费</t>
  </si>
  <si>
    <t>预留全区领导干部出国经费</t>
  </si>
  <si>
    <t>档案数字化建设经费</t>
  </si>
  <si>
    <t>档案馆水电费</t>
  </si>
  <si>
    <t>由于2021年5-8月份电费149091.27元在2022年6月份支出，2022年中预算需调整增加电费149091.27元（汕濠文〔2022〕Z2—0552号）。</t>
  </si>
  <si>
    <t>档案馆楼宇外物业管理费</t>
  </si>
  <si>
    <t>信访工作经费</t>
  </si>
  <si>
    <t>区档案馆建设后期配套设施费用</t>
  </si>
  <si>
    <t>电子政务内网联网改造项目</t>
  </si>
  <si>
    <t>濠江区信息化终端设备更新项目</t>
  </si>
  <si>
    <t>政府在线二期</t>
  </si>
  <si>
    <t>濠江区“一江两岸”开发建设领导小组办公室工作经费</t>
  </si>
  <si>
    <t>档案馆日常经费</t>
  </si>
  <si>
    <t>档案馆设施设备维保经费</t>
  </si>
  <si>
    <t>濠江区海马池海马花园住宅区A、B栋一楼加固修缮工程</t>
  </si>
  <si>
    <t>总投171.04万元，已拨付43万元。</t>
  </si>
  <si>
    <t>区档案馆信息安全等级保护项目经费</t>
  </si>
  <si>
    <t>根据2022年3月31日市审计局对全市各相关单位及各区县进行的网络安全和信息化建设项目审计报告，区档案馆未按《网络安全等级保护条例》《广东省计算机信息系统安全保护条例》的规定进行网络安全等级保护定级，需进行整改，费用概算为37万元。（1.网络安全等级保护条例、2.广东省计算机信息系统安全保护条例、3.有关审计报告（文件涉密））</t>
  </si>
  <si>
    <t>专项信访工作经费（二十大）</t>
  </si>
  <si>
    <t>今年下半年党的二十大将召开，为做好信访安全保障工作，需加大投入加强工作保障。</t>
  </si>
  <si>
    <t>区政府办公室小计</t>
  </si>
  <si>
    <t>区政务服务数据管理局</t>
  </si>
  <si>
    <t>中海信水电费及楼宇外物业费</t>
  </si>
  <si>
    <t>《文件处理表》（汕濠办文〔2021〕Z3-0166号）、区政府常务会议纪要（四届七十六次〔2018〕35号）。</t>
  </si>
  <si>
    <t>信息化建设运维经费</t>
  </si>
  <si>
    <t>宣传、图册印刷等经费</t>
  </si>
  <si>
    <t>区行政服务中心政府综合服务窗口劳务服务经费</t>
  </si>
  <si>
    <t>光纤专项经费</t>
  </si>
  <si>
    <t>电子政务外网建设费用</t>
  </si>
  <si>
    <t>综合服务平台网络系统维护包干经费</t>
  </si>
  <si>
    <t>电子政务项目第三方咨询机构初审费及专家评审费</t>
  </si>
  <si>
    <t>便民利企经费</t>
  </si>
  <si>
    <t>按照2022年上半年实际情况测算</t>
  </si>
  <si>
    <t>行政大厅运转经费</t>
  </si>
  <si>
    <t>行政大厅运转经费（物业管理及窗口午餐费用）</t>
  </si>
  <si>
    <t>区行政服务中心新进驻部门，窗口人员用餐人数增加，餐费标准提高。文件处理表（汕濠办文〔2022〕Z3-0571号）。</t>
  </si>
  <si>
    <t>一件事主题服务费</t>
  </si>
  <si>
    <t>根据《汕头市深化“一件事”主题集成服务工作方案》要求，各区县需选择5个主题推进，并实现可导办、可网办功能。按照目前测算，每个主题事项需预算2万元，合计10万元。</t>
  </si>
  <si>
    <t>区政务服务数据管理局小计</t>
  </si>
  <si>
    <t>区政协办公室</t>
  </si>
  <si>
    <t>全会工作经费</t>
  </si>
  <si>
    <t>区政协委员履职经费</t>
  </si>
  <si>
    <t>委员活动经费</t>
  </si>
  <si>
    <t>政协机关及专委会经费</t>
  </si>
  <si>
    <t>区政协办公室小计</t>
  </si>
  <si>
    <t>区住房城乡建设局</t>
  </si>
  <si>
    <t>人防知识教育进社区</t>
  </si>
  <si>
    <t>年初预算批复6万，用于支付2021年进社区费用，剩余17.63万未支付，2022年人防进社区费用需30万。</t>
  </si>
  <si>
    <t>更换中间接受控制器、增设更换防空警报器及终端控制器</t>
  </si>
  <si>
    <t>年初批复10万，按合同支出8.74万，剩余1.26万不需支付需调减。</t>
  </si>
  <si>
    <t>城乡建设和交通运输工作经费</t>
  </si>
  <si>
    <t>濠江区公交线路实施一票制补贴资金</t>
  </si>
  <si>
    <t>按文件，汕头市交通运输局关于2021年1-6月、7-9月濠江区公交票价一票制补贴资金的函。</t>
  </si>
  <si>
    <t>购买抽检区内房屋市政工程在建项目建材质量检测服务经费</t>
  </si>
  <si>
    <t>2022年濠江区房屋建筑和市政设施承灾体普查及城镇房屋建筑安全风险排查技术服务采购项目</t>
  </si>
  <si>
    <t>年初预算批复316.7万，按合同支出315.3万，其中上级补充4万，调减5.4万。</t>
  </si>
  <si>
    <t>2022年农村公路养护区级配套</t>
  </si>
  <si>
    <t>根据《汕头市濠江区人民政府办公室关于印发汕头市濠江区深化农村公路管理养护体制改革实施方案的通知》（汕濠府办〔2021〕16号），区级应配套乡道2000元/公里，村道1200元/公里的日常养护资金年初预算批复7万，需调增18.14万。</t>
  </si>
  <si>
    <t>深汕高速公路达濠—河浦段路灯安装工程</t>
  </si>
  <si>
    <t>根据深汕高速公路（濠江大桥-河浦收费站）路灯安装工程-工程结算定案书及协议，工程款608.79万元+电费2.82万=611.61万，已支付381.93万元，2021年预算已编163.68万，尚欠65.97万。</t>
  </si>
  <si>
    <t>2019年度汕头市扶持建筑业发展专项资金</t>
  </si>
  <si>
    <t>审计整改项目，区级配套，《关于2019年度中心城区扶持建筑业发展专项资金相关事项的通知》（汕住建市通〔2021〕19号），2021年市级补助208.74万元，区级应配套313.09万元。</t>
  </si>
  <si>
    <t>区住房城乡建设局小计</t>
  </si>
  <si>
    <t>区房屋管理所</t>
  </si>
  <si>
    <t>房改信息管理系统</t>
  </si>
  <si>
    <t>区房屋管理所小计</t>
  </si>
  <si>
    <t>区建设工程质量与安全中心</t>
  </si>
  <si>
    <t>工程造价信息发布购买服务经费</t>
  </si>
  <si>
    <t>由于2021年第四季度的经费68475元在2022年1月支付，占用了2022年年初预算额度。</t>
  </si>
  <si>
    <t>区建设工程质量与安全中心小计</t>
  </si>
  <si>
    <t>区交通运输服务中心</t>
  </si>
  <si>
    <t>运输行业安全监管、运政信息网络维护、运输管理工作经费</t>
  </si>
  <si>
    <t>公交车、出租车、旅客运输等事务性工作经费</t>
  </si>
  <si>
    <t>区交通运输服务中心小计</t>
  </si>
  <si>
    <t>区自然资源局</t>
  </si>
  <si>
    <t>政策性森林保险区级财政保费补贴</t>
  </si>
  <si>
    <t>春绿满濠江2021年义务植树项目</t>
  </si>
  <si>
    <t>地质灾害应急物资及隐患点防治</t>
  </si>
  <si>
    <t>2021年度已采购，耗损量较少，暂无需采购。</t>
  </si>
  <si>
    <t>汕头市濠江区合作构建地质灾害防治技术支撑</t>
  </si>
  <si>
    <t>已在2021年度矿业权出让收益分成收入安排支付。</t>
  </si>
  <si>
    <t>海域海岛综合管理经费</t>
  </si>
  <si>
    <t>用于开展海域海岛监督检查工作。</t>
  </si>
  <si>
    <t>生态评估和生态保护修复编制费用</t>
  </si>
  <si>
    <t>鸡心屿及其周边海域管养、维护经费</t>
  </si>
  <si>
    <t>2022年未有相关项目组织实施。</t>
  </si>
  <si>
    <t>非税执收单位运行经费</t>
  </si>
  <si>
    <t>全面推行林长制工作经费</t>
  </si>
  <si>
    <t>全民义务植树节项目经费</t>
  </si>
  <si>
    <t>青林居委青云岩景区公厕后山体地质灾害隐患点建设区级配套资金</t>
  </si>
  <si>
    <t>该工程项目进度款部分尚未支付。</t>
  </si>
  <si>
    <t>区自然资源局小计</t>
  </si>
  <si>
    <t>区规划测绘院</t>
  </si>
  <si>
    <t>补充工作经费</t>
  </si>
  <si>
    <t>测绘业务工作经费</t>
  </si>
  <si>
    <t>区规划测绘院小计</t>
  </si>
  <si>
    <t>区总工会</t>
  </si>
  <si>
    <t>工会专项经费</t>
  </si>
  <si>
    <t>劳模经费</t>
  </si>
  <si>
    <t>产业园区工联会经费</t>
  </si>
  <si>
    <t>区总工会小计</t>
  </si>
  <si>
    <t>市公安局濠江分局</t>
  </si>
  <si>
    <t>禁毒工作补助经费</t>
  </si>
  <si>
    <t>辅警人员经费</t>
  </si>
  <si>
    <t>“平安濠江”视频监控线路租金</t>
  </si>
  <si>
    <t>预留公安专项经费</t>
  </si>
  <si>
    <t>社会治安辅助服务工作经费</t>
  </si>
  <si>
    <t>汕濠府〔2021〕78号文。</t>
  </si>
  <si>
    <t>各派出所工作补助经费</t>
  </si>
  <si>
    <t>购买警械装备经费</t>
  </si>
  <si>
    <t>质保金（汕濠办文〔2019〕Z3-2209号）。</t>
  </si>
  <si>
    <t>道路交通涉案车辆保管场购买服务经费</t>
  </si>
  <si>
    <t>已报未批复。</t>
  </si>
  <si>
    <t>市公安局濠江分局小计</t>
  </si>
  <si>
    <t>市公共资源交易中心濠江分中心</t>
  </si>
  <si>
    <t>市公共资源交易中心濠江分中心运转经费</t>
  </si>
  <si>
    <t>网上交易系统维护专项费用</t>
  </si>
  <si>
    <t>接入广东省公共资源交易平台，启用省“一张网”交易模式，原网上交易系统设备无需再托管。</t>
  </si>
  <si>
    <t>中海信物业水电费</t>
  </si>
  <si>
    <t>需支付2021年5月至12月中海信物业及水电费用。《文件处理表》（汕濠办文〔2019〕Z3-2467-2号），《文件处理表》（汕濠办文〔2021〕Z3-0166号）。</t>
  </si>
  <si>
    <t>中介超市运营劳务服务外包购买服务包干经费</t>
  </si>
  <si>
    <t>市公共资源交易中心濠江分中心小计</t>
  </si>
  <si>
    <t>市社会保险基金管理局濠江分局</t>
  </si>
  <si>
    <t>机关事业单位工作人员养老保险区级补助资金</t>
  </si>
  <si>
    <t>企业离休干部生活补贴和建国前参加革命属工人编制的退休老同志生活补贴</t>
  </si>
  <si>
    <t>12人，每人每月600元。</t>
  </si>
  <si>
    <t>市医疗保障局濠江分局</t>
  </si>
  <si>
    <t>城乡居民基本医疗保险</t>
  </si>
  <si>
    <t>每人每年610元，省、市、区85：9：6。</t>
  </si>
  <si>
    <t>医保基金负担新冠病毒疫苗及接种费用补助-区级财政（城乡居民基本医疗保险）</t>
  </si>
  <si>
    <t>医保基金负担新冠病毒疫苗及接种费用补助-区级财政（职工基本医疗保险）</t>
  </si>
  <si>
    <t>市医疗保障局濠江分局小计</t>
  </si>
  <si>
    <t>区税务局</t>
  </si>
  <si>
    <t>征管经费</t>
  </si>
  <si>
    <t>调增缺口250万元。</t>
  </si>
  <si>
    <t>2021年税务征管经费压支</t>
  </si>
  <si>
    <t>区税务局小计</t>
  </si>
  <si>
    <t>团区委</t>
  </si>
  <si>
    <t>五四活动经费</t>
  </si>
  <si>
    <t>宣传活动经费</t>
  </si>
  <si>
    <t>青联活动经费</t>
  </si>
  <si>
    <t>志愿服务活动经费</t>
  </si>
  <si>
    <t>培训、会议经费</t>
  </si>
  <si>
    <t>学校团组织、少先队活动经费</t>
  </si>
  <si>
    <t>青少年活动经费</t>
  </si>
  <si>
    <t>未成年人心理健康辅导站工作经费</t>
  </si>
  <si>
    <t>慰问困难青少年经费</t>
  </si>
  <si>
    <t>团区委小计</t>
  </si>
  <si>
    <t>区财政局代编</t>
  </si>
  <si>
    <t>调增债券利息。</t>
  </si>
  <si>
    <t>调增预备役部队经费7万元、义务兵家庭优待金153万元。</t>
  </si>
  <si>
    <t>街道税收返还资金</t>
  </si>
  <si>
    <t>困难社区补助</t>
  </si>
  <si>
    <t>区委区政府交办重要事项</t>
  </si>
  <si>
    <t>动用1000万元用于区卫生健康局2022年新型冠状病毒感染的肺炎应急防控专项经费。</t>
  </si>
  <si>
    <t>人行国库业务经费及国库分理处手续费</t>
  </si>
  <si>
    <t>预留非税支出</t>
  </si>
  <si>
    <t>预留各项扶持及奖励政策兑现资金</t>
  </si>
  <si>
    <t>濠江区濠江周边农村生活污水治理项目前期工作经费（生态环境局）</t>
  </si>
  <si>
    <t>汕濠办文〔2022〕Z2-0531号。</t>
  </si>
  <si>
    <t>2020年至2022年欠缴食盐储备管理费</t>
  </si>
  <si>
    <t>汕市财工〔2022〕48号。</t>
  </si>
  <si>
    <t>粤鑫资产投资有限公司日常经费</t>
  </si>
  <si>
    <t>2021年下半年日常公用经费。</t>
  </si>
  <si>
    <t>河渡盐场留守人员工资经费</t>
  </si>
  <si>
    <t>预留配套性专项</t>
  </si>
  <si>
    <t>上划市联防治安经费</t>
  </si>
  <si>
    <t>专项上解支出。</t>
  </si>
  <si>
    <t>上划市高炮团经费</t>
  </si>
  <si>
    <t>预留创文经费</t>
  </si>
  <si>
    <t>预留创建经费</t>
  </si>
  <si>
    <t>见义勇为奖励经费</t>
  </si>
  <si>
    <t>预留人才发展基金</t>
  </si>
  <si>
    <t>“平安汕头”智能视频监控系统租赁资金</t>
  </si>
  <si>
    <t>金融股</t>
  </si>
  <si>
    <t>限售股股权转让交易奖励</t>
  </si>
  <si>
    <t>根据《关于进一步奖励上市公司限售股股权转让交易的实施办法》的通知及企业申报材料，对达濠市政建设有限公司转让限售股进行奖励。</t>
  </si>
  <si>
    <t>财政委托业务支出经费</t>
  </si>
  <si>
    <t>欠2021年下半年，2022年上半年，约950万。</t>
  </si>
  <si>
    <t>农业资源保护与修复利用</t>
  </si>
  <si>
    <t>农村财务管理经费</t>
  </si>
  <si>
    <t>农民专业合作社工作经费</t>
  </si>
  <si>
    <t>巨灾保险费区级配套资金</t>
  </si>
  <si>
    <t>政策性渔业保险工作经费</t>
  </si>
  <si>
    <t>财务检查专项经费</t>
  </si>
  <si>
    <t>农村财务监管平台升级</t>
  </si>
  <si>
    <t>各股室</t>
  </si>
  <si>
    <t>预留工作性和政策性专项经费</t>
  </si>
  <si>
    <t>——2020-2021学年度定市点民办残疾儿童康复救助项目补助资金</t>
  </si>
  <si>
    <t>汕濠办文〔2021〕Z3-2012号。</t>
  </si>
  <si>
    <t>——困难企业军转干部“五一”节日慰问</t>
  </si>
  <si>
    <t>汕濠办文〔2022〕Z3-0575号。</t>
  </si>
  <si>
    <t>——双拥工作经费</t>
  </si>
  <si>
    <t>汕濠办文〔2021〕Z3-2009号。</t>
  </si>
  <si>
    <t>——优抚对象年度确认工作专用设备购置及维修经费</t>
  </si>
  <si>
    <t>汕濠办文〔2021〕Z3-2203号。</t>
  </si>
  <si>
    <t>——2022年适龄女生人乳头瘤病毒疫苗（HPV）免费接种区级配套经费</t>
  </si>
  <si>
    <t>汕濠办文〔2022〕Z3-0109号。</t>
  </si>
  <si>
    <t>——基本公共卫生服务区级资金</t>
  </si>
  <si>
    <t>汕濠办文〔2021〕Z3-2159号。</t>
  </si>
  <si>
    <t>——省城镇独生子女父母计生奖励</t>
  </si>
  <si>
    <t>汕濠办文〔2021〕Z3-2202号。</t>
  </si>
  <si>
    <t>——广澳街道海滩垃圾清理专项补助经费</t>
  </si>
  <si>
    <t>汕濠办文〔2021〕Z3-1478号。</t>
  </si>
  <si>
    <t>——达濠街道北山湾海滩“防溺水”工作经费</t>
  </si>
  <si>
    <t>汕濠财报2022-1号。</t>
  </si>
  <si>
    <t>——数字财政终端设备购置费用</t>
  </si>
  <si>
    <t>汕濠办文〔2020〕Z3-1369号。</t>
  </si>
  <si>
    <t>——网侦设备经费</t>
  </si>
  <si>
    <t>汕濠办文〔2021〕Z3-1252号。</t>
  </si>
  <si>
    <t>——"防溺水“防控工作经费</t>
  </si>
  <si>
    <t>汕濠办文〔2021〕Z3-2085号。</t>
  </si>
  <si>
    <t>——平安海滩工作经费</t>
  </si>
  <si>
    <t>汕濠办文〔2021〕Z3-2084号。</t>
  </si>
  <si>
    <t>——换届工作经费</t>
  </si>
  <si>
    <t>汕濠办文〔2021〕Z3—2002号。</t>
  </si>
  <si>
    <t>——香港有关工作经费</t>
  </si>
  <si>
    <t>汕濠办文〔2022〕Z3-0001号。</t>
  </si>
  <si>
    <t>——支援香港抗疫专项经费</t>
  </si>
  <si>
    <t>汕濠办文〔2022〕Z3-0266号。</t>
  </si>
  <si>
    <t>——新冠肺炎疫情防控专项费用</t>
  </si>
  <si>
    <t>汕濠办文〔2022〕Z3-0312号。</t>
  </si>
  <si>
    <t>——疫情防控专项费用</t>
  </si>
  <si>
    <t>汕濠办文〔2022〕Z3-0760号。</t>
  </si>
  <si>
    <t>——高速出口防疫服务专项费用</t>
  </si>
  <si>
    <t>汕濠办文〔2022〕Z3-N0035号。</t>
  </si>
  <si>
    <t>——各项文化活动专项经费</t>
  </si>
  <si>
    <t>汕濠办文〔2022〕Z3—0337号。</t>
  </si>
  <si>
    <t>——《小康》杂志宣传专版经费</t>
  </si>
  <si>
    <t>汕濠办文〔2021〕Z3-2231号。</t>
  </si>
  <si>
    <t>——储备粮质量检测仪器购置资金</t>
  </si>
  <si>
    <t>汕濠办文〔2022〕Z3—0457号。</t>
  </si>
  <si>
    <t>——粮食质量安全监管工作经费</t>
  </si>
  <si>
    <t>汕濠办文〔2022〕Z3—0452号。</t>
  </si>
  <si>
    <t>——汕头市2022年第一季度重大项目集中签约开工投产“三集中”活动暨“工业立市、产业强市”首场现场会经费</t>
  </si>
  <si>
    <t>汕濠办文〔2022〕Z3-0759号。</t>
  </si>
  <si>
    <t>——区级商标品牌奖励资金</t>
  </si>
  <si>
    <t>汕濠办文〔2021〕Z3—2005号。</t>
  </si>
  <si>
    <t>——濠江区迎春节绿化景观提升及氛围布置费用</t>
  </si>
  <si>
    <t>汕濠办文〔2022〕Z3-0111号。</t>
  </si>
  <si>
    <t>——南滨绿地公园、石林湖公园代管养期间水费</t>
  </si>
  <si>
    <t>汕濠办文〔2022〕Z3—0749号。</t>
  </si>
  <si>
    <t>——清理和推平龙琦工贸与永美印务前断头路废土、垃圾项目费用</t>
  </si>
  <si>
    <t>汕濠办文〔2022〕Z3-0748号。</t>
  </si>
  <si>
    <t>——重大项目集中开工活动费用</t>
  </si>
  <si>
    <t>汕濠办文〔2021〕Z3-2200号。</t>
  </si>
  <si>
    <t>——推进《汕头市濠江区农村生活污水治理专项规划》编制工作经费</t>
  </si>
  <si>
    <t>汕濠办文〔2022〕Z3—0267号。</t>
  </si>
  <si>
    <t>——滨海街道东陇社区整村风貌提升工作补助经费</t>
  </si>
  <si>
    <t>汕濠办文〔2022〕Z3-0110号。</t>
  </si>
  <si>
    <t>区财政局代编小计</t>
  </si>
  <si>
    <t>附表4</t>
  </si>
  <si>
    <t>汕头市濠江区2022年公共财政上级财力性补助收支预算调整表</t>
  </si>
  <si>
    <t>上级财力性补助收入</t>
  </si>
  <si>
    <t>使用范围</t>
  </si>
  <si>
    <t>民生支出</t>
  </si>
  <si>
    <t>运转支出</t>
  </si>
  <si>
    <t>协调发展支出</t>
  </si>
  <si>
    <t>省</t>
  </si>
  <si>
    <t>市</t>
  </si>
  <si>
    <t>城市和农村居民最低生活保障金</t>
  </si>
  <si>
    <t>城乡居民社会养老保险和基本医疗保险</t>
  </si>
  <si>
    <t>困难残疾人生活补贴和重度残疾人护理补贴、残疾人居家无障碍改造配套经费、残疾学生及困难残疾人子女助学金</t>
  </si>
  <si>
    <t>部分退役士兵社会保险接续等</t>
  </si>
  <si>
    <t>退伍士兵安置补助金、义务兵优待金等</t>
  </si>
  <si>
    <t>困难企业军转干部生活补助等</t>
  </si>
  <si>
    <t>义务教育公用经费</t>
  </si>
  <si>
    <t>助学金免学费补助</t>
  </si>
  <si>
    <t>教师奖励性绩效工资</t>
  </si>
  <si>
    <t>基本公共卫生</t>
  </si>
  <si>
    <t>二类疫苗费用</t>
  </si>
  <si>
    <t>独生子女父母计生奖励、计生家庭商业保险等</t>
  </si>
  <si>
    <t>高龄老人政府津贴、百岁老人保健金及“银龄安康”行动60周岁以上老人保险费等</t>
  </si>
  <si>
    <t>严重精神障碍患者监护补助</t>
  </si>
  <si>
    <t>公交线路实施一票制补贴资金</t>
  </si>
  <si>
    <t>“平安濠江”视频监控系统专项</t>
  </si>
  <si>
    <t>森林防火专项经费、消防器材装备购置经费等</t>
  </si>
  <si>
    <t>小计</t>
  </si>
  <si>
    <t>增值税和消费税税收返还收入</t>
  </si>
  <si>
    <t>增值税五五分成税收返还收入</t>
  </si>
  <si>
    <t>所得税基数返还收入</t>
  </si>
  <si>
    <t>其他一般性转移支付收入（下划机构经费）</t>
  </si>
  <si>
    <t>其他一般性转移支付收入（划转原公安边防部队经费基数）</t>
  </si>
  <si>
    <t>其他一般性转移支付收入（监察体制改革划转基数）</t>
  </si>
  <si>
    <t>其他一般性转移支付收入（监察体制改革转隶人员经费）</t>
  </si>
  <si>
    <t>其他一般性转移支付收入（缓解县乡财政困难综合性财力补助）</t>
  </si>
  <si>
    <t>其他一般性转移支付收入（生态保护区财政补偿转移支付资金）</t>
  </si>
  <si>
    <t>其他税收返还收入</t>
  </si>
  <si>
    <t>体制补助收入</t>
  </si>
  <si>
    <t>调整工资转移支付补助收入</t>
  </si>
  <si>
    <t>农村税费改革补助收入</t>
  </si>
  <si>
    <t>县级基本财力保障机制奖补资金收入</t>
  </si>
  <si>
    <t>增值税留抵退税转移支付收入</t>
  </si>
  <si>
    <t>“天际电器项目”专项补助收入</t>
  </si>
  <si>
    <t>中央均衡性补助收入</t>
  </si>
  <si>
    <t>说明：根据《广东省人民政府办公厅关于印发广东省财政一般性转移支付资金管理办法的通知》（粤府办【2014】31号）要求编制。</t>
  </si>
  <si>
    <t>附表5</t>
  </si>
  <si>
    <t>汕头市濠江区2022年政府性基金预算收入计划调整表</t>
  </si>
  <si>
    <t>项目</t>
  </si>
  <si>
    <t>比增 %</t>
  </si>
  <si>
    <t>一、非税收入</t>
  </si>
  <si>
    <t xml:space="preserve">    1.国有土地收益基金收入</t>
  </si>
  <si>
    <t xml:space="preserve">    2.农业土地开发资金收入</t>
  </si>
  <si>
    <t xml:space="preserve">    3.土地出让价款收入</t>
  </si>
  <si>
    <t xml:space="preserve">    4.其他土地出让收入</t>
  </si>
  <si>
    <t xml:space="preserve">    5.补缴的土地价款</t>
  </si>
  <si>
    <t xml:space="preserve">    6.划拨土地收入</t>
  </si>
  <si>
    <t xml:space="preserve">    7.缴纳新增建设用地土地有偿使用费</t>
  </si>
  <si>
    <t xml:space="preserve">    8.福利彩票公益金收入</t>
  </si>
  <si>
    <t xml:space="preserve">    9.城市基础设施配套费收入</t>
  </si>
  <si>
    <t>二、转移性收入</t>
  </si>
  <si>
    <t xml:space="preserve">   1.上级专项性补助收入</t>
  </si>
  <si>
    <t xml:space="preserve">   2.上年结余收入</t>
  </si>
  <si>
    <t xml:space="preserve">   3.上级债券收入</t>
  </si>
  <si>
    <t xml:space="preserve">   4.再融资专项债券转贷收入</t>
  </si>
  <si>
    <t>财力合计</t>
  </si>
  <si>
    <t>附表6</t>
  </si>
  <si>
    <t>汕头市濠江区2022年本级政府性基金预算收入项目调整表</t>
  </si>
  <si>
    <t xml:space="preserve">  单位：万元</t>
  </si>
  <si>
    <t>负责单位</t>
  </si>
  <si>
    <t>用地性质           /项目</t>
  </si>
  <si>
    <t>用地位置</t>
  </si>
  <si>
    <t>面积（亩）</t>
  </si>
  <si>
    <t>第一次
预算调整数</t>
  </si>
  <si>
    <t>2022年7月          实际收入</t>
  </si>
  <si>
    <t>变动数</t>
  </si>
  <si>
    <t>出让方式</t>
  </si>
  <si>
    <t>新城中心
土储中心</t>
  </si>
  <si>
    <t>住宅用地</t>
  </si>
  <si>
    <t>南滨片区HJ-003-00205                 (统征地)</t>
  </si>
  <si>
    <t>挂牌</t>
  </si>
  <si>
    <t>2021年12月终止，需重新挂牌，已收储，已平整，正在招商</t>
  </si>
  <si>
    <t>南滨片区HJ-003-00202
（统征地）</t>
  </si>
  <si>
    <t>2022年第四季度，已收储，已平整，正在招商</t>
  </si>
  <si>
    <t>商业用地</t>
  </si>
  <si>
    <t>南滨片区02-04-13地块（统征地）</t>
  </si>
  <si>
    <t>2022年第四季度，出让难度大，本年无法出让，已收储，已平整</t>
  </si>
  <si>
    <t>南滨片区04-04-04                     （非统征地）</t>
  </si>
  <si>
    <t>2022年第四季度，难度较大，已收储，已平整</t>
  </si>
  <si>
    <t>中信项目小计</t>
  </si>
  <si>
    <t>土储中心
工信局</t>
  </si>
  <si>
    <t>濠江区茂洲A15\B04地块</t>
  </si>
  <si>
    <t>已出让，企业反映困难，第二期收入今年难以上缴</t>
  </si>
  <si>
    <t>渔港B-02地块</t>
  </si>
  <si>
    <t>已出让，2022年1月缴50%，自然资源反映争取九月追缴，预计第二期今年可上缴</t>
  </si>
  <si>
    <t>渔港经济区D-01-02地块</t>
  </si>
  <si>
    <t>2022年第四季度，未招商，难度较大，已征地</t>
  </si>
  <si>
    <t>商住用地</t>
  </si>
  <si>
    <t>马滘大桥东西侧                        (马滘综合体)</t>
  </si>
  <si>
    <t>市项目，区按收益的80%计收入，预计跨年方可实现收入，需争取9月挂牌，已基本完成征地。按75%计</t>
  </si>
  <si>
    <t>马滘雨伞塭片区HJ-025-03-00301地块</t>
  </si>
  <si>
    <t>市项目，区按收益的80%计收入，已出让</t>
  </si>
  <si>
    <t>商服用地</t>
  </si>
  <si>
    <t>汕头南新城市中心STN-02-03地块</t>
  </si>
  <si>
    <t>仍在调整规划，完成的话可以马上挂牌，已完成征地。（已收保证金150万）</t>
  </si>
  <si>
    <t>三河中学对面、河浦工业园区A01-05地块</t>
  </si>
  <si>
    <t>2022年第四季度，已征地，还在招商</t>
  </si>
  <si>
    <t>广澳物流园E01-02地块</t>
  </si>
  <si>
    <t>土地不规整，零散，出让难度大，2022年第四季度</t>
  </si>
  <si>
    <t>工业</t>
  </si>
  <si>
    <t>河浦客运站用地</t>
  </si>
  <si>
    <t>招商仍在谈，已完成征地，预计跨年收入</t>
  </si>
  <si>
    <t>土储中心
南山湾办
工信局</t>
  </si>
  <si>
    <t>汕头南新城市中心STN-03-28地块（滨海工业区）</t>
  </si>
  <si>
    <t>暂无企业有意向，已完成平整，2022年第四季度</t>
  </si>
  <si>
    <t>南山湾产业园B15-01地块内东北侧用地</t>
  </si>
  <si>
    <t>需平整后方出让，仍在招商，2022年第四季度</t>
  </si>
  <si>
    <t>广澳物流园D01-02地块</t>
  </si>
  <si>
    <t>美联涉及总公司与子公司税收问题，仍在洽谈中，本年度出让可能性不大，2022年第四季度，已收储，已平整</t>
  </si>
  <si>
    <t>三联工业区健信公司西侧地块</t>
  </si>
  <si>
    <t>2022年第四季度，已征地，现状工棚</t>
  </si>
  <si>
    <t>中国（濠江）河浦片、台商片（电子电路工业基地）C03-04地块</t>
  </si>
  <si>
    <t>2022年7月成交，预计8月收入，原商改工，用地性质调整</t>
  </si>
  <si>
    <t>台商工业园区南部、安海路北侧、滨海中学斜对面C05-04地块</t>
  </si>
  <si>
    <t>用地性质调整，商业转工业，未招商</t>
  </si>
  <si>
    <t>南山湾产业园区C-01-05-1地块</t>
  </si>
  <si>
    <t>2022年第四季度，原商改工，用地性质调整，已挂牌</t>
  </si>
  <si>
    <t>南山湾产业园区C-01-05-2地块</t>
  </si>
  <si>
    <t>风电产业园01-00402-2</t>
  </si>
  <si>
    <t>四个一体化项目，等挂牌，2022年第四季度，原商改工，用地性质调整，已收储，已平整，设计方案可能更改</t>
  </si>
  <si>
    <t>风电产业园01-00402-1</t>
  </si>
  <si>
    <t>叶片厂项目，容积率达不到市定1.0，只有0.8，需政府与企业协商达成意见后方可挂牌，2022年第四季度，已收储，现状用地</t>
  </si>
  <si>
    <t>供电用地</t>
  </si>
  <si>
    <t>风电产业园HJ-002-01-00503、HJ-002-01-00602-01地块</t>
  </si>
  <si>
    <t>协议出让</t>
  </si>
  <si>
    <t>新建风机项目，已收储，现状用地，2022年第四季度，完成可研后即可挂牌</t>
  </si>
  <si>
    <t>自然资源局</t>
  </si>
  <si>
    <t>东泓住工广澳临港工业区D06-01地块先租赁后弹性出让</t>
  </si>
  <si>
    <t>2022年第四季度，已征地</t>
  </si>
  <si>
    <t>补缴划拨项目</t>
  </si>
  <si>
    <t>补缴划拨</t>
  </si>
  <si>
    <t>其他土地出让收入</t>
  </si>
  <si>
    <t>其他</t>
  </si>
  <si>
    <t>增加保辉渔港用地利息收入279万元；增加风机扩大租赁范围30万元</t>
  </si>
  <si>
    <t>代编</t>
  </si>
  <si>
    <t>上缴新增建设用地有偿使用费                                  及有关资金</t>
  </si>
  <si>
    <t>其中上缴中央及省农田水利建设资金和教育资金4981万元</t>
  </si>
  <si>
    <t>土地基金区内项目小计</t>
  </si>
  <si>
    <t>一、土地基金合计</t>
  </si>
  <si>
    <t>二、城市基础设施配套费收入</t>
  </si>
  <si>
    <t>三、福彩公益金收入</t>
  </si>
  <si>
    <t>2022年度政府性基金收入合计</t>
  </si>
  <si>
    <t>其中：本级项目收入（不含中信项目）</t>
  </si>
  <si>
    <t>附表7</t>
  </si>
  <si>
    <t>汕头市濠江区2022年政府性基金预算支出计划功能科目调整表</t>
  </si>
  <si>
    <t>科目  编码</t>
  </si>
  <si>
    <t>科目名称</t>
  </si>
  <si>
    <t>政策性
调整</t>
  </si>
  <si>
    <t>批增</t>
  </si>
  <si>
    <t>同类调剂</t>
  </si>
  <si>
    <t>跨类调剂</t>
  </si>
  <si>
    <t>债券支出</t>
  </si>
  <si>
    <t>本级加债</t>
  </si>
  <si>
    <t>上年结转</t>
  </si>
  <si>
    <t>205</t>
  </si>
  <si>
    <t>教育</t>
  </si>
  <si>
    <t>无数据，隐藏</t>
  </si>
  <si>
    <t>20510</t>
  </si>
  <si>
    <t xml:space="preserve">  地方教育附加安排的支出</t>
  </si>
  <si>
    <t>2051001</t>
  </si>
  <si>
    <t xml:space="preserve">    农村中小学校舍建设</t>
  </si>
  <si>
    <t>2051099</t>
  </si>
  <si>
    <t xml:space="preserve">    其他地方教育附加安排的支出</t>
  </si>
  <si>
    <t>207</t>
  </si>
  <si>
    <t>文化体育与传媒</t>
  </si>
  <si>
    <t>20707</t>
  </si>
  <si>
    <t xml:space="preserve">  国家电影事业发展专项资金及对应专项债务收入安排的支出</t>
  </si>
  <si>
    <t>2070799</t>
  </si>
  <si>
    <t xml:space="preserve">    其他国家电影事业发展专项资金支出</t>
  </si>
  <si>
    <t>20799</t>
  </si>
  <si>
    <t xml:space="preserve">  其他文化体育与传媒支出</t>
  </si>
  <si>
    <t xml:space="preserve">    文化事业建设费支出</t>
  </si>
  <si>
    <t>208</t>
  </si>
  <si>
    <t>社会保障和就业</t>
  </si>
  <si>
    <t>20811</t>
  </si>
  <si>
    <t xml:space="preserve">  残疾人事业</t>
  </si>
  <si>
    <t xml:space="preserve">    扶持农村残疾人生产</t>
  </si>
  <si>
    <t xml:space="preserve">    其他残疾人就业保障金支出</t>
  </si>
  <si>
    <t>20860</t>
  </si>
  <si>
    <t xml:space="preserve">  残疾人就业保障金支出</t>
  </si>
  <si>
    <t xml:space="preserve">     其他残疾人就业保障金支出</t>
  </si>
  <si>
    <t>212</t>
  </si>
  <si>
    <t>城乡社区事务</t>
  </si>
  <si>
    <t>21207</t>
  </si>
  <si>
    <t xml:space="preserve">  政府住房基金支出</t>
  </si>
  <si>
    <t xml:space="preserve">    公共租赁住房租金支出</t>
  </si>
  <si>
    <t>21208</t>
  </si>
  <si>
    <t xml:space="preserve">  国有土地使用权出让收入安排的支出</t>
  </si>
  <si>
    <r>
      <rPr>
        <sz val="10"/>
        <rFont val="Times New Roman"/>
        <charset val="134"/>
      </rPr>
      <t xml:space="preserve">         </t>
    </r>
    <r>
      <rPr>
        <sz val="10"/>
        <rFont val="宋体"/>
        <charset val="134"/>
      </rPr>
      <t>征地和拆迁补偿支出</t>
    </r>
  </si>
  <si>
    <r>
      <rPr>
        <sz val="10"/>
        <rFont val="Times New Roman"/>
        <charset val="134"/>
      </rPr>
      <t xml:space="preserve">         </t>
    </r>
    <r>
      <rPr>
        <sz val="10"/>
        <rFont val="宋体"/>
        <charset val="134"/>
      </rPr>
      <t>土地开发支出</t>
    </r>
  </si>
  <si>
    <t xml:space="preserve">    城市建设支出</t>
  </si>
  <si>
    <t>2120804</t>
  </si>
  <si>
    <r>
      <rPr>
        <sz val="10"/>
        <rFont val="Times New Roman"/>
        <charset val="134"/>
      </rPr>
      <t xml:space="preserve">         </t>
    </r>
    <r>
      <rPr>
        <sz val="10"/>
        <rFont val="宋体"/>
        <charset val="134"/>
      </rPr>
      <t>农村基础设施建设支出</t>
    </r>
  </si>
  <si>
    <t xml:space="preserve">    补助被征地农民支出</t>
  </si>
  <si>
    <r>
      <rPr>
        <sz val="10"/>
        <rFont val="Times New Roman"/>
        <charset val="134"/>
      </rPr>
      <t xml:space="preserve">         </t>
    </r>
    <r>
      <rPr>
        <sz val="10"/>
        <rFont val="宋体"/>
        <charset val="134"/>
      </rPr>
      <t>土地出让业务支出</t>
    </r>
  </si>
  <si>
    <r>
      <rPr>
        <sz val="10"/>
        <rFont val="Times New Roman"/>
        <charset val="134"/>
      </rPr>
      <t xml:space="preserve">          </t>
    </r>
    <r>
      <rPr>
        <sz val="10"/>
        <rFont val="宋体"/>
        <charset val="134"/>
      </rPr>
      <t>廉租住房支出</t>
    </r>
  </si>
  <si>
    <t xml:space="preserve">    教育资金安排的支出</t>
  </si>
  <si>
    <t>2120809</t>
  </si>
  <si>
    <t xml:space="preserve">    支付破产或改制企业职工安置费</t>
  </si>
  <si>
    <t xml:space="preserve">    公共租赁住房支出</t>
  </si>
  <si>
    <t xml:space="preserve">    农田水利建设资金安排的支出</t>
  </si>
  <si>
    <t>2120816</t>
  </si>
  <si>
    <t xml:space="preserve">    农业农村生态环境支出</t>
  </si>
  <si>
    <t xml:space="preserve">    其他国有土地使用权出让收入安排的支出</t>
  </si>
  <si>
    <t>21209</t>
  </si>
  <si>
    <t xml:space="preserve">  城市公用事业附加安排的支出</t>
  </si>
  <si>
    <t>2120901</t>
  </si>
  <si>
    <t xml:space="preserve">    城市公共设施</t>
  </si>
  <si>
    <t>2120902</t>
  </si>
  <si>
    <t xml:space="preserve">    城市环境卫生（城市公用事业附加安排的支出）</t>
  </si>
  <si>
    <t xml:space="preserve">    其他城市公用事业附加安排的支出</t>
  </si>
  <si>
    <t>21210</t>
  </si>
  <si>
    <t xml:space="preserve">  国有土地收益基金支出</t>
  </si>
  <si>
    <t xml:space="preserve">    征地和拆迁补偿支出</t>
  </si>
  <si>
    <t xml:space="preserve">    土地开发支出</t>
  </si>
  <si>
    <t xml:space="preserve">    其他国有土地收益基金支出</t>
  </si>
  <si>
    <t>21211</t>
  </si>
  <si>
    <t xml:space="preserve">  农业土地开发资金支出</t>
  </si>
  <si>
    <t>21212</t>
  </si>
  <si>
    <t xml:space="preserve">  新增建设用地土地有偿使用费安排的支出</t>
  </si>
  <si>
    <t xml:space="preserve">    基本农田建设和保护支出</t>
  </si>
  <si>
    <t xml:space="preserve">    土地整理支出</t>
  </si>
  <si>
    <t>21213</t>
  </si>
  <si>
    <t xml:space="preserve">  城市基础设施配套费安排的支出</t>
  </si>
  <si>
    <t>2121301</t>
  </si>
  <si>
    <t xml:space="preserve"> </t>
  </si>
  <si>
    <t>2121302</t>
  </si>
  <si>
    <t xml:space="preserve">    城市环境卫生</t>
  </si>
  <si>
    <t xml:space="preserve">    其他城市基础设施配套费安排的支出</t>
  </si>
  <si>
    <t>213</t>
  </si>
  <si>
    <t>农林水事务</t>
  </si>
  <si>
    <t>21362</t>
  </si>
  <si>
    <t xml:space="preserve">  森林植被恢复费安排的支出</t>
  </si>
  <si>
    <t xml:space="preserve">    森林培育</t>
  </si>
  <si>
    <t xml:space="preserve">    其他森林植被恢复费安排的支出</t>
  </si>
  <si>
    <t>21364</t>
  </si>
  <si>
    <t xml:space="preserve">  地方水利建设基金支出</t>
  </si>
  <si>
    <t xml:space="preserve">    其他地方水利建设基金支出</t>
  </si>
  <si>
    <t>21370</t>
  </si>
  <si>
    <t xml:space="preserve">  水土保持补偿费安排的支出</t>
  </si>
  <si>
    <t>2137003</t>
  </si>
  <si>
    <t xml:space="preserve">    其他水土保持补偿费安排的支出</t>
  </si>
  <si>
    <t>21399</t>
  </si>
  <si>
    <t>2139999</t>
  </si>
  <si>
    <t>214</t>
  </si>
  <si>
    <t>交通运输</t>
  </si>
  <si>
    <t>21401</t>
  </si>
  <si>
    <t xml:space="preserve">  公路水路运输</t>
  </si>
  <si>
    <t xml:space="preserve">    船舶港务费安排的支出</t>
  </si>
  <si>
    <t>21462</t>
  </si>
  <si>
    <t xml:space="preserve">  车辆通行费安排支出</t>
  </si>
  <si>
    <t>2146299</t>
  </si>
  <si>
    <t xml:space="preserve">    其他车辆通行费安排的支出</t>
  </si>
  <si>
    <t>215</t>
  </si>
  <si>
    <t>资源勘探信息等支出</t>
  </si>
  <si>
    <t>21560</t>
  </si>
  <si>
    <t xml:space="preserve">  散装水泥专项资金及对应专项债务收入安排的支出</t>
  </si>
  <si>
    <t>2156099</t>
  </si>
  <si>
    <t xml:space="preserve">    散装水泥专项资金安排的支出</t>
  </si>
  <si>
    <t>21561</t>
  </si>
  <si>
    <t xml:space="preserve">  新型墙体材料专项基金及对应专项债务收入安排的支出</t>
  </si>
  <si>
    <t>2156199</t>
  </si>
  <si>
    <t xml:space="preserve">    新型墙体材料专项基金安排的支出</t>
  </si>
  <si>
    <t>216</t>
  </si>
  <si>
    <t>21660</t>
  </si>
  <si>
    <t xml:space="preserve">  旅游发展基金支出</t>
  </si>
  <si>
    <t>2166004</t>
  </si>
  <si>
    <t xml:space="preserve">    地方旅游开发项目补助</t>
  </si>
  <si>
    <t>229</t>
  </si>
  <si>
    <t>22904</t>
  </si>
  <si>
    <t xml:space="preserve"> 其他政府性基金及对应专项收入安排的支出</t>
  </si>
  <si>
    <t>2290401</t>
  </si>
  <si>
    <t xml:space="preserve">   其他政府基金安排的支出</t>
  </si>
  <si>
    <t>2290402</t>
  </si>
  <si>
    <t xml:space="preserve">   其他地方自行试点项目收益专项债券收入安排的支出</t>
  </si>
  <si>
    <t>22908</t>
  </si>
  <si>
    <t xml:space="preserve"> 彩票发行销售机构业务费安排的支出</t>
  </si>
  <si>
    <t>2290804</t>
  </si>
  <si>
    <t xml:space="preserve">   福利彩票销售机构的业务费支出</t>
  </si>
  <si>
    <t>22960</t>
  </si>
  <si>
    <r>
      <rPr>
        <sz val="10"/>
        <rFont val="Times New Roman"/>
        <charset val="134"/>
      </rPr>
      <t xml:space="preserve">     </t>
    </r>
    <r>
      <rPr>
        <sz val="10"/>
        <rFont val="宋体"/>
        <charset val="134"/>
      </rPr>
      <t>彩票公益金安排的支出</t>
    </r>
  </si>
  <si>
    <t>2296001</t>
  </si>
  <si>
    <r>
      <rPr>
        <sz val="10"/>
        <rFont val="Times New Roman"/>
        <charset val="134"/>
      </rPr>
      <t xml:space="preserve">         </t>
    </r>
    <r>
      <rPr>
        <sz val="10"/>
        <rFont val="宋体"/>
        <charset val="134"/>
      </rPr>
      <t>用于补充全国社会保障基金的彩票公益金支出</t>
    </r>
  </si>
  <si>
    <t>2296002</t>
  </si>
  <si>
    <r>
      <rPr>
        <sz val="10"/>
        <rFont val="Times New Roman"/>
        <charset val="134"/>
      </rPr>
      <t xml:space="preserve">        </t>
    </r>
    <r>
      <rPr>
        <sz val="10"/>
        <rFont val="宋体"/>
        <charset val="134"/>
      </rPr>
      <t>用于社会福利的彩票公益金支出</t>
    </r>
  </si>
  <si>
    <t>2296003</t>
  </si>
  <si>
    <r>
      <rPr>
        <sz val="10"/>
        <rFont val="Times New Roman"/>
        <charset val="134"/>
      </rPr>
      <t xml:space="preserve">        </t>
    </r>
    <r>
      <rPr>
        <sz val="10"/>
        <rFont val="宋体"/>
        <charset val="134"/>
      </rPr>
      <t>用于体育事业的彩票公益金支出</t>
    </r>
  </si>
  <si>
    <t>2296004</t>
  </si>
  <si>
    <t xml:space="preserve">        用于教育事业的彩票公益金支出</t>
  </si>
  <si>
    <t>2296006</t>
  </si>
  <si>
    <r>
      <rPr>
        <sz val="10"/>
        <rFont val="Times New Roman"/>
        <charset val="134"/>
      </rPr>
      <t xml:space="preserve">        </t>
    </r>
    <r>
      <rPr>
        <sz val="10"/>
        <rFont val="宋体"/>
        <charset val="134"/>
      </rPr>
      <t>用于残疾人事务的彩票公益金支出</t>
    </r>
  </si>
  <si>
    <t>2296007</t>
  </si>
  <si>
    <t xml:space="preserve">        用于城市医疗救助的彩票公益金支出 </t>
  </si>
  <si>
    <t>2296008</t>
  </si>
  <si>
    <t xml:space="preserve">        用于农村医疗救助的彩票公益金支出 </t>
  </si>
  <si>
    <t>2296010</t>
  </si>
  <si>
    <t xml:space="preserve">        用于文化事业的彩票公益金支出 </t>
  </si>
  <si>
    <t>2296013</t>
  </si>
  <si>
    <r>
      <rPr>
        <sz val="10"/>
        <rFont val="Times New Roman"/>
        <charset val="134"/>
      </rPr>
      <t xml:space="preserve">        </t>
    </r>
    <r>
      <rPr>
        <sz val="10"/>
        <rFont val="宋体"/>
        <charset val="134"/>
      </rPr>
      <t>用于城乡医疗救助的彩票公益金支出</t>
    </r>
    <r>
      <rPr>
        <sz val="10"/>
        <rFont val="Times New Roman"/>
        <charset val="134"/>
      </rPr>
      <t xml:space="preserve"> </t>
    </r>
  </si>
  <si>
    <t>2296099</t>
  </si>
  <si>
    <r>
      <rPr>
        <sz val="10"/>
        <rFont val="Times New Roman"/>
        <charset val="134"/>
      </rPr>
      <t xml:space="preserve">        </t>
    </r>
    <r>
      <rPr>
        <sz val="10"/>
        <rFont val="宋体"/>
        <charset val="134"/>
      </rPr>
      <t>用于其他社会公益事业的彩票公益金支出</t>
    </r>
  </si>
  <si>
    <t>230</t>
  </si>
  <si>
    <t>23004</t>
  </si>
  <si>
    <t xml:space="preserve">  政府性基金转移支付</t>
  </si>
  <si>
    <r>
      <rPr>
        <sz val="10"/>
        <rFont val="宋体"/>
        <charset val="134"/>
      </rPr>
      <t xml:space="preserve"> </t>
    </r>
    <r>
      <rPr>
        <sz val="10"/>
        <rFont val="宋体"/>
        <charset val="134"/>
      </rPr>
      <t xml:space="preserve">   </t>
    </r>
    <r>
      <rPr>
        <sz val="10"/>
        <rFont val="宋体"/>
        <charset val="134"/>
      </rPr>
      <t>政府性基金补助支出</t>
    </r>
  </si>
  <si>
    <t>23008</t>
  </si>
  <si>
    <t xml:space="preserve">  调出资金</t>
  </si>
  <si>
    <t>231</t>
  </si>
  <si>
    <t>23104</t>
  </si>
  <si>
    <t xml:space="preserve">  地方政府专项债务还本支出</t>
  </si>
  <si>
    <t>2310411</t>
  </si>
  <si>
    <t xml:space="preserve">    国有土地使用权出让金债务还本支出</t>
  </si>
  <si>
    <t>2310431</t>
  </si>
  <si>
    <t xml:space="preserve">    土地储备专项债券还本支出</t>
  </si>
  <si>
    <t>232</t>
  </si>
  <si>
    <t>23204</t>
  </si>
  <si>
    <t xml:space="preserve">  地方政府专项债务付息支出</t>
  </si>
  <si>
    <t>2320411</t>
  </si>
  <si>
    <t xml:space="preserve">    国有土地使用权出让金债务付息支出</t>
  </si>
  <si>
    <t>2320431</t>
  </si>
  <si>
    <t xml:space="preserve">    土地储备专项债券付息支出</t>
  </si>
  <si>
    <t>2320498</t>
  </si>
  <si>
    <t xml:space="preserve">    其他地方自行试点项目收益专项债券付息支出</t>
  </si>
  <si>
    <t>233</t>
  </si>
  <si>
    <t>23304</t>
  </si>
  <si>
    <t xml:space="preserve">  地方政府专项债务发行费用支出</t>
  </si>
  <si>
    <t>2330411</t>
  </si>
  <si>
    <t xml:space="preserve">    国有土地使用权出让金债务发行费用支出</t>
  </si>
  <si>
    <t>2330431</t>
  </si>
  <si>
    <t xml:space="preserve">    土地储备专项债券发行费用支出</t>
  </si>
  <si>
    <t>2330498</t>
  </si>
  <si>
    <t xml:space="preserve">    其他地方自行试点项目收益专项债券发行费用支出</t>
  </si>
  <si>
    <t>基金预算支出合计</t>
  </si>
  <si>
    <t>附表8</t>
  </si>
  <si>
    <t>汕头市濠江区2022年本级政府性基金预算支出项目调整表</t>
  </si>
  <si>
    <t>预算项目.名称</t>
  </si>
  <si>
    <t>项目分类</t>
  </si>
  <si>
    <t>资金来源</t>
  </si>
  <si>
    <t>功能分类科目</t>
  </si>
  <si>
    <t>支出合计</t>
  </si>
  <si>
    <t>综合股（土地基金）</t>
  </si>
  <si>
    <t>区土储中心</t>
  </si>
  <si>
    <t>中信南滨片区统征地项目</t>
  </si>
  <si>
    <t>应还中信项目83000万元，可安排本级预算5000万元，上级补助13000万元，欠65000万元。</t>
  </si>
  <si>
    <t>中信新城</t>
  </si>
  <si>
    <t>土地基金</t>
  </si>
  <si>
    <t>中信南滨片区非统征地项目</t>
  </si>
  <si>
    <t>征地收储小计</t>
  </si>
  <si>
    <t>广东省汕头市濠江区茂洲片区新型城镇化综合开发PPP项目</t>
  </si>
  <si>
    <t>用于支付茂洲片区新型城镇化综合开发PPP项目土地征拆有关费用等</t>
  </si>
  <si>
    <t>征地收储</t>
  </si>
  <si>
    <t>河浦中心区交通设施用地（河浦客运站）收储项目</t>
  </si>
  <si>
    <t>一次性补偿款、街道协调费、河南社区清障奖励</t>
  </si>
  <si>
    <t>达濠客运站平整项目</t>
  </si>
  <si>
    <t>工程款结算款，区政府工作会议纪要（2020年第2期）；汕濠发改预〔2020〕22号</t>
  </si>
  <si>
    <t>石派出所项目用地</t>
  </si>
  <si>
    <t>补充协议包干经费10%需8.3736万元</t>
  </si>
  <si>
    <t>河浦粮库用地平整项目</t>
  </si>
  <si>
    <t>需平整工程相关费用共57.163564万元，其中：监理费70%1.25664万元；剩余90%进度款54.732846万元；文明措施费50% 1.174078万元</t>
  </si>
  <si>
    <t>青洲盐场一期二步</t>
  </si>
  <si>
    <t>面积983.14亩，收购价款8868.1125万元，已下达6600万元，需支付2268.1125万元。</t>
  </si>
  <si>
    <t>青洲盐场一、二期平整项目</t>
  </si>
  <si>
    <t>面积约2721.92亩，一期预算约2403.95万元，二期预算约6682.96万元，扣除已拨付3915.75万元（含今年年初拨付的2020万元），尚需约5171.15万元（已财政结算审核为准）。</t>
  </si>
  <si>
    <t>珠浦三联工业区A01-01地块收储项目（卫伦用地）</t>
  </si>
  <si>
    <t>面积212.113亩，收购价款12302.55万元</t>
  </si>
  <si>
    <t>滨海工业区征地项目</t>
  </si>
  <si>
    <t>土地移交后，需支付补偿协议10%，21.8062万元，街道、企投协调费10.0847万元</t>
  </si>
  <si>
    <t>河浦医院二期征地项目</t>
  </si>
  <si>
    <t>土地移交后，需支付补偿协议10%，90.4106万元，清障奖励金102.8684万元；玉新街道协调费9.8445万元，滨海街道协调费5.9814万元；玉新街道清障奖励金14.7668万元，滨海街道清障奖励金8.9721万元</t>
  </si>
  <si>
    <t>达濠渔港一期平整项目</t>
  </si>
  <si>
    <t>项目已支付3297万元（今年年初支付126万元）</t>
  </si>
  <si>
    <t>高铁南站配套用地（战备油库）</t>
  </si>
  <si>
    <t>面积约72.31亩。总费用3018万元，其中：土地补偿13万元/亩940万元；青苗附着物、排洪沟改造补助1121万元；包干奖励1.8万元/亩131万元；社保8万元/亩578万元，耕地占用税238万元，执法处罚补助10万元。2019年已拨付500万元</t>
  </si>
  <si>
    <t>高铁南站配套用地（战备油库）平整项目</t>
  </si>
  <si>
    <t>平整费用578万元，按每亩8万计（包围护）</t>
  </si>
  <si>
    <t>马滘工业园区生活配套区基础设施工程项目</t>
  </si>
  <si>
    <t>该项目定于2021年竣工结算，按结算审核结果支付</t>
  </si>
  <si>
    <t>马滘工业园区生活配套区基础设施工程项目二期横一路征收项目</t>
  </si>
  <si>
    <t>需支付补充协议10%约12.584万元，奖励金8.84万元</t>
  </si>
  <si>
    <t>茂州片区A-04-02与玉新街道北片区A-7-02土地整理开发工程</t>
  </si>
  <si>
    <t>该项目预算审核总额2153.723231万元减去已付还768.773231万元，未付1384.95万元（最终按结算审核结果支付）。今年年初已支付80万，目前报工程未下达支付进度款373万元。</t>
  </si>
  <si>
    <t>储备用地巡查和管养围护费用</t>
  </si>
  <si>
    <t>储备用地日常管养围护费用(年初原报200万)</t>
  </si>
  <si>
    <t>青洲盐场土地收储工作协调经费</t>
  </si>
  <si>
    <t>根据区政府工作会议纪要（2019年12月17日）的文件精神和相关规定，第二期收储面积约1906.37亩，按每亩0.2万元安排协调费，拟于2022年申请200万元作为工作经费</t>
  </si>
  <si>
    <t>石街道</t>
  </si>
  <si>
    <t>解决三联工业区珠浦片基础设施配套</t>
  </si>
  <si>
    <t>三联工业区珠浦片排水沟及箱涵工程，概算总投资437.56万元。根据汕濠府办财函〔2018〕377号，需补助400万元</t>
  </si>
  <si>
    <t>广澳街道</t>
  </si>
  <si>
    <t>溪头工业区基础设施建设经费</t>
  </si>
  <si>
    <t>汕濠办文〔2020〕Z3-0832号安排广澳溪头工业区5宗地征地平整包干费3430.06万元，已安排200万元及抵扣新华公司诉讼借款1276万元</t>
  </si>
  <si>
    <t>区南山湾办</t>
  </si>
  <si>
    <t>三联工业区历史征地款及利息（违约金）</t>
  </si>
  <si>
    <t>汕濠办文〔2020〕Z2-0064号</t>
  </si>
  <si>
    <t>河浦街道河南社区尖山洋段用地征地补偿款</t>
  </si>
  <si>
    <t>汕濠办文〔2020〕Z3-2390号，共1067.15万元，2020年已拨400万元</t>
  </si>
  <si>
    <t>汕头市台商投资区（濠江片）道路及市政配套工程</t>
  </si>
  <si>
    <t>汕濠办文〔2019〕Z2-1499-7号，工程余款</t>
  </si>
  <si>
    <t>茂南桩基工程欠款</t>
  </si>
  <si>
    <t>安排资金结付该工程项目欠款，汕濠办文〔2021〕Z2-1126号</t>
  </si>
  <si>
    <t>收回河浦街道一工区18.366亩存量工业用地的国有建设用地使用权费用</t>
  </si>
  <si>
    <t>达濠客运站项目用地，汕濠办文〔2020〕Z2-1066号补偿474.8万元，汕濠办文〔2021〕Z4-2067号47万元</t>
  </si>
  <si>
    <t>渔港经济区综合运营项目</t>
  </si>
  <si>
    <t>年初报预算未列。汕濠办文〔2020〕Z3-0832号，总额4820万元，已支付2000万元。</t>
  </si>
  <si>
    <t>南山湾文旅综合体一期征地项目</t>
  </si>
  <si>
    <t>土储中心资金需求为19703.561万元，有上级补助8500万未使用，本级所需资金为11203.561万元。补充协议17722.76万元、林地编制费用8万元、耕作层剥离编制费用8万元、耕地占用税1720.735万元、耕地开垦费203.434万元、稳评编制10万元、土壤调查21.632万元、附着物评估3万元</t>
  </si>
  <si>
    <t>园区投入小计</t>
  </si>
  <si>
    <t>工贸</t>
  </si>
  <si>
    <t>达南路西侧南山湾产业公园配套工程项目</t>
  </si>
  <si>
    <t>园区投入</t>
  </si>
  <si>
    <t>汕头市产业转移工业园濠江片区土地集约利用监测</t>
  </si>
  <si>
    <t>汕自然资会〔2021〕660号、区工信局编号：20210116</t>
  </si>
  <si>
    <t>新城办</t>
  </si>
  <si>
    <t>金山中学小石改造项目</t>
  </si>
  <si>
    <t>金中预留发展用地回迁户办理房产登记及其他费用</t>
  </si>
  <si>
    <t>科林路临时道路建设工程项目</t>
  </si>
  <si>
    <t>年初报后未列预算。发改有立项，项目投资大约300万元。目前已报送资料结算审</t>
  </si>
  <si>
    <t>粤鑫公司</t>
  </si>
  <si>
    <t>广澳物流园片区电力通道</t>
  </si>
  <si>
    <t>年初报后未列预算。监理费0.16万元。</t>
  </si>
  <si>
    <t>疏港大道10kv澳柏线电力通道</t>
  </si>
  <si>
    <t>年初报后未列预算。
1、工程款：项目已完成建设，由于尚未结算审核，合同价暂按预算审定工程费982422.60元计，前期已支付工程款为685145.78元，本次申请余款297276.82元。
2、设计费：项目已完成预算审核，其中工程设计费审定金额为39708.88元，前期已付金额为14700.00元，根据合同约定，本次申请合同款25008.88元。
3、物探费：项目已完成预算审核，其中物探费审定金额为9431.26元，根据合同约定，本次一次性申请合同款9431.26元。
以上三项合计：331716.96元。</t>
  </si>
  <si>
    <t>广澳物流园道路建设</t>
  </si>
  <si>
    <t>年初报后未列预算。1.质量保证金8.14万元；2.监理费5.10万元；3.设计费8.12万元。</t>
  </si>
  <si>
    <t>滨海工业区经二路</t>
  </si>
  <si>
    <t>年初报后未列预算。
1、设计费：合同金额为125000元，前期已付62500元。根据合同约定，项目已完成竣工验收，特申请合同尾款62500元。
2、监理费：项目工程结算建安造价为3622181.68元，根据合同约定，计得最终监理费为71720元，前期已付65000元。现监理服务期已满，特申请监理费尾款6720元。
以上两项合计：69220.00元。</t>
  </si>
  <si>
    <t>滨海工业区道路建设</t>
  </si>
  <si>
    <t>年初报后未列预算。
1、设计费：根据合同约定，计得最终设计费为38432.95元，前期已付30000元，未付8432.95元。                                
2、监理费：根据招标文件要求，计得项目监理费为135192.48元，前期已付119790元。现监理服务期已满，特申请监理费尾款15402.48元。      
以上两项合计：23835.43元。</t>
  </si>
  <si>
    <t>澳旺路、同盛路、三寮路道路建设</t>
  </si>
  <si>
    <t>年初报后未列预算。
1、工程款：项目已完成建设，由于尚未完成财政结算审核，最终合同价暂按预算审核工程费39945972.51元计，前期已支付工程款为32252226.45元，余款7693746.06元。                    
2、设计费：合同价为691600元，前期已付553280元，尾款138320元。                                    
3、监理费：合同价为481263元，前期已付金额为385010.40元，根据合同约定，本次申请合同余款96252.60元。      
4、检测费：合同价为936072.56元，前期已付795661.68元，余款140410.88元。  
5、施工图审查费：合同价为50934元，前期已付40747.2元，余款10186.8元。  
6、环保验收：合同价为56480.00元，前期已付28240.00元，余款28240.00元。
以上六项合计：8107156.34元。</t>
  </si>
  <si>
    <t>基建小计</t>
  </si>
  <si>
    <t>区卫生健康局办公场地改建经费</t>
  </si>
  <si>
    <t>基建</t>
  </si>
  <si>
    <t>广东省汕头市濠江区智慧型机械式公共停车楼PPP项目</t>
  </si>
  <si>
    <t>用于支付智慧型机械式公共停车楼PPP项目第三年绩效服务费等</t>
  </si>
  <si>
    <t>汕头市濠江区全区污水管网完善建设PPP项目</t>
  </si>
  <si>
    <t>用于支付全区污水管网完善建设PPP项目股权投资</t>
  </si>
  <si>
    <t>濠江“一江两岸”生态环境治理及产城融合开发建设项目</t>
  </si>
  <si>
    <t>用于支付濠江“一江两岸”生态环境治理及产城融合开发建设项目首年的股权投资</t>
  </si>
  <si>
    <t>河浦街道</t>
  </si>
  <si>
    <t>河浦街道水环境综合治理工程补助资金</t>
  </si>
  <si>
    <t>三屿围海堤（濠江段）达标加固工程</t>
  </si>
  <si>
    <t>按工程结算终审定案金额减去已付款，尚结欠734.25722万元，需列入预算调整。</t>
  </si>
  <si>
    <t>开放公园建设</t>
  </si>
  <si>
    <t>汕濠府办财函〔2019〕60号，同意开放公园项目按3592.82万元，该项目目前已到位前期费用100万元、建设资金500万元</t>
  </si>
  <si>
    <t>教育局办公楼外墙维修及屋顶补漏</t>
  </si>
  <si>
    <t>岗背小学</t>
  </si>
  <si>
    <t>岗背小学运动场和场地配套升级改造工程</t>
  </si>
  <si>
    <t>葛陈小学</t>
  </si>
  <si>
    <t>葛陈小学运动场地改造工程</t>
  </si>
  <si>
    <t>区房管所</t>
  </si>
  <si>
    <t>东湖金碧湾公租房后续配套设施建设费用</t>
  </si>
  <si>
    <t>公租房修缮</t>
  </si>
  <si>
    <t>汕濠府办函〔2022〕11号，在预留公共租赁住房经费中调剂</t>
  </si>
  <si>
    <t>濠江区博物馆装饰装修工程</t>
  </si>
  <si>
    <t>项目总投317万元，已拨267万元。汕濠府办财函〔2019〕83号</t>
  </si>
  <si>
    <t>区综合文化活动中心建设项目夹胶钢化玻璃屋面及新建冲孔板外墙装饰面工程资金</t>
  </si>
  <si>
    <t>项目总投85万元，已拨43万元。</t>
  </si>
  <si>
    <t>濠江区图书馆搬迁修缮工程包干经费</t>
  </si>
  <si>
    <t>汕濠办文〔2020〕Z3-0864号，项目总投150万元，已支付66.71万元。</t>
  </si>
  <si>
    <t>区代建中心</t>
  </si>
  <si>
    <t>汕头市濠江区亚青会基础设施及场馆改造项目（双泉公园体育馆提升改造项目及华师附属濠江实验学校9#楼体艺馆提升改造项目）</t>
  </si>
  <si>
    <t>项目总投1595万元，已拨付282万元。项目已交工验收。但因没有预算额度拨款导致项目验收资料不齐全，现在项目无法移交至区文体局，导致场馆无法对公众开放。</t>
  </si>
  <si>
    <t>汕头市濠江区亚青会改造项目（华师附属濠江实验学校足球场改造工程）</t>
  </si>
  <si>
    <t>广达大道等道路公交站亭（牌）建设项目</t>
  </si>
  <si>
    <t>项目总投255万元，已拨付161万元，尚欠款94万元。</t>
  </si>
  <si>
    <t>濠江区妇幼保健院门诊部建设工程</t>
  </si>
  <si>
    <t>项目结算审核为93.7万元，已拨付90.23万元，尚欠尾款3.47万元</t>
  </si>
  <si>
    <t>人民医院</t>
  </si>
  <si>
    <t>新住院大楼配电扩容工程</t>
  </si>
  <si>
    <t>项目总投251.56万元，已支付215.34万元，尚欠36.23万元，其中工程款25.2795万元、设计费5.29万元、监理费5.65万元。</t>
  </si>
  <si>
    <t>玉新街道</t>
  </si>
  <si>
    <t>河中路中段（岗背路段）绿化升级改造工程项目</t>
  </si>
  <si>
    <t>项目总投127.47万元，已支付21.67万元，尚欠105.8万元，上级资金尚余10万元可用。</t>
  </si>
  <si>
    <t>汕头湾南线山体亮化一期工程及箱变工程</t>
  </si>
  <si>
    <t>项目总投865.41万元，已支付834.53万元，尚欠30.88万元。</t>
  </si>
  <si>
    <t>汕头市英国领事署旧址修缮工程</t>
  </si>
  <si>
    <t>项目总投1348.54万元，已支付757万元，尚欠591.54万元。</t>
  </si>
  <si>
    <t>达濠街道</t>
  </si>
  <si>
    <t>汕头市濠江区沿江路改造升级工程</t>
  </si>
  <si>
    <t>项目总投1201.7万元，已支付586.65万元，尚欠615.05万元，上级资金尚余57万元可用。</t>
  </si>
  <si>
    <t>濠江区磊广路（珠浦工业区）人行天桥国防光缆加固维护迁改工程</t>
  </si>
  <si>
    <t>汕濠办文〔2022〕Z3—0745号，项目总投144.351461万元，已支付86.610877万元，尚欠57.740584万元。</t>
  </si>
  <si>
    <t>濠江区棚户区抢险救灾工程项目</t>
  </si>
  <si>
    <t>结算送审金额215.69万元，已支付141.11万元，剩余应付款约75万元，汕濠府办函〔2022〕11号</t>
  </si>
  <si>
    <t>汕头市濠江区人民医院旧住院楼及门诊楼改造工程</t>
  </si>
  <si>
    <t>项目总投5767.98万元，已支付1715.48万元，尚欠4052.5万元。上级资金尚余264万元可用。</t>
  </si>
  <si>
    <t>汕头市濠江区2020年“四好农村路”（河渡社区进村路等7条道路)</t>
  </si>
  <si>
    <t>项目总投3904.0992万元，已支付109.49万元，尚欠3794.61万元。</t>
  </si>
  <si>
    <t>汕头市濠江区亚青会基础设施及场馆改造项目（高尔夫俱乐部球场提升改造项目）</t>
  </si>
  <si>
    <t>《关于做好亚青会场馆建设有关工作的通知》（汕亚青委函〔2021〕82号）</t>
  </si>
  <si>
    <t>公安局</t>
  </si>
  <si>
    <t>汕头市公安局濠江分局石派出所业务用房建设补助经费</t>
  </si>
  <si>
    <t>汕濠办文〔2022〕Z3-N0041号，在预留建设前期及其他经费中调剂</t>
  </si>
  <si>
    <t>濠江东西岸堤围达标加固工程</t>
  </si>
  <si>
    <t>项目完成结算审核，共结欠工程尾款1748.821582万元（包含濠江西岸河浦南北堤工程尾款47.5万元，东岸珠浦中排闸工程尾款29.75万元），申报列入预算调整。</t>
  </si>
  <si>
    <t>濠江区（濠江干流、五南排洪沟、大坪排洪沟、北切排洪沟、水望底排洪沟）治理工程</t>
  </si>
  <si>
    <t>工程已完工验收，按工程结算终审定案金额减去已付款，尚结欠1744.619075万元需列入预算调整。</t>
  </si>
  <si>
    <t>汕头市濠江区大坪排洪沟河浦中学段改建工程</t>
  </si>
  <si>
    <t>审计整改事项，工程已完工验收，按工程结算终审定案金额减去已付款，尚结欠147.14万元需列入预算调整。</t>
  </si>
  <si>
    <t>农业农村水务局</t>
  </si>
  <si>
    <t>石街道农村生活污水治理项目经费</t>
  </si>
  <si>
    <t>政府工作会议纪要〔2020〕109期同意石街道等申请的农村生活污水治理项目 建设资金原在濠江区涉农资金统筹整合领导小组会议纪要(2020年第三期)（调剂和2021省级备案）中安排，后调剂为“涉农区级配套-农村生活污水治理项目建设”300万元和“2020年市级涉农资金”28万元中安排</t>
  </si>
  <si>
    <t>会汀港截污管道建设工程建设资金</t>
  </si>
  <si>
    <t>政府工作会议纪要〔2020〕109期同意青盐社区组织实施会汀港截污管道建设工程 建设资金原在濠江区涉农资金统筹整合领导小组会议纪要(2020年第三期)（调剂和2021省级备案）中安排 后调剂为“涉农区级配套-农村生活污水治理项目建设”300万元和“2020年市级涉农资金”28万元中安排</t>
  </si>
  <si>
    <t>国有资产投入小计</t>
  </si>
  <si>
    <t>三路一桥</t>
  </si>
  <si>
    <t>YX债务清零后需重新安排拨付项目工程款</t>
  </si>
  <si>
    <t>国有资产投入</t>
  </si>
  <si>
    <t>一路一桥</t>
  </si>
  <si>
    <t>YX债务清零后需重新安排拨付项目一期、二、三期所需工程款</t>
  </si>
  <si>
    <t>党群中心基建及采购固定资产</t>
  </si>
  <si>
    <t>项目总投1737.51万元，已支付1649.06万元，尚欠88.45万元。</t>
  </si>
  <si>
    <t>广澳街道改善乡村人居环境综合建设项目</t>
  </si>
  <si>
    <t>石街道改善乡村人居环境综合建设项目</t>
  </si>
  <si>
    <t>河浦街道改善乡村人居环境综合建设项目</t>
  </si>
  <si>
    <t>达濠街道改善乡村人居环境综合建设项目</t>
  </si>
  <si>
    <t>汕头南站第三年保函手续费</t>
  </si>
  <si>
    <t>汕头南站第三年保函手续费93.924233，其中年初预算93.84差额为842.33元，调增补齐差额。</t>
  </si>
  <si>
    <t>其他小计</t>
  </si>
  <si>
    <t>预留公共租赁住房经费</t>
  </si>
  <si>
    <t>新建、改建、收购、在市场长期租赁住房等方式筹集房源)的开支，包括投资补助、贷款贴息以及政府直接投资项目的资本金等支出，不得用于管理部门的经费开支。</t>
  </si>
  <si>
    <t>住房保障工作经费</t>
  </si>
  <si>
    <t>教师公寓、海马池、金碧湾公寓公租房物业管理费</t>
  </si>
  <si>
    <t>按采购合同约定编制预算，用于支付公租房物业管理费用，维护公租房区域内的良好秩序。
广东吉祥物业有限公司：2021.9-2021.11仍有27526.33元未付清，2021.12-2022.2、2022.3-2022.5两季度未付，每季度47526.33元，总计122578.99元；
汕头市诚信物业有限公司：2021.8-2021.10仍有10389.32元未付清，2021.11-2022.1、2022.2-2022.4、2022.5-2022.7三季度未付，每季度140442元，总计431715.32元
2022年8月-12月应付款23.55万元。
以上合计：78.98万元。</t>
  </si>
  <si>
    <t>其他地方自行试点项目收益专项债券付息支出</t>
  </si>
  <si>
    <t>其他地方自行试点项目收益专项债券发行费用支出</t>
  </si>
  <si>
    <t>国有土地使用权出让金债务还本支出</t>
  </si>
  <si>
    <t>国有土地使用权出让金债务付息支出</t>
  </si>
  <si>
    <t>国有土地使用权出让金债务发行费用支出</t>
  </si>
  <si>
    <t>土地储备专项债券还本支出</t>
  </si>
  <si>
    <t>土地储备专项债券付息支出</t>
  </si>
  <si>
    <t>土地储备专项债券发行费用支出</t>
  </si>
  <si>
    <t>土地储备项目前期经费支出</t>
  </si>
  <si>
    <t>1、2020年：评估费20万、登报费9.5万、土地出让涉及围网标识等费用9.3万元。
2、2021年未结款项：评估费35.8万、登报费7.3万、土地出让涉及围网标识等费用21万元。</t>
  </si>
  <si>
    <t>土地储备业务费补充经费</t>
  </si>
  <si>
    <t>自然资源管理业务工作与其他业务工作委托业务费</t>
  </si>
  <si>
    <t>2022年合同款274万元，2021年合同欠款128.5万元，根据区政府工作会议纪要第57期。</t>
  </si>
  <si>
    <t>执法监督经费</t>
  </si>
  <si>
    <t>日常办案费用及违法违规用地委托测量、鉴定等费用。</t>
  </si>
  <si>
    <t>卫片执法、违法用地审计图斑核实工作经费</t>
  </si>
  <si>
    <t>项目总额65万元</t>
  </si>
  <si>
    <t>濠江区农村占用耕地建房摸排工作数据处理及外业核查服务</t>
  </si>
  <si>
    <t>项目总额73万元，预计12月全部完成，目前已完成支付37万元。</t>
  </si>
  <si>
    <t>不动产登记业务经费</t>
  </si>
  <si>
    <t>项目总额256.09万元</t>
  </si>
  <si>
    <t>用于车辆运行，印刷服务，电梯、空调、电脑等办公设备维修维护，采购电脑、打印机等日常运转经费、野生动植物保护经费。</t>
  </si>
  <si>
    <t>基层自然资源管理系统建设管理</t>
  </si>
  <si>
    <t>机房与网络安全项目100万元预算，8-12月启动建设。原先机房费用，总额90万元，2020年项目欠款40万元，2021年50万元。</t>
  </si>
  <si>
    <t>濠江区国土空间基础信息平台与一张图实施监督系统</t>
  </si>
  <si>
    <t>项目总额预计300万元，2022年预计100万元。</t>
  </si>
  <si>
    <t>自然资源业务工作经费</t>
  </si>
  <si>
    <t>新增机房费用，2021年项目欠款32万元。项目总额243.8万元，法律顾问服务16万元、储备用地围档费用18.82万元、2012至2020年文书档案整理服务项目42.18万元、汕头市濠江区航空摄影测量项目30万元、2021年机房费用32万元、2022年机房与网络安全项目100万元、全民所有自然资源资产清查经费4.8万元等。</t>
  </si>
  <si>
    <t>缴纳国有土地使用权出让合同印花税1</t>
  </si>
  <si>
    <t>缴纳国有土地使用权出让合同印花税。</t>
  </si>
  <si>
    <t>推进街道辖区、工业园区低效产业用地再利用项目费用</t>
  </si>
  <si>
    <t>推进街道辖区以及工业园区低效产业用地再利用项目工作合同尾款，2020年合同欠款</t>
  </si>
  <si>
    <t>土地征收与土地出让工作经费</t>
  </si>
  <si>
    <t>增加集体经营性建设用地摸底调查项目，根据工作任务需要调增。用于包括征收土地需要支付的社会稳定风险评估费、公告费用和耕作层剥离方案编制费、出让土地需要支付的评估费、公告费用和土地供应计划编制费等。</t>
  </si>
  <si>
    <t>自然资源确权登记</t>
  </si>
  <si>
    <t>土地权属争议调处工作经费</t>
  </si>
  <si>
    <t>项目总额4.5万元，已支付1万元，待支付诉讼费3.5万元。</t>
  </si>
  <si>
    <t>年度土地变更调查</t>
  </si>
  <si>
    <t>年度变更调查项目总金额为50万元，已支付25万元，</t>
  </si>
  <si>
    <t>农村地籍调查项目</t>
  </si>
  <si>
    <t>项目已完成，尾款未支付。根据合同金额调增5.92万</t>
  </si>
  <si>
    <t>汕头市濠江区“房地一体”农村宅基地和集体建设用地确权登记发证</t>
  </si>
  <si>
    <t>项目已完成，尾款未支付。根据合同金额调增238.77万</t>
  </si>
  <si>
    <t>第三次全国土地调查</t>
  </si>
  <si>
    <t>第三次全国土地调查项目总金额为586.58万元。</t>
  </si>
  <si>
    <t>濠江区永久基本农田整改补划方案编制</t>
  </si>
  <si>
    <t>项目总额65.75万元，已支付0万元。</t>
  </si>
  <si>
    <t>耕地保护综合工作经费</t>
  </si>
  <si>
    <t>项目总额110万元，濠江区耕地恢复潜力调查评价29.88万元、汕头市濠江区耕地资源调查评价项目70万元、濠江区耕地后备资源调查评价19.74万元</t>
  </si>
  <si>
    <t>水田耕作层剥离再利用年度实施方案编制经费</t>
  </si>
  <si>
    <t>项目总额24万元，已支付0万元。</t>
  </si>
  <si>
    <t>汕头市濠江区农村建设用地拆旧复垦项目</t>
  </si>
  <si>
    <t>通过拆旧复垦，争取完成上级下达任务指标。</t>
  </si>
  <si>
    <t>2020年度汕头市濠江区河浦街道肚桥、楼下、河北、河南居委会现有耕地提质改造项目</t>
  </si>
  <si>
    <t>已转为债券支出，债券拨付3961.27万元。</t>
  </si>
  <si>
    <t>围填海历史遗留问题生态保护修复项目</t>
  </si>
  <si>
    <t>项目总额330.06万元，已支付19万元。</t>
  </si>
  <si>
    <t>农村保洁员工资待遇保障补助区级配套</t>
  </si>
  <si>
    <t>按市级要求配套</t>
  </si>
  <si>
    <t>排水设施管养及内涝布防抢险项目</t>
  </si>
  <si>
    <t>原年初预算功能科目2120899[其他国有土地使用权出让收入安排的支出]调整为2121301[城市公共设施]</t>
  </si>
  <si>
    <t>市政设施购买服务管养维护经费</t>
  </si>
  <si>
    <t>濠江区道路环卫作业市场化管理采购项目</t>
  </si>
  <si>
    <t>原年初预算功能科目2120899[其他国有土地使用权出让收入安排的支出]调整为2121302[城市环境卫生]</t>
  </si>
  <si>
    <t>扶持村级集体经济发展试点区级配套资金</t>
  </si>
  <si>
    <t>该项资金为2020、2021年度区级预算资金，因该项目在申报获得中央和省补助资金4500万元时，明确要求配套财政资金。目前大部分项目已实施完成。</t>
  </si>
  <si>
    <t>乡村振兴战略实绩考核区级奖励资金</t>
  </si>
  <si>
    <t>驻镇帮镇扶村区级配套（2021-2022年）</t>
  </si>
  <si>
    <t>帮扶资金由市、区按1:1分担比例筹集，2021年-2022年市级配套安排资金3834万元，区级配套安排资金2300万元，缺口1534万元，申请调增</t>
  </si>
  <si>
    <t>区级涉农资金配套</t>
  </si>
  <si>
    <t>2022年区级涉农资金</t>
  </si>
  <si>
    <t>基本农田保护经济补偿区级补助资金</t>
  </si>
  <si>
    <t>审计整改事项，拖欠2020-2021年度基本农田保护经济补偿区级补助资金，先安排2020年度</t>
  </si>
  <si>
    <t>重点水利项目协调经费</t>
  </si>
  <si>
    <t>重点水利项目其他经费</t>
  </si>
  <si>
    <t>职教中心</t>
  </si>
  <si>
    <t>购置新建学生宿舍楼和综合实训楼及周边监控设备及网络设备项目</t>
  </si>
  <si>
    <t>购置新建学生宿舍楼和综合实训楼空气能热水系统设备项目</t>
  </si>
  <si>
    <t>广澳港区“两搬”工作其他经费</t>
  </si>
  <si>
    <t>汕濠办文〔2021〕Z3-2260号，广澳乡镇渔港罚没</t>
  </si>
  <si>
    <t>实地测量和定点放桩费用</t>
  </si>
  <si>
    <t>两院一中心项目委托汕头市濠江区规划测绘院对国有建设用地进行实地测量和定点放桩，已测绘出图完毕，需缴费相关费用（测绘款项缴款通知书）</t>
  </si>
  <si>
    <t>濠江区海绵城市设计审查</t>
  </si>
  <si>
    <t>根据《汕头市海绵城市建设工作领导小组办公室会议纪要》（2022-3），各区县（含功能区）要加快委托第三方技术服务单位开展海绵城市专项规划和实施方案的编制工作，落实海绵城市建设项目审查</t>
  </si>
  <si>
    <t>金山中学西校区学生宿舍毗邻3处居民楼评估</t>
  </si>
  <si>
    <t>汕头市濠江区2022年度土地征收成片开发方案</t>
  </si>
  <si>
    <t>根据相关文件要求,涉及房地产开发、工业园区、产业发展等经营性用地，必须纳入土地成片开发范围才能够征收。结合全区2022年度土地征收计划，委托资质单位编制开发方案并经省政府审批同意</t>
  </si>
  <si>
    <t>南山湾文旅综合体租赁项目</t>
  </si>
  <si>
    <t>租赁范围测绘费用10.2177万元</t>
  </si>
  <si>
    <t>汕头市濠江区集体土地所有权登记发证数据治理工作</t>
  </si>
  <si>
    <t>根据上级要求开展相关工作，项目已完成待支付。根据合同金额调增</t>
  </si>
  <si>
    <t>法律服务</t>
  </si>
  <si>
    <t>行政诉讼案件律师服务费，根据工作任务需要调增</t>
  </si>
  <si>
    <t>耕地占用税</t>
  </si>
  <si>
    <t>用于缴纳耕地占用税（汕头市濠江区2015年度第九批次城市建设用地农用地转用和土地征收实施方案）</t>
  </si>
  <si>
    <t>濠江区2022年度耕地卫片监督和耕地流出排查工作</t>
  </si>
  <si>
    <t>自然资源部办公厅关于印发《耕地卫片监督方案（试行）》的通知（自然资办发〔2021〕 32号 ）</t>
  </si>
  <si>
    <t>濠江区2022年度耕地“进出平衡”工作</t>
  </si>
  <si>
    <t>关于组织开展2022年度耕地“进出平衡”等有关工作的函（汕自然资函〔2022〕155 ）</t>
  </si>
  <si>
    <t>濠江区2020和2021年度耕地资源质量分类更新与监测工作实施方案</t>
  </si>
  <si>
    <t>广东省自然资源厅关于印发《广东省2020和2021年度耕地资源质量分类更新与监测工作实施方案》的通知</t>
  </si>
  <si>
    <t>广澳后江乡镇渔港建设项目港池、蓄水用海、透水构筑物用海海域使用金</t>
  </si>
  <si>
    <r>
      <rPr>
        <sz val="11"/>
        <rFont val="宋体"/>
        <charset val="134"/>
        <scheme val="minor"/>
      </rPr>
      <t>根据汕濠自然资办文</t>
    </r>
    <r>
      <rPr>
        <sz val="11"/>
        <rFont val="宋体"/>
        <charset val="134"/>
      </rPr>
      <t>〔2020〕HY-51号，广澳后江乡镇渔港建设项目港池、护岸、滑道、码头使用海域等列为三等，海域使用期限为2020年10月27日至2060年10月9日，街道每年需缴纳海域使用金86467.11元。</t>
    </r>
  </si>
  <si>
    <t>预留土地基金相关项目资金小计</t>
  </si>
  <si>
    <t>国资预留经费</t>
  </si>
  <si>
    <t>预留资金</t>
  </si>
  <si>
    <t>预留建设前期及其他经费</t>
  </si>
  <si>
    <t>预留土地收储平整资金</t>
  </si>
  <si>
    <t>预留亚青会相关经费</t>
  </si>
  <si>
    <t>二、城市基础设施配套费支出（市政路灯管养、保洁、规划编制项目）合计</t>
  </si>
  <si>
    <t>区环卫中心</t>
  </si>
  <si>
    <t>南山湾绿道沙滩管养经费</t>
  </si>
  <si>
    <t>配套费</t>
  </si>
  <si>
    <t>濠江区园区道路环卫作业市场化管理采购项目</t>
  </si>
  <si>
    <t>公厕管理项目</t>
  </si>
  <si>
    <t>全区生活垃圾前端转运项目</t>
  </si>
  <si>
    <t>全区生活垃圾后端转运项目</t>
  </si>
  <si>
    <t>环卫作业市场化管理经费（主次干道清扫保洁项目）</t>
  </si>
  <si>
    <t>区市政所</t>
  </si>
  <si>
    <t>市政设施路灯电费</t>
  </si>
  <si>
    <t>疏港大道助航标志养护经费</t>
  </si>
  <si>
    <t>濠江区老旧小区改造规划（2021-2025年）编制费用</t>
  </si>
  <si>
    <t>《转发关于做好2021年城镇老旧小区改造工作的通知》（汕住建〔2021〕72号）</t>
  </si>
  <si>
    <t>专项债券项目实施方案编制服务</t>
  </si>
  <si>
    <t>委托事务所进行专项债券项目实施方案编制服务</t>
  </si>
  <si>
    <t>濠江区国土空间生态修复规划(2020-2035年)编制工作方案</t>
  </si>
  <si>
    <t>项目总额60万元，2022年度工作任务。</t>
  </si>
  <si>
    <t>濠江区土地利用总体规划调整完善</t>
  </si>
  <si>
    <t>项目总额57万元，项目已于2021年完成，待财政资金下达支付。</t>
  </si>
  <si>
    <t>控制性详细规划修编事项</t>
  </si>
  <si>
    <t>项目总额440万元，其中2021年已完成待支付280万元，2022年160万元。</t>
  </si>
  <si>
    <t>汕头市濠江区“一江两岸”城市设计整合优化及开发建设行动计划</t>
  </si>
  <si>
    <t>用于开展汕头市濠江区“一江两岸”198.37公顷的控制性详细规划修编研究编制，项目合同总价90万元，项目已完成，已支付10万元，剩余80万元待财政资金下达支付。</t>
  </si>
  <si>
    <t>汕头市国土空间总体规划濠江区发展规划大纲（2020-2035年）</t>
  </si>
  <si>
    <t>2022年项目需100万元，项目已完成初步成果，根据市局要求进一步优化。</t>
  </si>
  <si>
    <t>规划管理工作经费</t>
  </si>
  <si>
    <t>根据部门职能，用于开展规划管理相关工作，打印重要会议文本材料以及各类专家论证会、评审会、规委会专家评审费用等。</t>
  </si>
  <si>
    <t>濠江区海绵城市专项规划与详细规划</t>
  </si>
  <si>
    <t>根据《汕头市自然资源局系统化推进海绵城市建设工作方案》、《濠江区海绵城市任务分解表》，为推动海绵城市建设，需开展《濠江区海绵城市专项规划》、《濠江区海绵城市详细规划》编制等工作。</t>
  </si>
  <si>
    <t>预留城市基础设施配套费</t>
  </si>
  <si>
    <t>六大园区水土保持方案编制费</t>
  </si>
  <si>
    <t>汕濠办文〔2019〕Z4-2607号</t>
  </si>
  <si>
    <t>三、彩票公益金支出合计</t>
  </si>
  <si>
    <t>福彩公益金</t>
  </si>
  <si>
    <t>残疾人医疗康复救助基金区级配套</t>
  </si>
  <si>
    <t>福彩公益金用于养老服务体系</t>
  </si>
  <si>
    <t>医保分局</t>
  </si>
  <si>
    <t>城乡医疗救助</t>
  </si>
  <si>
    <t>四、2021年暂付款调整为支出</t>
  </si>
  <si>
    <t>消化2021年暂付款</t>
  </si>
  <si>
    <t>五、上年专项结转支出</t>
  </si>
  <si>
    <t>2021年上级专项结转13522万元，2021年专项债券结转7156万元</t>
  </si>
  <si>
    <t>六、专项债券支出</t>
  </si>
  <si>
    <t>七、调出资金</t>
  </si>
  <si>
    <t>调入公共财政预算统筹安排</t>
  </si>
  <si>
    <t>附表9</t>
  </si>
  <si>
    <t>汕头市濠江区2022年社会保险基金预算收入计划调整表</t>
  </si>
  <si>
    <t>截止7月执行数</t>
  </si>
  <si>
    <t>一.社会保险基金预算收入</t>
  </si>
  <si>
    <t xml:space="preserve">     城乡居民基本养老保险基金收入</t>
  </si>
  <si>
    <t xml:space="preserve">       城乡居民基本养老保险基金缴费收入</t>
  </si>
  <si>
    <t xml:space="preserve">       城乡居民基本养老保险基金财政补贴收入</t>
  </si>
  <si>
    <t xml:space="preserve">       城乡居民基本养老保险基金利息收入</t>
  </si>
  <si>
    <t xml:space="preserve">       城乡居民基本养老保险基金委托投资收益</t>
  </si>
  <si>
    <t xml:space="preserve">       城乡居民基本养老保险基金集体补助收入</t>
  </si>
  <si>
    <t xml:space="preserve">       城乡居民基本养老保险基金转移收入</t>
  </si>
  <si>
    <t xml:space="preserve">       城乡居民基本养老保险基金其他收入</t>
  </si>
  <si>
    <t xml:space="preserve">    机关事业单位基本养老保险基金收入</t>
  </si>
  <si>
    <t xml:space="preserve">       机关事业单位基本养老保险费收入</t>
  </si>
  <si>
    <t xml:space="preserve">       机关事业单位基本养老保险基金财政补助收入</t>
  </si>
  <si>
    <t xml:space="preserve">       机关事业单位基本养老保险基金利息收入</t>
  </si>
  <si>
    <t xml:space="preserve">       机关事业单位基本养老保险基金转移收入</t>
  </si>
  <si>
    <t xml:space="preserve">       机关事业单位基本养老保险基金其他收入</t>
  </si>
  <si>
    <t xml:space="preserve">     上年结余收入</t>
  </si>
  <si>
    <t xml:space="preserve">        城乡养老保险</t>
  </si>
  <si>
    <t xml:space="preserve">        机关养老保险</t>
  </si>
  <si>
    <t xml:space="preserve">     城乡居民基本养老保险基金上级补助收入</t>
  </si>
  <si>
    <t xml:space="preserve">     机关事业单位基本养老保险基金上级补助收入</t>
  </si>
  <si>
    <t>社会保险基金预算收入合计</t>
  </si>
  <si>
    <t>附表12</t>
  </si>
  <si>
    <t>附表10</t>
  </si>
  <si>
    <t>汕头市濠江区2022年社会保险基金预算支出计划调整表</t>
  </si>
  <si>
    <t>科目分类</t>
  </si>
  <si>
    <t>7月执行数</t>
  </si>
  <si>
    <t>209</t>
  </si>
  <si>
    <t>一、社会保险基金预算支出</t>
  </si>
  <si>
    <t>20910</t>
  </si>
  <si>
    <t xml:space="preserve">   城乡居民基本养老保险基金支出</t>
  </si>
  <si>
    <t>2091001</t>
  </si>
  <si>
    <t xml:space="preserve">     基础养老金支出</t>
  </si>
  <si>
    <t>2091002</t>
  </si>
  <si>
    <t xml:space="preserve">     个人账户养老金支出</t>
  </si>
  <si>
    <t>2091099</t>
  </si>
  <si>
    <t xml:space="preserve">     丧葬抚恤补贴支出</t>
  </si>
  <si>
    <t xml:space="preserve">     转移支出</t>
  </si>
  <si>
    <t xml:space="preserve">     其他支出</t>
  </si>
  <si>
    <t xml:space="preserve">   机关事业单位基本养老保险基金支出</t>
  </si>
  <si>
    <t xml:space="preserve">     基本养老金支出</t>
  </si>
  <si>
    <t>二、转移性支出</t>
  </si>
  <si>
    <t xml:space="preserve">   城乡居民基本养老保险基金上解上级支出</t>
  </si>
  <si>
    <t xml:space="preserve">   机关事业单位基本养老保险基金上解上级支出</t>
  </si>
  <si>
    <t>2300903</t>
  </si>
  <si>
    <t xml:space="preserve">   社会保险基金预算年终结余</t>
  </si>
  <si>
    <t xml:space="preserve">      城乡养老保险年终结余</t>
  </si>
  <si>
    <t xml:space="preserve">      机关养老保险年终结余</t>
  </si>
  <si>
    <t>社会保险基金预算支出合计</t>
  </si>
  <si>
    <t>附表11</t>
  </si>
  <si>
    <t>汕头市濠江区新增债券资金用途调整明细表</t>
  </si>
  <si>
    <t>地市</t>
  </si>
  <si>
    <t>债券全称</t>
  </si>
  <si>
    <t>发行年度</t>
  </si>
  <si>
    <t>债券类型</t>
  </si>
  <si>
    <t>原项目信息</t>
  </si>
  <si>
    <t>调整情形</t>
  </si>
  <si>
    <t>拟调整项目信息</t>
  </si>
  <si>
    <t>县区</t>
  </si>
  <si>
    <t>项目主管部门</t>
  </si>
  <si>
    <t>项目建设单位</t>
  </si>
  <si>
    <t>建设状态</t>
  </si>
  <si>
    <t>本次拟调整用途金额</t>
  </si>
  <si>
    <t>其中：用于项目资本金金额</t>
  </si>
  <si>
    <t>项目类型</t>
  </si>
  <si>
    <t>本次拟安排债券金额</t>
  </si>
  <si>
    <t>汕头市</t>
  </si>
  <si>
    <t>2022年广东省政府专项债券（二十四期）</t>
  </si>
  <si>
    <t>其他专项债券</t>
  </si>
  <si>
    <t>濠江区</t>
  </si>
  <si>
    <t>濠江区学前教育园舍及配套设施建设项目</t>
  </si>
  <si>
    <t>汕头市濠江区教育局</t>
  </si>
  <si>
    <t>在建</t>
  </si>
  <si>
    <t>项目实施过程重大变化导致资金需求减少</t>
  </si>
  <si>
    <t>汕头海上风电产业园基础设施配套项目</t>
  </si>
  <si>
    <t>市政与产业园区基础设施项目</t>
  </si>
  <si>
    <t>2022年广东省政府专项债券（二十九期）</t>
  </si>
  <si>
    <t>汕头市台商投资区（濠江区二期）市政配套工程、台商投资区产业公园（一期）</t>
  </si>
  <si>
    <t>汕头市南山湾科技产业园区开发建设办公室</t>
  </si>
</sst>
</file>

<file path=xl/styles.xml><?xml version="1.0" encoding="utf-8"?>
<styleSheet xmlns="http://schemas.openxmlformats.org/spreadsheetml/2006/main" xmlns:mc="http://schemas.openxmlformats.org/markup-compatibility/2006" xmlns:xr9="http://schemas.microsoft.com/office/spreadsheetml/2016/revision9" mc:Ignorable="xr9">
  <numFmts count="13">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 #,##0.00_-;_-* &quot;-&quot;??_-;_-@_-"/>
    <numFmt numFmtId="177" formatCode="#,##0.00_ "/>
    <numFmt numFmtId="178" formatCode="0_ "/>
    <numFmt numFmtId="179" formatCode="#,##0_ "/>
    <numFmt numFmtId="180" formatCode="00000"/>
    <numFmt numFmtId="181" formatCode="0_);[Red]\(0\)"/>
    <numFmt numFmtId="182" formatCode="0.00_ "/>
    <numFmt numFmtId="183" formatCode="0.00_ ;[Red]\-0.00\ "/>
    <numFmt numFmtId="184" formatCode="0.00_);[Red]\(0.00\)"/>
  </numFmts>
  <fonts count="70">
    <font>
      <sz val="12"/>
      <name val="宋体"/>
      <charset val="134"/>
    </font>
    <font>
      <sz val="11"/>
      <name val="宋体"/>
      <charset val="134"/>
    </font>
    <font>
      <sz val="20"/>
      <color theme="1"/>
      <name val="宋体"/>
      <charset val="134"/>
      <scheme val="major"/>
    </font>
    <font>
      <b/>
      <sz val="11"/>
      <color theme="1"/>
      <name val="宋体"/>
      <charset val="134"/>
      <scheme val="minor"/>
    </font>
    <font>
      <b/>
      <sz val="11"/>
      <name val="宋体"/>
      <charset val="134"/>
    </font>
    <font>
      <b/>
      <sz val="20"/>
      <color theme="1"/>
      <name val="宋体"/>
      <charset val="134"/>
      <scheme val="major"/>
    </font>
    <font>
      <sz val="11"/>
      <color theme="1"/>
      <name val="宋体"/>
      <charset val="134"/>
      <scheme val="minor"/>
    </font>
    <font>
      <sz val="9"/>
      <name val="宋体"/>
      <charset val="134"/>
    </font>
    <font>
      <b/>
      <sz val="12"/>
      <name val="宋体"/>
      <charset val="134"/>
    </font>
    <font>
      <b/>
      <sz val="20"/>
      <name val="宋体"/>
      <charset val="134"/>
    </font>
    <font>
      <b/>
      <sz val="9"/>
      <name val="宋体"/>
      <charset val="134"/>
    </font>
    <font>
      <b/>
      <sz val="14"/>
      <name val="宋体"/>
      <charset val="134"/>
    </font>
    <font>
      <sz val="14"/>
      <name val="宋体"/>
      <charset val="134"/>
    </font>
    <font>
      <b/>
      <sz val="11"/>
      <color indexed="8"/>
      <name val="宋体"/>
      <charset val="134"/>
    </font>
    <font>
      <b/>
      <sz val="12"/>
      <color indexed="8"/>
      <name val="宋体"/>
      <charset val="134"/>
    </font>
    <font>
      <sz val="12"/>
      <color theme="1"/>
      <name val="宋体"/>
      <charset val="134"/>
    </font>
    <font>
      <b/>
      <sz val="12"/>
      <color theme="1"/>
      <name val="宋体"/>
      <charset val="134"/>
    </font>
    <font>
      <b/>
      <sz val="11"/>
      <color theme="1"/>
      <name val="宋体"/>
      <charset val="134"/>
    </font>
    <font>
      <sz val="11"/>
      <color theme="1"/>
      <name val="宋体"/>
      <charset val="134"/>
    </font>
    <font>
      <sz val="10"/>
      <color theme="1"/>
      <name val="宋体"/>
      <charset val="134"/>
      <scheme val="minor"/>
    </font>
    <font>
      <sz val="11"/>
      <name val="宋体"/>
      <charset val="134"/>
      <scheme val="minor"/>
    </font>
    <font>
      <sz val="10"/>
      <color theme="1"/>
      <name val="宋体"/>
      <charset val="134"/>
    </font>
    <font>
      <sz val="11"/>
      <color theme="1"/>
      <name val="Times New Roman"/>
      <charset val="134"/>
    </font>
    <font>
      <sz val="11"/>
      <color rgb="FFFF0000"/>
      <name val="宋体"/>
      <charset val="134"/>
    </font>
    <font>
      <sz val="10"/>
      <color rgb="FFFF0000"/>
      <name val="宋体"/>
      <charset val="134"/>
      <scheme val="minor"/>
    </font>
    <font>
      <sz val="11"/>
      <color theme="1"/>
      <name val="宋体"/>
      <charset val="134"/>
      <scheme val="major"/>
    </font>
    <font>
      <sz val="11"/>
      <name val="宋体"/>
      <charset val="134"/>
      <scheme val="major"/>
    </font>
    <font>
      <sz val="20"/>
      <color theme="1"/>
      <name val="宋体"/>
      <charset val="134"/>
      <scheme val="minor"/>
    </font>
    <font>
      <sz val="10"/>
      <name val="宋体"/>
      <charset val="134"/>
    </font>
    <font>
      <b/>
      <sz val="10"/>
      <name val="宋体"/>
      <charset val="134"/>
    </font>
    <font>
      <b/>
      <sz val="20"/>
      <name val="宋体"/>
      <charset val="134"/>
      <scheme val="minor"/>
    </font>
    <font>
      <sz val="9"/>
      <name val="宋体"/>
      <charset val="134"/>
      <scheme val="minor"/>
    </font>
    <font>
      <sz val="10"/>
      <name val="Times New Roman"/>
      <charset val="134"/>
    </font>
    <font>
      <sz val="20"/>
      <name val="宋体"/>
      <charset val="134"/>
      <scheme val="minor"/>
    </font>
    <font>
      <sz val="9"/>
      <color theme="1"/>
      <name val="宋体"/>
      <charset val="134"/>
      <scheme val="minor"/>
    </font>
    <font>
      <b/>
      <sz val="12"/>
      <color theme="1"/>
      <name val="Tahoma"/>
      <charset val="134"/>
    </font>
    <font>
      <b/>
      <sz val="11"/>
      <color theme="1"/>
      <name val="Tahoma"/>
      <charset val="134"/>
    </font>
    <font>
      <sz val="11"/>
      <color theme="1"/>
      <name val="仿宋"/>
      <charset val="134"/>
    </font>
    <font>
      <sz val="10"/>
      <name val="宋体"/>
      <charset val="134"/>
      <scheme val="minor"/>
    </font>
    <font>
      <sz val="11"/>
      <name val="Times New Roman"/>
      <charset val="134"/>
    </font>
    <font>
      <sz val="20"/>
      <name val="宋体"/>
      <charset val="134"/>
    </font>
    <font>
      <sz val="11"/>
      <color indexed="8"/>
      <name val="宋体"/>
      <charset val="134"/>
    </font>
    <font>
      <b/>
      <sz val="11"/>
      <name val="宋体"/>
      <charset val="134"/>
      <scheme val="minor"/>
    </font>
    <font>
      <b/>
      <sz val="11"/>
      <name val="Times New Roman"/>
      <charset val="134"/>
    </font>
    <font>
      <sz val="16"/>
      <name val="宋体"/>
      <charset val="134"/>
    </font>
    <font>
      <b/>
      <sz val="2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9"/>
      <name val="宋体"/>
      <charset val="134"/>
    </font>
    <font>
      <b/>
      <sz val="9"/>
      <name val="宋体"/>
      <charset val="134"/>
    </font>
    <font>
      <b/>
      <sz val="9"/>
      <name val="Tahoma"/>
      <charset val="134"/>
    </font>
    <font>
      <sz val="9"/>
      <name val="Tahoma"/>
      <charset val="134"/>
    </font>
  </fonts>
  <fills count="39">
    <fill>
      <patternFill patternType="none"/>
    </fill>
    <fill>
      <patternFill patternType="gray125"/>
    </fill>
    <fill>
      <patternFill patternType="solid">
        <fgColor theme="6" tint="0.599993896298105"/>
        <bgColor indexed="64"/>
      </patternFill>
    </fill>
    <fill>
      <patternFill patternType="solid">
        <fgColor rgb="FFFF0000"/>
        <bgColor indexed="64"/>
      </patternFill>
    </fill>
    <fill>
      <patternFill patternType="solid">
        <fgColor theme="0" tint="-0.25"/>
        <bgColor indexed="64"/>
      </patternFill>
    </fill>
    <fill>
      <patternFill patternType="solid">
        <fgColor theme="6" tint="0.6"/>
        <bgColor indexed="64"/>
      </patternFill>
    </fill>
    <fill>
      <patternFill patternType="solid">
        <fgColor theme="0"/>
        <bgColor indexed="64"/>
      </patternFill>
    </fill>
    <fill>
      <patternFill patternType="solid">
        <fgColor rgb="FFFFFF00"/>
        <bgColor indexed="64"/>
      </patternFill>
    </fill>
    <fill>
      <patternFill patternType="solid">
        <fgColor theme="0" tint="-0.1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right/>
      <top/>
      <bottom style="thin">
        <color indexed="8"/>
      </bottom>
      <diagonal/>
    </border>
    <border>
      <left style="thin">
        <color rgb="FF000000"/>
      </left>
      <right style="thin">
        <color rgb="FF000000"/>
      </right>
      <top/>
      <bottom style="thin">
        <color rgb="FF000000"/>
      </bottom>
      <diagonal/>
    </border>
    <border>
      <left/>
      <right/>
      <top style="thin">
        <color auto="1"/>
      </top>
      <bottom style="thin">
        <color auto="1"/>
      </bottom>
      <diagonal/>
    </border>
    <border>
      <left/>
      <right style="thin">
        <color indexed="8"/>
      </right>
      <top/>
      <bottom style="thin">
        <color indexed="8"/>
      </bottom>
      <diagonal/>
    </border>
    <border>
      <left style="thin">
        <color indexed="0"/>
      </left>
      <right style="thin">
        <color indexed="0"/>
      </right>
      <top/>
      <bottom style="thin">
        <color indexed="0"/>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right/>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indexed="8"/>
      </right>
      <top style="thin">
        <color indexed="8"/>
      </top>
      <bottom style="thin">
        <color indexed="8"/>
      </bottom>
      <diagonal/>
    </border>
    <border>
      <left/>
      <right style="thin">
        <color auto="1"/>
      </right>
      <top style="thin">
        <color auto="1"/>
      </top>
      <bottom/>
      <diagonal/>
    </border>
    <border>
      <left style="thin">
        <color auto="1"/>
      </left>
      <right style="thin">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3650">
    <xf numFmtId="0" fontId="0" fillId="0" borderId="0"/>
    <xf numFmtId="43" fontId="0" fillId="0" borderId="0" applyFont="0" applyFill="0" applyBorder="0" applyAlignment="0" applyProtection="0"/>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6" fillId="9" borderId="21" applyNumberFormat="0" applyFont="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22" applyNumberFormat="0" applyFill="0" applyAlignment="0" applyProtection="0">
      <alignment vertical="center"/>
    </xf>
    <xf numFmtId="0" fontId="52" fillId="0" borderId="22" applyNumberFormat="0" applyFill="0" applyAlignment="0" applyProtection="0">
      <alignment vertical="center"/>
    </xf>
    <xf numFmtId="0" fontId="53" fillId="0" borderId="23" applyNumberFormat="0" applyFill="0" applyAlignment="0" applyProtection="0">
      <alignment vertical="center"/>
    </xf>
    <xf numFmtId="0" fontId="53" fillId="0" borderId="0" applyNumberFormat="0" applyFill="0" applyBorder="0" applyAlignment="0" applyProtection="0">
      <alignment vertical="center"/>
    </xf>
    <xf numFmtId="0" fontId="54" fillId="10" borderId="24" applyNumberFormat="0" applyAlignment="0" applyProtection="0">
      <alignment vertical="center"/>
    </xf>
    <xf numFmtId="0" fontId="55" fillId="11" borderId="25" applyNumberFormat="0" applyAlignment="0" applyProtection="0">
      <alignment vertical="center"/>
    </xf>
    <xf numFmtId="0" fontId="56" fillId="11" borderId="24" applyNumberFormat="0" applyAlignment="0" applyProtection="0">
      <alignment vertical="center"/>
    </xf>
    <xf numFmtId="0" fontId="57" fillId="12" borderId="26" applyNumberFormat="0" applyAlignment="0" applyProtection="0">
      <alignment vertical="center"/>
    </xf>
    <xf numFmtId="0" fontId="58" fillId="0" borderId="27" applyNumberFormat="0" applyFill="0" applyAlignment="0" applyProtection="0">
      <alignment vertical="center"/>
    </xf>
    <xf numFmtId="0" fontId="59" fillId="0" borderId="28" applyNumberFormat="0" applyFill="0" applyAlignment="0" applyProtection="0">
      <alignment vertical="center"/>
    </xf>
    <xf numFmtId="0" fontId="60" fillId="13" borderId="0" applyNumberFormat="0" applyBorder="0" applyAlignment="0" applyProtection="0">
      <alignment vertical="center"/>
    </xf>
    <xf numFmtId="0" fontId="61" fillId="14" borderId="0" applyNumberFormat="0" applyBorder="0" applyAlignment="0" applyProtection="0">
      <alignment vertical="center"/>
    </xf>
    <xf numFmtId="0" fontId="62" fillId="15" borderId="0" applyNumberFormat="0" applyBorder="0" applyAlignment="0" applyProtection="0">
      <alignment vertical="center"/>
    </xf>
    <xf numFmtId="0" fontId="63" fillId="16" borderId="0" applyNumberFormat="0" applyBorder="0" applyAlignment="0" applyProtection="0">
      <alignment vertical="center"/>
    </xf>
    <xf numFmtId="0" fontId="64" fillId="17" borderId="0" applyNumberFormat="0" applyBorder="0" applyAlignment="0" applyProtection="0">
      <alignment vertical="center"/>
    </xf>
    <xf numFmtId="0" fontId="64" fillId="18" borderId="0" applyNumberFormat="0" applyBorder="0" applyAlignment="0" applyProtection="0">
      <alignment vertical="center"/>
    </xf>
    <xf numFmtId="0" fontId="63" fillId="19" borderId="0" applyNumberFormat="0" applyBorder="0" applyAlignment="0" applyProtection="0">
      <alignment vertical="center"/>
    </xf>
    <xf numFmtId="0" fontId="63" fillId="20" borderId="0" applyNumberFormat="0" applyBorder="0" applyAlignment="0" applyProtection="0">
      <alignment vertical="center"/>
    </xf>
    <xf numFmtId="0" fontId="64" fillId="21" borderId="0" applyNumberFormat="0" applyBorder="0" applyAlignment="0" applyProtection="0">
      <alignment vertical="center"/>
    </xf>
    <xf numFmtId="0" fontId="64" fillId="22" borderId="0" applyNumberFormat="0" applyBorder="0" applyAlignment="0" applyProtection="0">
      <alignment vertical="center"/>
    </xf>
    <xf numFmtId="0" fontId="63" fillId="23" borderId="0" applyNumberFormat="0" applyBorder="0" applyAlignment="0" applyProtection="0">
      <alignment vertical="center"/>
    </xf>
    <xf numFmtId="0" fontId="63" fillId="24" borderId="0" applyNumberFormat="0" applyBorder="0" applyAlignment="0" applyProtection="0">
      <alignment vertical="center"/>
    </xf>
    <xf numFmtId="0" fontId="64" fillId="25" borderId="0" applyNumberFormat="0" applyBorder="0" applyAlignment="0" applyProtection="0">
      <alignment vertical="center"/>
    </xf>
    <xf numFmtId="0" fontId="64" fillId="2" borderId="0" applyNumberFormat="0" applyBorder="0" applyAlignment="0" applyProtection="0">
      <alignment vertical="center"/>
    </xf>
    <xf numFmtId="0" fontId="63" fillId="26" borderId="0" applyNumberFormat="0" applyBorder="0" applyAlignment="0" applyProtection="0">
      <alignment vertical="center"/>
    </xf>
    <xf numFmtId="0" fontId="63" fillId="27" borderId="0" applyNumberFormat="0" applyBorder="0" applyAlignment="0" applyProtection="0">
      <alignment vertical="center"/>
    </xf>
    <xf numFmtId="0" fontId="64" fillId="28" borderId="0" applyNumberFormat="0" applyBorder="0" applyAlignment="0" applyProtection="0">
      <alignment vertical="center"/>
    </xf>
    <xf numFmtId="0" fontId="64" fillId="29" borderId="0" applyNumberFormat="0" applyBorder="0" applyAlignment="0" applyProtection="0">
      <alignment vertical="center"/>
    </xf>
    <xf numFmtId="0" fontId="63" fillId="30" borderId="0" applyNumberFormat="0" applyBorder="0" applyAlignment="0" applyProtection="0">
      <alignment vertical="center"/>
    </xf>
    <xf numFmtId="0" fontId="63" fillId="31" borderId="0" applyNumberFormat="0" applyBorder="0" applyAlignment="0" applyProtection="0">
      <alignment vertical="center"/>
    </xf>
    <xf numFmtId="0" fontId="64" fillId="32" borderId="0" applyNumberFormat="0" applyBorder="0" applyAlignment="0" applyProtection="0">
      <alignment vertical="center"/>
    </xf>
    <xf numFmtId="0" fontId="64" fillId="33" borderId="0" applyNumberFormat="0" applyBorder="0" applyAlignment="0" applyProtection="0">
      <alignment vertical="center"/>
    </xf>
    <xf numFmtId="0" fontId="63" fillId="34" borderId="0" applyNumberFormat="0" applyBorder="0" applyAlignment="0" applyProtection="0">
      <alignment vertical="center"/>
    </xf>
    <xf numFmtId="0" fontId="63" fillId="35" borderId="0" applyNumberFormat="0" applyBorder="0" applyAlignment="0" applyProtection="0">
      <alignment vertical="center"/>
    </xf>
    <xf numFmtId="0" fontId="64" fillId="36" borderId="0" applyNumberFormat="0" applyBorder="0" applyAlignment="0" applyProtection="0">
      <alignment vertical="center"/>
    </xf>
    <xf numFmtId="0" fontId="64" fillId="37" borderId="0" applyNumberFormat="0" applyBorder="0" applyAlignment="0" applyProtection="0">
      <alignment vertical="center"/>
    </xf>
    <xf numFmtId="0" fontId="63" fillId="38" borderId="0" applyNumberFormat="0" applyBorder="0" applyAlignment="0" applyProtection="0">
      <alignment vertical="center"/>
    </xf>
    <xf numFmtId="0" fontId="0" fillId="0" borderId="0"/>
    <xf numFmtId="0" fontId="0" fillId="0" borderId="0"/>
    <xf numFmtId="0" fontId="0" fillId="0" borderId="0"/>
    <xf numFmtId="0" fontId="28" fillId="0" borderId="0"/>
    <xf numFmtId="0" fontId="28"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0" fontId="0" fillId="0" borderId="0"/>
    <xf numFmtId="0" fontId="0" fillId="0" borderId="0">
      <alignment vertical="center"/>
    </xf>
    <xf numFmtId="43" fontId="0" fillId="0" borderId="0" applyFont="0" applyFill="0" applyBorder="0" applyAlignment="0" applyProtection="0"/>
    <xf numFmtId="0" fontId="0" fillId="0" borderId="0"/>
    <xf numFmtId="0" fontId="0" fillId="0" borderId="0"/>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0" fontId="41" fillId="0" borderId="0"/>
    <xf numFmtId="43" fontId="0" fillId="0" borderId="0" applyFont="0" applyFill="0" applyBorder="0" applyAlignment="0" applyProtection="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alignment vertical="center"/>
    </xf>
    <xf numFmtId="0" fontId="0" fillId="0" borderId="0"/>
    <xf numFmtId="0" fontId="65" fillId="0" borderId="0"/>
    <xf numFmtId="0" fontId="0" fillId="0" borderId="0"/>
    <xf numFmtId="0" fontId="28" fillId="0" borderId="0"/>
    <xf numFmtId="0" fontId="28" fillId="0" borderId="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28" fillId="0" borderId="0"/>
    <xf numFmtId="0" fontId="28" fillId="0" borderId="0"/>
    <xf numFmtId="0" fontId="0" fillId="0" borderId="0">
      <alignment vertical="center"/>
    </xf>
    <xf numFmtId="0" fontId="0" fillId="0" borderId="0">
      <alignment vertical="center"/>
    </xf>
    <xf numFmtId="0" fontId="28" fillId="0" borderId="0"/>
    <xf numFmtId="0" fontId="28" fillId="0" borderId="0"/>
    <xf numFmtId="0" fontId="0" fillId="0" borderId="0">
      <alignment vertical="center"/>
    </xf>
    <xf numFmtId="43" fontId="0" fillId="0" borderId="0" applyFont="0" applyFill="0" applyBorder="0" applyAlignment="0" applyProtection="0"/>
    <xf numFmtId="0" fontId="28" fillId="0" borderId="0"/>
    <xf numFmtId="0" fontId="28" fillId="0" borderId="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0" fontId="0" fillId="0" borderId="0">
      <alignment vertical="center"/>
    </xf>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0" fillId="0" borderId="0">
      <alignment vertical="center"/>
    </xf>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alignment vertical="center"/>
    </xf>
    <xf numFmtId="43" fontId="0" fillId="0" borderId="0" applyFont="0" applyFill="0" applyBorder="0" applyAlignment="0" applyProtection="0"/>
    <xf numFmtId="0" fontId="28" fillId="0" borderId="0"/>
    <xf numFmtId="0" fontId="28" fillId="0" borderId="0"/>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0" fontId="28" fillId="0" borderId="0"/>
    <xf numFmtId="0" fontId="28" fillId="0" borderId="0"/>
    <xf numFmtId="0" fontId="0" fillId="0" borderId="0"/>
    <xf numFmtId="43" fontId="0" fillId="0" borderId="0" applyFont="0" applyFill="0" applyBorder="0" applyAlignment="0" applyProtection="0"/>
    <xf numFmtId="43" fontId="0" fillId="0" borderId="0" applyFont="0" applyFill="0" applyBorder="0" applyAlignment="0" applyProtection="0"/>
    <xf numFmtId="0" fontId="28" fillId="0" borderId="0"/>
    <xf numFmtId="0" fontId="28" fillId="0" borderId="0"/>
    <xf numFmtId="0" fontId="0" fillId="0" borderId="0"/>
    <xf numFmtId="0" fontId="0" fillId="0" borderId="0"/>
    <xf numFmtId="0" fontId="0" fillId="0" borderId="0"/>
    <xf numFmtId="43" fontId="0" fillId="0" borderId="0" applyFont="0" applyFill="0" applyBorder="0" applyAlignment="0" applyProtection="0"/>
    <xf numFmtId="43" fontId="0" fillId="0" borderId="0" applyFont="0" applyFill="0" applyBorder="0" applyAlignment="0" applyProtection="0"/>
    <xf numFmtId="0" fontId="28" fillId="0" borderId="0"/>
    <xf numFmtId="0" fontId="28"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0" fontId="28" fillId="0" borderId="0"/>
    <xf numFmtId="0" fontId="28" fillId="0" borderId="0"/>
    <xf numFmtId="0" fontId="0" fillId="0" borderId="0"/>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0" fontId="65" fillId="0" borderId="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0" fontId="0" fillId="0" borderId="0"/>
    <xf numFmtId="43" fontId="0" fillId="0" borderId="0" applyFont="0" applyFill="0" applyBorder="0" applyAlignment="0" applyProtection="0"/>
    <xf numFmtId="43" fontId="0" fillId="0" borderId="0" applyFont="0" applyFill="0" applyBorder="0" applyAlignment="0" applyProtection="0"/>
    <xf numFmtId="0" fontId="28" fillId="0" borderId="0"/>
    <xf numFmtId="0" fontId="0" fillId="0" borderId="0">
      <alignment vertical="center"/>
    </xf>
    <xf numFmtId="0" fontId="0" fillId="0" borderId="0"/>
    <xf numFmtId="0" fontId="0" fillId="0" borderId="0"/>
    <xf numFmtId="43" fontId="0" fillId="0" borderId="0" applyFont="0" applyFill="0" applyBorder="0" applyAlignment="0" applyProtection="0"/>
    <xf numFmtId="0" fontId="0" fillId="0" borderId="0">
      <alignment vertical="center"/>
    </xf>
    <xf numFmtId="0" fontId="0" fillId="0" borderId="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0" fontId="0" fillId="0" borderId="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43" fontId="0" fillId="0" borderId="0" applyFont="0" applyFill="0" applyBorder="0" applyAlignment="0" applyProtection="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2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28"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alignment vertical="center"/>
    </xf>
    <xf numFmtId="0" fontId="0" fillId="0" borderId="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8" fillId="0" borderId="0"/>
    <xf numFmtId="43"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28" fillId="0" borderId="0"/>
    <xf numFmtId="0" fontId="28" fillId="0" borderId="0"/>
    <xf numFmtId="0" fontId="0" fillId="0" borderId="0">
      <alignment vertical="center"/>
    </xf>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28" fillId="0" borderId="0"/>
    <xf numFmtId="0" fontId="28" fillId="0" borderId="0"/>
    <xf numFmtId="0" fontId="0" fillId="0" borderId="0">
      <alignment vertical="center"/>
    </xf>
    <xf numFmtId="0" fontId="0" fillId="0" borderId="0"/>
    <xf numFmtId="43" fontId="0" fillId="0" borderId="0" applyFont="0" applyFill="0" applyBorder="0" applyAlignment="0" applyProtection="0"/>
    <xf numFmtId="0" fontId="0" fillId="0" borderId="0">
      <alignment vertical="center"/>
    </xf>
    <xf numFmtId="0" fontId="28" fillId="0" borderId="0"/>
    <xf numFmtId="0" fontId="28" fillId="0" borderId="0"/>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28" fillId="0" borderId="0"/>
    <xf numFmtId="0" fontId="28" fillId="0" borderId="0"/>
    <xf numFmtId="0" fontId="0" fillId="0" borderId="0"/>
    <xf numFmtId="0" fontId="0" fillId="0" borderId="0">
      <alignment vertical="center"/>
    </xf>
    <xf numFmtId="0" fontId="0" fillId="0" borderId="0">
      <alignment vertical="center"/>
    </xf>
    <xf numFmtId="0" fontId="28" fillId="0" borderId="0"/>
    <xf numFmtId="0" fontId="28" fillId="0" borderId="0"/>
    <xf numFmtId="0" fontId="0" fillId="0" borderId="0"/>
    <xf numFmtId="0" fontId="0" fillId="0" borderId="0">
      <alignment vertical="center"/>
    </xf>
    <xf numFmtId="0" fontId="0" fillId="0" borderId="0">
      <alignment vertical="center"/>
    </xf>
    <xf numFmtId="0" fontId="28" fillId="0" borderId="0"/>
    <xf numFmtId="0" fontId="28" fillId="0" borderId="0"/>
    <xf numFmtId="0" fontId="0" fillId="0" borderId="0"/>
    <xf numFmtId="0" fontId="28" fillId="0" borderId="0"/>
    <xf numFmtId="43" fontId="0" fillId="0" borderId="0" applyFont="0" applyFill="0" applyBorder="0" applyAlignment="0" applyProtection="0"/>
    <xf numFmtId="0" fontId="0" fillId="0" borderId="0"/>
    <xf numFmtId="0" fontId="0" fillId="0" borderId="0">
      <alignment vertical="center"/>
    </xf>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xf numFmtId="0" fontId="28" fillId="0" borderId="0"/>
    <xf numFmtId="0" fontId="28" fillId="0" borderId="0"/>
    <xf numFmtId="0" fontId="0" fillId="0" borderId="0">
      <alignment vertical="center"/>
    </xf>
    <xf numFmtId="0" fontId="0" fillId="0" borderId="0"/>
    <xf numFmtId="0" fontId="28" fillId="0" borderId="0"/>
    <xf numFmtId="0" fontId="28" fillId="0" borderId="0"/>
    <xf numFmtId="0" fontId="0" fillId="0" borderId="0">
      <alignment vertical="center"/>
    </xf>
    <xf numFmtId="0" fontId="0" fillId="0" borderId="0"/>
    <xf numFmtId="43" fontId="0" fillId="0" borderId="0" applyFont="0" applyFill="0" applyBorder="0" applyAlignment="0" applyProtection="0"/>
    <xf numFmtId="0" fontId="0" fillId="0" borderId="0"/>
    <xf numFmtId="0" fontId="28" fillId="0" borderId="0"/>
    <xf numFmtId="0" fontId="28" fillId="0" borderId="0"/>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0" fontId="28"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xf numFmtId="0" fontId="0" fillId="0" borderId="0"/>
    <xf numFmtId="0" fontId="0" fillId="0" borderId="0">
      <alignment vertical="center"/>
    </xf>
    <xf numFmtId="0" fontId="28" fillId="0" borderId="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xf numFmtId="0" fontId="0" fillId="0" borderId="0"/>
    <xf numFmtId="0" fontId="0" fillId="0" borderId="0">
      <alignment vertical="center"/>
    </xf>
    <xf numFmtId="0" fontId="28" fillId="0" borderId="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xf numFmtId="0" fontId="0" fillId="0" borderId="0"/>
    <xf numFmtId="0" fontId="0" fillId="0" borderId="0">
      <alignment vertical="center"/>
    </xf>
    <xf numFmtId="0" fontId="28"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8" fillId="0" borderId="0"/>
    <xf numFmtId="0" fontId="28" fillId="0" borderId="0"/>
    <xf numFmtId="0" fontId="0" fillId="0" borderId="0"/>
    <xf numFmtId="0" fontId="0" fillId="0" borderId="0">
      <alignment vertical="center"/>
    </xf>
    <xf numFmtId="0" fontId="0" fillId="0" borderId="0"/>
    <xf numFmtId="0" fontId="0" fillId="0" borderId="0"/>
    <xf numFmtId="0" fontId="28" fillId="0" borderId="0"/>
    <xf numFmtId="0" fontId="28" fillId="0" borderId="0"/>
    <xf numFmtId="0" fontId="0" fillId="0" borderId="0">
      <alignment vertical="center"/>
    </xf>
    <xf numFmtId="0" fontId="0" fillId="0" borderId="0"/>
    <xf numFmtId="0" fontId="0" fillId="0" borderId="0"/>
    <xf numFmtId="0" fontId="28" fillId="0" borderId="0"/>
    <xf numFmtId="0" fontId="28"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6"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0" fillId="0" borderId="0"/>
    <xf numFmtId="0" fontId="0" fillId="0" borderId="0"/>
    <xf numFmtId="0" fontId="0" fillId="0" borderId="0">
      <alignment vertical="center"/>
    </xf>
    <xf numFmtId="0" fontId="28" fillId="0" borderId="0"/>
    <xf numFmtId="0" fontId="0" fillId="0" borderId="0">
      <alignment vertical="center"/>
    </xf>
    <xf numFmtId="43" fontId="0" fillId="0" borderId="0" applyFont="0" applyFill="0" applyBorder="0" applyAlignment="0" applyProtection="0"/>
    <xf numFmtId="0" fontId="0" fillId="0" borderId="0"/>
    <xf numFmtId="0" fontId="0" fillId="0" borderId="0"/>
    <xf numFmtId="0" fontId="0" fillId="0" borderId="0">
      <alignment vertical="center"/>
    </xf>
    <xf numFmtId="0" fontId="28" fillId="0" borderId="0"/>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0" fontId="28" fillId="0" borderId="0"/>
    <xf numFmtId="0" fontId="28" fillId="0" borderId="0"/>
    <xf numFmtId="43" fontId="0" fillId="0" borderId="0" applyFont="0" applyFill="0" applyBorder="0" applyAlignment="0" applyProtection="0"/>
    <xf numFmtId="0" fontId="0" fillId="0" borderId="0"/>
    <xf numFmtId="0" fontId="28" fillId="0" borderId="0"/>
    <xf numFmtId="0" fontId="28" fillId="0" borderId="0"/>
    <xf numFmtId="43" fontId="0" fillId="0" borderId="0" applyFont="0" applyFill="0" applyBorder="0" applyAlignment="0" applyProtection="0"/>
    <xf numFmtId="0" fontId="28" fillId="0" borderId="0"/>
    <xf numFmtId="0" fontId="28" fillId="0" borderId="0"/>
    <xf numFmtId="43" fontId="0" fillId="0" borderId="0" applyFont="0" applyFill="0" applyBorder="0" applyAlignment="0" applyProtection="0"/>
    <xf numFmtId="0" fontId="28" fillId="0" borderId="0"/>
    <xf numFmtId="0" fontId="28" fillId="0" borderId="0"/>
    <xf numFmtId="43" fontId="0" fillId="0" borderId="0" applyFont="0" applyFill="0" applyBorder="0" applyAlignment="0" applyProtection="0"/>
    <xf numFmtId="0" fontId="28" fillId="0" borderId="0"/>
    <xf numFmtId="0" fontId="28" fillId="0" borderId="0"/>
    <xf numFmtId="43" fontId="0"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0" fillId="0" borderId="0"/>
    <xf numFmtId="0" fontId="0" fillId="0" borderId="0"/>
    <xf numFmtId="0" fontId="28" fillId="0" borderId="0"/>
    <xf numFmtId="0" fontId="28" fillId="0" borderId="0"/>
    <xf numFmtId="0" fontId="0" fillId="0" borderId="0"/>
    <xf numFmtId="0" fontId="0" fillId="0" borderId="0"/>
    <xf numFmtId="0" fontId="28" fillId="0" borderId="0"/>
    <xf numFmtId="0" fontId="28" fillId="0" borderId="0"/>
    <xf numFmtId="0" fontId="0" fillId="0" borderId="0"/>
    <xf numFmtId="0" fontId="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0" fillId="0" borderId="0"/>
    <xf numFmtId="0" fontId="28" fillId="0" borderId="0"/>
    <xf numFmtId="0" fontId="28" fillId="0" borderId="0"/>
    <xf numFmtId="0" fontId="0" fillId="0" borderId="0">
      <alignment vertical="center"/>
    </xf>
    <xf numFmtId="0" fontId="0" fillId="0" borderId="0"/>
    <xf numFmtId="0" fontId="28" fillId="0" borderId="0"/>
    <xf numFmtId="0" fontId="28" fillId="0" borderId="0"/>
    <xf numFmtId="0" fontId="0" fillId="0" borderId="0">
      <alignment vertical="center"/>
    </xf>
    <xf numFmtId="0" fontId="0" fillId="0" borderId="0"/>
    <xf numFmtId="0" fontId="28" fillId="0" borderId="0"/>
    <xf numFmtId="0" fontId="28" fillId="0" borderId="0"/>
    <xf numFmtId="0" fontId="0" fillId="0" borderId="0">
      <alignment vertical="center"/>
    </xf>
    <xf numFmtId="0" fontId="0" fillId="0" borderId="0"/>
    <xf numFmtId="0" fontId="0" fillId="0" borderId="0"/>
    <xf numFmtId="0" fontId="28" fillId="0" borderId="0"/>
    <xf numFmtId="0" fontId="28" fillId="0" borderId="0"/>
    <xf numFmtId="0" fontId="0" fillId="0" borderId="0"/>
    <xf numFmtId="0" fontId="0" fillId="0" borderId="0"/>
    <xf numFmtId="0" fontId="0" fillId="0" borderId="0"/>
    <xf numFmtId="0" fontId="28" fillId="0" borderId="0"/>
    <xf numFmtId="0" fontId="28" fillId="0" borderId="0"/>
    <xf numFmtId="0" fontId="0" fillId="0" borderId="0"/>
    <xf numFmtId="0" fontId="0" fillId="0" borderId="0"/>
    <xf numFmtId="0" fontId="0" fillId="0" borderId="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0" fontId="0" fillId="0" borderId="0"/>
    <xf numFmtId="0" fontId="28" fillId="0" borderId="0"/>
    <xf numFmtId="0" fontId="28" fillId="0" borderId="0"/>
    <xf numFmtId="0" fontId="0" fillId="0" borderId="0"/>
    <xf numFmtId="0" fontId="0" fillId="0" borderId="0"/>
    <xf numFmtId="0" fontId="0" fillId="0" borderId="0"/>
    <xf numFmtId="0" fontId="28" fillId="0" borderId="0"/>
    <xf numFmtId="0" fontId="28"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xf numFmtId="0" fontId="28" fillId="0" borderId="0"/>
    <xf numFmtId="0" fontId="0" fillId="0" borderId="0"/>
    <xf numFmtId="0" fontId="28" fillId="0" borderId="0"/>
    <xf numFmtId="0" fontId="28" fillId="0" borderId="0"/>
    <xf numFmtId="0" fontId="0" fillId="0" borderId="0"/>
    <xf numFmtId="0" fontId="28" fillId="0" borderId="0"/>
    <xf numFmtId="0" fontId="2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xf numFmtId="0" fontId="28" fillId="0" borderId="0"/>
    <xf numFmtId="0" fontId="0" fillId="0" borderId="0"/>
    <xf numFmtId="0" fontId="0" fillId="0" borderId="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28" fillId="0" borderId="0"/>
    <xf numFmtId="0" fontId="28" fillId="0" borderId="0"/>
    <xf numFmtId="0" fontId="0" fillId="0" borderId="0"/>
    <xf numFmtId="0" fontId="0" fillId="0" borderId="0"/>
    <xf numFmtId="0" fontId="28" fillId="0" borderId="0"/>
    <xf numFmtId="0" fontId="28" fillId="0" borderId="0"/>
    <xf numFmtId="0" fontId="28" fillId="0" borderId="0"/>
    <xf numFmtId="0" fontId="28" fillId="0" borderId="0"/>
    <xf numFmtId="0" fontId="28" fillId="0" borderId="0"/>
    <xf numFmtId="0" fontId="28" fillId="0" borderId="0"/>
    <xf numFmtId="43" fontId="0" fillId="0" borderId="0" applyFont="0" applyFill="0" applyBorder="0" applyAlignment="0" applyProtection="0"/>
    <xf numFmtId="0" fontId="0" fillId="0" borderId="0">
      <alignment vertical="center"/>
    </xf>
    <xf numFmtId="0" fontId="0" fillId="0" borderId="0">
      <alignment vertical="center"/>
    </xf>
    <xf numFmtId="0" fontId="28" fillId="0" borderId="0"/>
    <xf numFmtId="0" fontId="28" fillId="0" borderId="0"/>
    <xf numFmtId="43" fontId="0" fillId="0" borderId="0" applyFont="0" applyFill="0" applyBorder="0" applyAlignment="0" applyProtection="0"/>
    <xf numFmtId="0" fontId="0" fillId="0" borderId="0">
      <alignment vertical="center"/>
    </xf>
    <xf numFmtId="0" fontId="0" fillId="0" borderId="0">
      <alignment vertical="center"/>
    </xf>
    <xf numFmtId="0" fontId="28" fillId="0" borderId="0"/>
    <xf numFmtId="0" fontId="28" fillId="0" borderId="0"/>
    <xf numFmtId="43" fontId="0" fillId="0" borderId="0" applyFont="0" applyFill="0" applyBorder="0" applyAlignment="0" applyProtection="0"/>
    <xf numFmtId="0" fontId="0" fillId="0" borderId="0">
      <alignment vertical="center"/>
    </xf>
    <xf numFmtId="0" fontId="0" fillId="0" borderId="0">
      <alignment vertical="center"/>
    </xf>
    <xf numFmtId="0" fontId="28" fillId="0" borderId="0"/>
    <xf numFmtId="0" fontId="28" fillId="0" borderId="0"/>
    <xf numFmtId="0" fontId="28" fillId="0" borderId="0"/>
    <xf numFmtId="0" fontId="28" fillId="0" borderId="0"/>
    <xf numFmtId="0" fontId="0" fillId="0" borderId="0"/>
    <xf numFmtId="0" fontId="41" fillId="0" borderId="0">
      <alignment vertical="center"/>
    </xf>
    <xf numFmtId="0" fontId="28" fillId="0" borderId="0"/>
    <xf numFmtId="0" fontId="0" fillId="0" borderId="0">
      <alignment vertical="center"/>
    </xf>
    <xf numFmtId="0" fontId="6" fillId="0" borderId="0">
      <alignment vertical="center"/>
    </xf>
    <xf numFmtId="0" fontId="28" fillId="0" borderId="0"/>
    <xf numFmtId="0" fontId="0" fillId="0" borderId="0"/>
    <xf numFmtId="0" fontId="0" fillId="0" borderId="0">
      <alignment vertical="center"/>
    </xf>
    <xf numFmtId="0" fontId="0" fillId="0" borderId="0"/>
    <xf numFmtId="0" fontId="6" fillId="0" borderId="0">
      <alignment vertical="center"/>
    </xf>
    <xf numFmtId="0" fontId="0" fillId="0" borderId="0"/>
    <xf numFmtId="0" fontId="0" fillId="0" borderId="0">
      <alignment vertical="center"/>
    </xf>
    <xf numFmtId="0" fontId="0" fillId="0" borderId="0"/>
    <xf numFmtId="0" fontId="28"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0" fontId="0" fillId="0" borderId="0"/>
    <xf numFmtId="0" fontId="0" fillId="0" borderId="0"/>
    <xf numFmtId="0" fontId="0" fillId="0" borderId="0">
      <alignment vertical="center"/>
    </xf>
    <xf numFmtId="43" fontId="0" fillId="0" borderId="0" applyFont="0" applyFill="0" applyBorder="0" applyAlignment="0" applyProtection="0"/>
    <xf numFmtId="0" fontId="0" fillId="0" borderId="0"/>
    <xf numFmtId="0" fontId="0" fillId="0" borderId="0"/>
    <xf numFmtId="0" fontId="0" fillId="0" borderId="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0" borderId="0"/>
    <xf numFmtId="0" fontId="0" fillId="0" borderId="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0" fontId="0" fillId="0" borderId="0"/>
    <xf numFmtId="0" fontId="0" fillId="0" borderId="0"/>
    <xf numFmtId="43" fontId="0" fillId="0" borderId="0" applyFont="0" applyFill="0" applyBorder="0" applyAlignment="0" applyProtection="0"/>
    <xf numFmtId="0" fontId="0" fillId="0" borderId="0"/>
    <xf numFmtId="0" fontId="0" fillId="0" borderId="0"/>
    <xf numFmtId="0" fontId="0" fillId="0" borderId="0"/>
    <xf numFmtId="43" fontId="0" fillId="0" borderId="0" applyFont="0" applyFill="0" applyBorder="0" applyAlignment="0" applyProtection="0"/>
    <xf numFmtId="0" fontId="0" fillId="0" borderId="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xf numFmtId="0" fontId="0" fillId="0" borderId="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xf numFmtId="0" fontId="0" fillId="0" borderId="0"/>
    <xf numFmtId="0" fontId="0" fillId="0" borderId="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28" fillId="0" borderId="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41" fillId="0" borderId="0">
      <alignment vertical="center"/>
    </xf>
    <xf numFmtId="0" fontId="0" fillId="0" borderId="0"/>
    <xf numFmtId="0" fontId="0" fillId="0" borderId="0"/>
    <xf numFmtId="0" fontId="28" fillId="0" borderId="0"/>
    <xf numFmtId="0" fontId="0" fillId="0" borderId="0"/>
    <xf numFmtId="0" fontId="0" fillId="0" borderId="0"/>
    <xf numFmtId="0" fontId="28" fillId="0" borderId="0"/>
    <xf numFmtId="0" fontId="0" fillId="0" borderId="0"/>
    <xf numFmtId="0" fontId="0" fillId="0" borderId="0"/>
    <xf numFmtId="0" fontId="0" fillId="0" borderId="0"/>
    <xf numFmtId="0" fontId="0" fillId="0" borderId="0"/>
    <xf numFmtId="0" fontId="0" fillId="0" borderId="0">
      <alignment vertical="center"/>
    </xf>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43" fontId="0" fillId="0" borderId="0" applyFont="0" applyFill="0" applyBorder="0" applyAlignment="0" applyProtection="0"/>
    <xf numFmtId="0" fontId="0" fillId="0" borderId="0">
      <alignment vertical="center"/>
    </xf>
    <xf numFmtId="0" fontId="0" fillId="0" borderId="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0" fillId="0" borderId="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28" fillId="0" borderId="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xf numFmtId="43" fontId="0" fillId="0" borderId="0" applyFont="0" applyFill="0" applyBorder="0" applyAlignment="0" applyProtection="0"/>
    <xf numFmtId="0" fontId="0" fillId="0" borderId="0">
      <alignment vertical="center"/>
    </xf>
    <xf numFmtId="0" fontId="0" fillId="0" borderId="0"/>
    <xf numFmtId="43" fontId="0" fillId="0" borderId="0" applyFont="0" applyFill="0" applyBorder="0" applyAlignment="0" applyProtection="0"/>
    <xf numFmtId="0" fontId="0" fillId="0" borderId="0">
      <alignment vertical="center"/>
    </xf>
    <xf numFmtId="0" fontId="0" fillId="0" borderId="0"/>
    <xf numFmtId="43"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0" fillId="0" borderId="0"/>
    <xf numFmtId="0" fontId="0" fillId="0" borderId="0"/>
    <xf numFmtId="0" fontId="0" fillId="0" borderId="0"/>
    <xf numFmtId="0" fontId="0" fillId="0" borderId="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43" fontId="0" fillId="0" borderId="0" applyFont="0" applyFill="0" applyBorder="0" applyAlignment="0" applyProtection="0"/>
    <xf numFmtId="0" fontId="28" fillId="0" borderId="0"/>
    <xf numFmtId="0" fontId="0" fillId="0" borderId="0"/>
    <xf numFmtId="43" fontId="0" fillId="0" borderId="0" applyFont="0" applyFill="0" applyBorder="0" applyAlignment="0" applyProtection="0"/>
    <xf numFmtId="0" fontId="0" fillId="0" borderId="0"/>
    <xf numFmtId="0" fontId="0" fillId="0" borderId="0"/>
    <xf numFmtId="0" fontId="6" fillId="0" borderId="0">
      <alignment vertical="center"/>
    </xf>
    <xf numFmtId="0" fontId="0" fillId="0" borderId="0"/>
    <xf numFmtId="0" fontId="41"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43" fontId="0" fillId="0" borderId="0" applyFont="0" applyFill="0" applyBorder="0" applyAlignment="0" applyProtection="0"/>
    <xf numFmtId="0" fontId="28" fillId="0" borderId="0"/>
    <xf numFmtId="0" fontId="28"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43" fontId="0" fillId="0" borderId="0" applyFont="0" applyFill="0" applyBorder="0" applyAlignment="0" applyProtection="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0" fontId="0" fillId="0" borderId="0"/>
    <xf numFmtId="0" fontId="0" fillId="0" borderId="0"/>
    <xf numFmtId="0" fontId="0" fillId="0" borderId="0"/>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xf numFmtId="43" fontId="0" fillId="0" borderId="0" applyFont="0" applyFill="0" applyBorder="0" applyAlignment="0" applyProtection="0"/>
    <xf numFmtId="0" fontId="0" fillId="0" borderId="0"/>
    <xf numFmtId="0" fontId="0" fillId="0" borderId="0">
      <alignment vertical="center"/>
    </xf>
    <xf numFmtId="0" fontId="0" fillId="0" borderId="0"/>
    <xf numFmtId="43" fontId="0" fillId="0" borderId="0" applyFont="0" applyFill="0" applyBorder="0" applyAlignment="0" applyProtection="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43" fontId="0" fillId="0" borderId="0" applyFont="0" applyFill="0" applyBorder="0" applyAlignment="0" applyProtection="0"/>
    <xf numFmtId="0" fontId="0" fillId="0" borderId="0"/>
    <xf numFmtId="0" fontId="0" fillId="0" borderId="0">
      <alignment vertical="center"/>
    </xf>
    <xf numFmtId="0" fontId="0" fillId="0" borderId="0"/>
    <xf numFmtId="43" fontId="0" fillId="0" borderId="0" applyFont="0" applyFill="0" applyBorder="0" applyAlignment="0" applyProtection="0"/>
    <xf numFmtId="0" fontId="0" fillId="0" borderId="0"/>
    <xf numFmtId="0" fontId="0" fillId="0" borderId="0">
      <alignment vertical="center"/>
    </xf>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alignment vertical="center"/>
    </xf>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0" fontId="0" fillId="0" borderId="0">
      <alignment vertical="center"/>
    </xf>
    <xf numFmtId="0" fontId="0" fillId="0" borderId="0">
      <alignment vertical="center"/>
    </xf>
    <xf numFmtId="0" fontId="0" fillId="0" borderId="0"/>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43" fontId="0" fillId="0" borderId="0" applyFont="0" applyFill="0" applyBorder="0" applyAlignment="0" applyProtection="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43" fontId="0" fillId="0" borderId="0" applyFont="0" applyFill="0" applyBorder="0" applyAlignment="0" applyProtection="0"/>
    <xf numFmtId="0" fontId="28" fillId="0" borderId="0"/>
    <xf numFmtId="0" fontId="28" fillId="0" borderId="0"/>
    <xf numFmtId="43" fontId="0" fillId="0" borderId="0" applyFont="0" applyFill="0" applyBorder="0" applyAlignment="0" applyProtection="0"/>
    <xf numFmtId="0" fontId="28" fillId="0" borderId="0"/>
    <xf numFmtId="0" fontId="28" fillId="0" borderId="0"/>
    <xf numFmtId="43" fontId="0" fillId="0" borderId="0" applyFont="0" applyFill="0" applyBorder="0" applyAlignment="0" applyProtection="0"/>
    <xf numFmtId="0" fontId="28" fillId="0" borderId="0"/>
    <xf numFmtId="0" fontId="28" fillId="0" borderId="0"/>
    <xf numFmtId="43" fontId="0" fillId="0" borderId="0" applyFont="0" applyFill="0" applyBorder="0" applyAlignment="0" applyProtection="0"/>
    <xf numFmtId="0" fontId="28" fillId="0" borderId="0"/>
    <xf numFmtId="0" fontId="28" fillId="0" borderId="0"/>
    <xf numFmtId="43" fontId="0" fillId="0" borderId="0" applyFont="0" applyFill="0" applyBorder="0" applyAlignment="0" applyProtection="0"/>
    <xf numFmtId="0" fontId="28" fillId="0" borderId="0"/>
    <xf numFmtId="0" fontId="28" fillId="0" borderId="0"/>
    <xf numFmtId="0" fontId="0" fillId="0" borderId="0"/>
    <xf numFmtId="0" fontId="28" fillId="0" borderId="0"/>
    <xf numFmtId="0" fontId="28" fillId="0" borderId="0"/>
    <xf numFmtId="0" fontId="0" fillId="0" borderId="0"/>
    <xf numFmtId="0" fontId="28" fillId="0" borderId="0"/>
    <xf numFmtId="0" fontId="28" fillId="0" borderId="0"/>
    <xf numFmtId="0" fontId="0" fillId="0" borderId="0"/>
    <xf numFmtId="0" fontId="28" fillId="0" borderId="0"/>
    <xf numFmtId="0" fontId="28" fillId="0" borderId="0"/>
    <xf numFmtId="0" fontId="0" fillId="0" borderId="0"/>
    <xf numFmtId="0" fontId="28" fillId="0" borderId="0"/>
    <xf numFmtId="0" fontId="28" fillId="0" borderId="0"/>
    <xf numFmtId="0" fontId="0" fillId="0" borderId="0"/>
    <xf numFmtId="0" fontId="28" fillId="0" borderId="0"/>
    <xf numFmtId="0" fontId="28" fillId="0" borderId="0"/>
    <xf numFmtId="0" fontId="0" fillId="0" borderId="0"/>
    <xf numFmtId="0" fontId="28" fillId="0" borderId="0"/>
    <xf numFmtId="0" fontId="28" fillId="0" borderId="0"/>
    <xf numFmtId="0" fontId="0" fillId="0" borderId="0"/>
    <xf numFmtId="0" fontId="28" fillId="0" borderId="0"/>
    <xf numFmtId="0" fontId="28" fillId="0" borderId="0"/>
    <xf numFmtId="0" fontId="0" fillId="0" borderId="0"/>
    <xf numFmtId="0" fontId="28" fillId="0" borderId="0"/>
    <xf numFmtId="0" fontId="28" fillId="0" borderId="0"/>
    <xf numFmtId="0" fontId="0" fillId="0" borderId="0"/>
    <xf numFmtId="0" fontId="28" fillId="0" borderId="0"/>
    <xf numFmtId="0" fontId="28" fillId="0" borderId="0"/>
    <xf numFmtId="0" fontId="0" fillId="0" borderId="0"/>
    <xf numFmtId="0" fontId="28" fillId="0" borderId="0"/>
    <xf numFmtId="0" fontId="28"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xf numFmtId="0" fontId="0" fillId="0" borderId="0"/>
    <xf numFmtId="0" fontId="0" fillId="0" borderId="0"/>
    <xf numFmtId="0" fontId="0" fillId="0" borderId="0"/>
    <xf numFmtId="43" fontId="0" fillId="0" borderId="0" applyFont="0" applyFill="0" applyBorder="0" applyAlignment="0" applyProtection="0"/>
    <xf numFmtId="0" fontId="0" fillId="0" borderId="0"/>
    <xf numFmtId="0" fontId="0" fillId="0" borderId="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0" fontId="0" fillId="0" borderId="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alignment vertical="center"/>
    </xf>
    <xf numFmtId="0" fontId="0" fillId="0" borderId="0"/>
    <xf numFmtId="43" fontId="0" fillId="0" borderId="0" applyFont="0" applyFill="0" applyBorder="0" applyAlignment="0" applyProtection="0"/>
    <xf numFmtId="0" fontId="0" fillId="0" borderId="0">
      <alignment vertical="center"/>
    </xf>
    <xf numFmtId="0" fontId="0" fillId="0" borderId="0"/>
    <xf numFmtId="43" fontId="0" fillId="0" borderId="0" applyFont="0" applyFill="0" applyBorder="0" applyAlignment="0" applyProtection="0"/>
    <xf numFmtId="0" fontId="0" fillId="0" borderId="0">
      <alignment vertical="center"/>
    </xf>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0" fontId="0" fillId="0" borderId="0"/>
    <xf numFmtId="0" fontId="0" fillId="0" borderId="0"/>
    <xf numFmtId="0" fontId="28" fillId="0" borderId="0"/>
    <xf numFmtId="0" fontId="28" fillId="0" borderId="0"/>
    <xf numFmtId="0" fontId="28" fillId="0" borderId="0"/>
    <xf numFmtId="0" fontId="2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43" fontId="0" fillId="0" borderId="0" applyFont="0" applyFill="0" applyBorder="0" applyAlignment="0" applyProtection="0"/>
    <xf numFmtId="0" fontId="28" fillId="0" borderId="0"/>
    <xf numFmtId="0" fontId="28" fillId="0" borderId="0"/>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xf numFmtId="43" fontId="0" fillId="0" borderId="0" applyFont="0" applyFill="0" applyBorder="0" applyAlignment="0" applyProtection="0"/>
    <xf numFmtId="0" fontId="28" fillId="0" borderId="0"/>
    <xf numFmtId="43" fontId="0" fillId="0" borderId="0" applyFont="0" applyFill="0" applyBorder="0" applyAlignment="0" applyProtection="0"/>
    <xf numFmtId="0" fontId="28" fillId="0" borderId="0"/>
    <xf numFmtId="43" fontId="0" fillId="0" borderId="0" applyFont="0" applyFill="0" applyBorder="0" applyAlignment="0" applyProtection="0"/>
    <xf numFmtId="0" fontId="28" fillId="0" borderId="0"/>
    <xf numFmtId="43" fontId="0" fillId="0" borderId="0" applyFont="0" applyFill="0" applyBorder="0" applyAlignment="0" applyProtection="0"/>
    <xf numFmtId="0" fontId="28"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176" fontId="0" fillId="0" borderId="0" applyFont="0" applyFill="0" applyBorder="0" applyAlignment="0" applyProtection="0">
      <alignment vertical="center"/>
    </xf>
    <xf numFmtId="43" fontId="0" fillId="0" borderId="0" applyFont="0" applyFill="0" applyBorder="0" applyAlignment="0" applyProtection="0"/>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43" fontId="0" fillId="0" borderId="0" applyFont="0" applyFill="0" applyBorder="0" applyAlignment="0" applyProtection="0"/>
    <xf numFmtId="176" fontId="0" fillId="0" borderId="0" applyFont="0" applyFill="0" applyBorder="0" applyAlignment="0" applyProtection="0">
      <alignment vertical="center"/>
    </xf>
    <xf numFmtId="43" fontId="0" fillId="0" borderId="0" applyFont="0" applyFill="0" applyBorder="0" applyAlignment="0" applyProtection="0"/>
    <xf numFmtId="176" fontId="0" fillId="0" borderId="0" applyFont="0" applyFill="0" applyBorder="0" applyAlignment="0" applyProtection="0">
      <alignment vertical="center"/>
    </xf>
    <xf numFmtId="43" fontId="0" fillId="0" borderId="0" applyFont="0" applyFill="0" applyBorder="0" applyAlignment="0" applyProtection="0"/>
    <xf numFmtId="176" fontId="0" fillId="0" borderId="0" applyFont="0" applyFill="0" applyBorder="0" applyAlignment="0" applyProtection="0">
      <alignment vertical="center"/>
    </xf>
    <xf numFmtId="43" fontId="0" fillId="0" borderId="0" applyFont="0" applyFill="0" applyBorder="0" applyAlignment="0" applyProtection="0"/>
    <xf numFmtId="176" fontId="0" fillId="0" borderId="0" applyFont="0" applyFill="0" applyBorder="0" applyAlignment="0" applyProtection="0">
      <alignment vertical="center"/>
    </xf>
    <xf numFmtId="43" fontId="0" fillId="0" borderId="0" applyFont="0" applyFill="0" applyBorder="0" applyAlignment="0" applyProtection="0"/>
    <xf numFmtId="176" fontId="0" fillId="0" borderId="0" applyFont="0" applyFill="0" applyBorder="0" applyAlignment="0" applyProtection="0">
      <alignment vertical="center"/>
    </xf>
    <xf numFmtId="43" fontId="0" fillId="0" borderId="0" applyFont="0" applyFill="0" applyBorder="0" applyAlignment="0" applyProtection="0"/>
    <xf numFmtId="176" fontId="0" fillId="0" borderId="0" applyFont="0" applyFill="0" applyBorder="0" applyAlignment="0" applyProtection="0">
      <alignment vertical="center"/>
    </xf>
    <xf numFmtId="43" fontId="0" fillId="0" borderId="0" applyFont="0" applyFill="0" applyBorder="0" applyAlignment="0" applyProtection="0"/>
    <xf numFmtId="176"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alignment vertical="center"/>
    </xf>
    <xf numFmtId="43" fontId="0" fillId="0" borderId="0" applyFont="0" applyFill="0" applyBorder="0" applyAlignment="0" applyProtection="0"/>
    <xf numFmtId="176"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504">
    <xf numFmtId="0" fontId="0" fillId="0" borderId="0" xfId="0"/>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Border="1" applyAlignment="1">
      <alignment vertical="center" wrapText="1"/>
    </xf>
    <xf numFmtId="0" fontId="1" fillId="0" borderId="0" xfId="0" applyFont="1" applyFill="1" applyBorder="1" applyAlignment="1">
      <alignment vertical="center" wrapText="1"/>
    </xf>
    <xf numFmtId="0" fontId="0" fillId="0" borderId="0" xfId="0"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1" fillId="0" borderId="0" xfId="0" applyFont="1" applyFill="1" applyAlignment="1">
      <alignment horizontal="left" vertical="center"/>
    </xf>
    <xf numFmtId="178" fontId="1" fillId="0" borderId="0" xfId="0" applyNumberFormat="1" applyFont="1" applyFill="1" applyAlignment="1">
      <alignment vertical="center"/>
    </xf>
    <xf numFmtId="0" fontId="1" fillId="0" borderId="0" xfId="0" applyNumberFormat="1" applyFont="1" applyFill="1" applyAlignment="1">
      <alignment vertical="center"/>
    </xf>
    <xf numFmtId="0" fontId="5"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177" fontId="1" fillId="0" borderId="4" xfId="0" applyNumberFormat="1" applyFont="1" applyFill="1" applyBorder="1" applyAlignment="1">
      <alignment horizontal="center" vertical="center" wrapText="1"/>
    </xf>
    <xf numFmtId="177" fontId="1" fillId="0" borderId="7"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0" fontId="6" fillId="0" borderId="0" xfId="0" applyFont="1" applyFill="1" applyAlignment="1">
      <alignment horizontal="right" vertical="center" wrapText="1"/>
    </xf>
    <xf numFmtId="177" fontId="4" fillId="0" borderId="5" xfId="0" applyNumberFormat="1" applyFont="1" applyFill="1" applyBorder="1" applyAlignment="1">
      <alignment horizontal="center" vertical="center" wrapText="1"/>
    </xf>
    <xf numFmtId="177" fontId="4" fillId="0" borderId="8" xfId="0" applyNumberFormat="1" applyFont="1" applyFill="1" applyBorder="1" applyAlignment="1">
      <alignment horizontal="center" vertical="center" wrapText="1"/>
    </xf>
    <xf numFmtId="0" fontId="4" fillId="0" borderId="0" xfId="0" applyFont="1" applyFill="1" applyAlignment="1">
      <alignment vertical="center" wrapText="1"/>
    </xf>
    <xf numFmtId="0" fontId="1" fillId="0" borderId="0" xfId="0" applyFont="1" applyFill="1" applyAlignment="1">
      <alignment vertical="center" wrapText="1"/>
    </xf>
    <xf numFmtId="0" fontId="0"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8" fillId="0" borderId="0" xfId="0" applyFont="1" applyFill="1" applyBorder="1" applyAlignment="1">
      <alignment vertical="center"/>
    </xf>
    <xf numFmtId="49" fontId="0" fillId="0" borderId="0" xfId="2179" applyNumberFormat="1" applyFont="1" applyFill="1" applyBorder="1" applyAlignment="1">
      <alignment horizontal="center" vertical="center"/>
    </xf>
    <xf numFmtId="0" fontId="0" fillId="0" borderId="0" xfId="2179" applyFont="1" applyFill="1" applyBorder="1" applyAlignment="1">
      <alignment vertical="center"/>
    </xf>
    <xf numFmtId="179" fontId="0" fillId="0" borderId="0" xfId="0" applyNumberFormat="1" applyFont="1" applyFill="1" applyBorder="1" applyAlignment="1">
      <alignment vertical="center"/>
    </xf>
    <xf numFmtId="0" fontId="0" fillId="0" borderId="0" xfId="0" applyFont="1" applyFill="1" applyBorder="1" applyAlignment="1"/>
    <xf numFmtId="0" fontId="1" fillId="0" borderId="0" xfId="0" applyFont="1" applyFill="1" applyBorder="1" applyAlignment="1">
      <alignment vertical="center"/>
    </xf>
    <xf numFmtId="0" fontId="9" fillId="0" borderId="0" xfId="0" applyFont="1" applyFill="1" applyBorder="1" applyAlignment="1">
      <alignment horizontal="center" vertical="center"/>
    </xf>
    <xf numFmtId="179" fontId="9" fillId="0" borderId="0" xfId="0" applyNumberFormat="1" applyFont="1" applyFill="1" applyBorder="1" applyAlignment="1">
      <alignment horizontal="center" vertical="center"/>
    </xf>
    <xf numFmtId="49" fontId="10" fillId="0" borderId="0" xfId="0" applyNumberFormat="1" applyFont="1" applyFill="1" applyBorder="1" applyAlignment="1">
      <alignment vertical="center" wrapText="1"/>
    </xf>
    <xf numFmtId="0" fontId="10" fillId="0" borderId="0" xfId="0" applyFont="1" applyFill="1" applyBorder="1" applyAlignment="1">
      <alignment vertical="center" wrapText="1"/>
    </xf>
    <xf numFmtId="179" fontId="7" fillId="0" borderId="0" xfId="0" applyNumberFormat="1" applyFont="1" applyFill="1" applyBorder="1" applyAlignment="1">
      <alignment vertical="center"/>
    </xf>
    <xf numFmtId="0" fontId="1" fillId="0" borderId="0" xfId="0" applyFont="1" applyFill="1" applyBorder="1" applyAlignment="1">
      <alignment horizontal="right" vertical="center"/>
    </xf>
    <xf numFmtId="49" fontId="4"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79" fontId="11" fillId="0" borderId="1" xfId="0" applyNumberFormat="1" applyFont="1" applyFill="1" applyBorder="1" applyAlignment="1">
      <alignment horizontal="center" vertical="center" wrapText="1"/>
    </xf>
    <xf numFmtId="0" fontId="4" fillId="0" borderId="1" xfId="0" applyFont="1" applyFill="1" applyBorder="1" applyAlignment="1">
      <alignment vertical="center"/>
    </xf>
    <xf numFmtId="179" fontId="11" fillId="0" borderId="1" xfId="1" applyNumberFormat="1" applyFont="1" applyFill="1" applyBorder="1" applyAlignment="1">
      <alignment vertical="center"/>
    </xf>
    <xf numFmtId="0" fontId="11" fillId="0" borderId="1" xfId="0" applyFont="1" applyFill="1" applyBorder="1" applyAlignment="1">
      <alignment vertical="center" wrapText="1"/>
    </xf>
    <xf numFmtId="0" fontId="8" fillId="0" borderId="1" xfId="0" applyFont="1" applyFill="1" applyBorder="1" applyAlignment="1">
      <alignment vertical="center"/>
    </xf>
    <xf numFmtId="0" fontId="1" fillId="0" borderId="1" xfId="0" applyFont="1" applyFill="1" applyBorder="1" applyAlignment="1">
      <alignment vertical="center"/>
    </xf>
    <xf numFmtId="179" fontId="12" fillId="0" borderId="1" xfId="1" applyNumberFormat="1" applyFont="1" applyFill="1" applyBorder="1" applyAlignment="1">
      <alignment vertical="center"/>
    </xf>
    <xf numFmtId="179" fontId="12" fillId="0" borderId="1" xfId="0" applyNumberFormat="1" applyFont="1" applyFill="1" applyBorder="1" applyAlignment="1">
      <alignment vertical="center"/>
    </xf>
    <xf numFmtId="179" fontId="12" fillId="0" borderId="1" xfId="1" applyNumberFormat="1" applyFont="1" applyFill="1" applyBorder="1" applyAlignment="1">
      <alignment horizontal="right" vertical="center"/>
    </xf>
    <xf numFmtId="0" fontId="12" fillId="0" borderId="1" xfId="0" applyFont="1" applyFill="1" applyBorder="1" applyAlignment="1">
      <alignment vertical="center" wrapText="1"/>
    </xf>
    <xf numFmtId="0" fontId="0" fillId="0" borderId="1" xfId="0" applyFont="1" applyFill="1" applyBorder="1" applyAlignment="1">
      <alignment vertical="center"/>
    </xf>
    <xf numFmtId="0" fontId="1" fillId="0" borderId="1" xfId="0" applyFont="1" applyFill="1" applyBorder="1" applyAlignment="1">
      <alignment horizontal="left" vertical="center"/>
    </xf>
    <xf numFmtId="179" fontId="12" fillId="0" borderId="1" xfId="2218" applyNumberFormat="1" applyFont="1" applyFill="1" applyBorder="1" applyAlignment="1">
      <alignment horizontal="right" vertical="center"/>
    </xf>
    <xf numFmtId="179" fontId="11" fillId="0" borderId="1" xfId="1" applyNumberFormat="1" applyFont="1" applyFill="1" applyBorder="1" applyAlignment="1">
      <alignment horizontal="right" vertical="center"/>
    </xf>
    <xf numFmtId="178" fontId="11" fillId="0" borderId="1" xfId="0" applyNumberFormat="1" applyFont="1" applyFill="1" applyBorder="1" applyAlignment="1">
      <alignment vertical="center"/>
    </xf>
    <xf numFmtId="178" fontId="12" fillId="0" borderId="1" xfId="0" applyNumberFormat="1" applyFont="1" applyFill="1" applyBorder="1" applyAlignment="1">
      <alignment vertical="center"/>
    </xf>
    <xf numFmtId="178" fontId="12" fillId="0" borderId="1" xfId="1" applyNumberFormat="1" applyFont="1" applyFill="1" applyBorder="1" applyAlignment="1">
      <alignment horizontal="right" vertical="center"/>
    </xf>
    <xf numFmtId="178" fontId="1" fillId="0" borderId="1" xfId="1" applyNumberFormat="1" applyFont="1" applyFill="1" applyBorder="1" applyAlignment="1">
      <alignment horizontal="right" vertical="center"/>
    </xf>
    <xf numFmtId="0" fontId="4" fillId="0" borderId="1" xfId="0" applyFont="1" applyFill="1" applyBorder="1" applyAlignment="1">
      <alignment horizontal="center" vertical="center"/>
    </xf>
    <xf numFmtId="179" fontId="11" fillId="0" borderId="1" xfId="0" applyNumberFormat="1" applyFont="1" applyFill="1" applyBorder="1" applyAlignment="1">
      <alignment vertical="center"/>
    </xf>
    <xf numFmtId="178" fontId="11" fillId="0" borderId="1" xfId="1" applyNumberFormat="1" applyFont="1" applyFill="1" applyBorder="1" applyAlignment="1">
      <alignment horizontal="right" vertical="center"/>
    </xf>
    <xf numFmtId="178" fontId="4" fillId="0" borderId="1" xfId="1" applyNumberFormat="1" applyFont="1" applyFill="1" applyBorder="1" applyAlignment="1">
      <alignment horizontal="right" vertical="center"/>
    </xf>
    <xf numFmtId="0" fontId="8" fillId="0" borderId="0" xfId="0" applyFont="1" applyFill="1" applyBorder="1" applyAlignment="1"/>
    <xf numFmtId="179" fontId="1" fillId="0" borderId="0" xfId="0" applyNumberFormat="1" applyFont="1" applyFill="1" applyBorder="1" applyAlignment="1">
      <alignment vertical="center"/>
    </xf>
    <xf numFmtId="0" fontId="11" fillId="0" borderId="9" xfId="0" applyFont="1" applyFill="1" applyBorder="1" applyAlignment="1">
      <alignment horizontal="center" vertical="center" wrapText="1"/>
    </xf>
    <xf numFmtId="179" fontId="11" fillId="0" borderId="9" xfId="0" applyNumberFormat="1" applyFont="1" applyFill="1" applyBorder="1" applyAlignment="1">
      <alignment horizontal="center" vertical="center" wrapText="1"/>
    </xf>
    <xf numFmtId="0" fontId="4" fillId="0" borderId="1" xfId="0" applyFont="1" applyFill="1" applyBorder="1" applyAlignment="1">
      <alignment horizontal="left" vertical="center"/>
    </xf>
    <xf numFmtId="0" fontId="11" fillId="0" borderId="1" xfId="0" applyFont="1" applyFill="1" applyBorder="1" applyAlignment="1">
      <alignment vertical="center"/>
    </xf>
    <xf numFmtId="0" fontId="4" fillId="0" borderId="1" xfId="0" applyFont="1" applyFill="1" applyBorder="1" applyAlignment="1">
      <alignment horizontal="right" vertical="center" wrapText="1"/>
    </xf>
    <xf numFmtId="0" fontId="12" fillId="0" borderId="1" xfId="0" applyFont="1" applyFill="1" applyBorder="1" applyAlignment="1">
      <alignment vertical="center"/>
    </xf>
    <xf numFmtId="0" fontId="1" fillId="0" borderId="1" xfId="0" applyFont="1" applyFill="1" applyBorder="1" applyAlignment="1">
      <alignment horizontal="right" vertical="center" wrapText="1"/>
    </xf>
    <xf numFmtId="179" fontId="12" fillId="0" borderId="0" xfId="0" applyNumberFormat="1" applyFont="1" applyFill="1" applyBorder="1" applyAlignment="1">
      <alignment vertical="center"/>
    </xf>
    <xf numFmtId="0" fontId="1" fillId="0" borderId="1" xfId="0" applyFont="1" applyFill="1" applyBorder="1" applyAlignment="1">
      <alignment horizontal="left" vertical="center" wrapText="1"/>
    </xf>
    <xf numFmtId="179" fontId="12" fillId="0" borderId="10" xfId="0" applyNumberFormat="1" applyFont="1" applyFill="1" applyBorder="1" applyAlignment="1" applyProtection="1">
      <alignment horizontal="right" vertical="center"/>
    </xf>
    <xf numFmtId="179" fontId="11" fillId="0" borderId="1" xfId="0" applyNumberFormat="1" applyFont="1" applyFill="1" applyBorder="1" applyAlignment="1">
      <alignment horizontal="right" vertical="center"/>
    </xf>
    <xf numFmtId="31" fontId="0" fillId="0" borderId="0" xfId="0" applyNumberFormat="1" applyFont="1" applyFill="1" applyBorder="1" applyAlignment="1">
      <alignment vertical="center" wrapText="1"/>
    </xf>
    <xf numFmtId="0" fontId="6" fillId="0" borderId="0" xfId="0" applyFont="1" applyFill="1" applyBorder="1" applyAlignment="1">
      <alignment vertical="center"/>
    </xf>
    <xf numFmtId="179" fontId="6" fillId="0" borderId="0" xfId="0" applyNumberFormat="1" applyFont="1" applyFill="1" applyBorder="1" applyAlignment="1">
      <alignment vertical="center"/>
    </xf>
    <xf numFmtId="0" fontId="6" fillId="0" borderId="0" xfId="0" applyFont="1" applyFill="1" applyAlignment="1"/>
    <xf numFmtId="0" fontId="13" fillId="0" borderId="0" xfId="0" applyFont="1" applyFill="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horizontal="left"/>
    </xf>
    <xf numFmtId="179" fontId="6" fillId="0" borderId="0" xfId="0" applyNumberFormat="1" applyFont="1" applyFill="1" applyAlignment="1">
      <alignment horizontal="center"/>
    </xf>
    <xf numFmtId="179" fontId="6" fillId="0" borderId="0" xfId="0" applyNumberFormat="1" applyFont="1" applyFill="1" applyAlignment="1">
      <alignment wrapText="1"/>
    </xf>
    <xf numFmtId="179" fontId="6" fillId="0" borderId="0" xfId="0" applyNumberFormat="1" applyFont="1" applyFill="1" applyAlignment="1">
      <alignment horizontal="left" wrapText="1"/>
    </xf>
    <xf numFmtId="0" fontId="6" fillId="0" borderId="0" xfId="0" applyFont="1" applyFill="1" applyAlignment="1">
      <alignment horizontal="center"/>
    </xf>
    <xf numFmtId="0" fontId="9" fillId="0" borderId="0" xfId="0" applyFont="1" applyFill="1" applyAlignment="1">
      <alignment horizontal="center" vertical="center"/>
    </xf>
    <xf numFmtId="179" fontId="9" fillId="0" borderId="0" xfId="0" applyNumberFormat="1" applyFont="1" applyFill="1" applyAlignment="1">
      <alignment horizontal="center" vertical="center"/>
    </xf>
    <xf numFmtId="14" fontId="0" fillId="0" borderId="0" xfId="0" applyNumberFormat="1" applyFont="1" applyFill="1" applyAlignment="1">
      <alignment horizontal="center" vertical="center"/>
    </xf>
    <xf numFmtId="14" fontId="0" fillId="0" borderId="0" xfId="0" applyNumberFormat="1" applyFont="1" applyFill="1" applyAlignment="1">
      <alignment horizontal="left" vertical="center"/>
    </xf>
    <xf numFmtId="0" fontId="0" fillId="0" borderId="0" xfId="0" applyFont="1" applyFill="1" applyAlignment="1">
      <alignment horizontal="left" vertical="center" wrapText="1"/>
    </xf>
    <xf numFmtId="179" fontId="15" fillId="0" borderId="0" xfId="0" applyNumberFormat="1" applyFont="1" applyFill="1" applyAlignment="1">
      <alignment horizontal="center" vertical="center"/>
    </xf>
    <xf numFmtId="179" fontId="0" fillId="0" borderId="11" xfId="0" applyNumberFormat="1" applyFont="1" applyFill="1" applyBorder="1" applyAlignment="1">
      <alignment horizontal="right" vertical="center"/>
    </xf>
    <xf numFmtId="0" fontId="8" fillId="0" borderId="9" xfId="0" applyFont="1" applyFill="1" applyBorder="1" applyAlignment="1">
      <alignment horizontal="center" vertical="center" wrapText="1"/>
    </xf>
    <xf numFmtId="0" fontId="8" fillId="0" borderId="12" xfId="0" applyFont="1" applyFill="1" applyBorder="1" applyAlignment="1">
      <alignment horizontal="center" vertical="center" wrapText="1"/>
    </xf>
    <xf numFmtId="179" fontId="16" fillId="0" borderId="1" xfId="0" applyNumberFormat="1" applyFont="1" applyFill="1" applyBorder="1" applyAlignment="1">
      <alignment horizontal="center" vertical="center" wrapText="1"/>
    </xf>
    <xf numFmtId="179" fontId="16" fillId="0" borderId="5" xfId="0" applyNumberFormat="1" applyFont="1" applyFill="1" applyBorder="1" applyAlignment="1">
      <alignment horizontal="center" vertical="center"/>
    </xf>
    <xf numFmtId="179" fontId="16" fillId="0" borderId="8" xfId="0" applyNumberFormat="1" applyFont="1" applyFill="1" applyBorder="1" applyAlignment="1">
      <alignment horizontal="center" vertical="center"/>
    </xf>
    <xf numFmtId="179" fontId="8" fillId="0" borderId="9"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79" fontId="16" fillId="0" borderId="15" xfId="0" applyNumberFormat="1" applyFont="1" applyFill="1" applyBorder="1" applyAlignment="1">
      <alignment horizontal="center" vertical="center" wrapText="1"/>
    </xf>
    <xf numFmtId="179" fontId="8" fillId="0" borderId="13" xfId="0" applyNumberFormat="1" applyFont="1" applyFill="1" applyBorder="1" applyAlignment="1">
      <alignment horizontal="center" vertical="center" wrapText="1"/>
    </xf>
    <xf numFmtId="0" fontId="6" fillId="2" borderId="1" xfId="433" applyFont="1" applyFill="1" applyBorder="1" applyAlignment="1">
      <alignment horizontal="center" vertical="center" wrapText="1"/>
    </xf>
    <xf numFmtId="0" fontId="17" fillId="2" borderId="1" xfId="0" applyFont="1" applyFill="1" applyBorder="1" applyAlignment="1">
      <alignment vertical="center" wrapText="1"/>
    </xf>
    <xf numFmtId="0" fontId="17" fillId="2" borderId="1" xfId="0" applyFont="1" applyFill="1" applyBorder="1" applyAlignment="1">
      <alignment horizontal="center" vertical="center" wrapText="1"/>
    </xf>
    <xf numFmtId="179" fontId="17" fillId="2" borderId="1" xfId="0" applyNumberFormat="1" applyFont="1" applyFill="1" applyBorder="1" applyAlignment="1">
      <alignment horizontal="right" vertical="center"/>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179" fontId="1" fillId="0" borderId="16" xfId="0" applyNumberFormat="1" applyFont="1" applyFill="1" applyBorder="1" applyAlignment="1">
      <alignment horizontal="right" vertical="center"/>
    </xf>
    <xf numFmtId="179" fontId="1" fillId="0" borderId="1" xfId="0" applyNumberFormat="1" applyFont="1" applyFill="1" applyBorder="1" applyAlignment="1">
      <alignment horizontal="right" vertical="center"/>
    </xf>
    <xf numFmtId="179" fontId="1" fillId="0" borderId="1" xfId="0" applyNumberFormat="1" applyFont="1" applyFill="1" applyBorder="1" applyAlignment="1">
      <alignment horizontal="right" vertical="center" wrapText="1"/>
    </xf>
    <xf numFmtId="179" fontId="18" fillId="0" borderId="1" xfId="0" applyNumberFormat="1" applyFont="1" applyFill="1" applyBorder="1" applyAlignment="1">
      <alignment horizontal="right" vertical="center"/>
    </xf>
    <xf numFmtId="0" fontId="6"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179" fontId="18" fillId="0" borderId="1" xfId="0" applyNumberFormat="1" applyFont="1" applyFill="1" applyBorder="1" applyAlignment="1">
      <alignment horizontal="right" vertical="center" wrapText="1"/>
    </xf>
    <xf numFmtId="0" fontId="0" fillId="0" borderId="11" xfId="0" applyFont="1" applyFill="1" applyBorder="1" applyAlignment="1">
      <alignment horizontal="right" vertical="center"/>
    </xf>
    <xf numFmtId="0" fontId="8" fillId="0" borderId="1"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6" fillId="0" borderId="0" xfId="0" applyFont="1" applyFill="1" applyBorder="1" applyAlignment="1"/>
    <xf numFmtId="0" fontId="19" fillId="0" borderId="0" xfId="0" applyNumberFormat="1" applyFont="1" applyFill="1" applyBorder="1" applyAlignment="1">
      <alignment horizontal="center" vertical="center" wrapText="1"/>
    </xf>
    <xf numFmtId="0" fontId="20" fillId="0" borderId="1" xfId="0" applyNumberFormat="1" applyFont="1" applyFill="1" applyBorder="1" applyAlignment="1">
      <alignment horizontal="left" vertical="center" wrapText="1"/>
    </xf>
    <xf numFmtId="0" fontId="6" fillId="0" borderId="0" xfId="0"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19" fillId="3" borderId="0" xfId="0"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0" xfId="433" applyFont="1" applyFill="1" applyBorder="1" applyAlignment="1">
      <alignment horizontal="center" vertical="center" wrapText="1"/>
    </xf>
    <xf numFmtId="0" fontId="21" fillId="0" borderId="0" xfId="433" applyFont="1" applyFill="1" applyBorder="1" applyAlignment="1">
      <alignment horizontal="center" vertical="center" wrapText="1"/>
    </xf>
    <xf numFmtId="0" fontId="19" fillId="3" borderId="0" xfId="0" applyFont="1" applyFill="1" applyBorder="1" applyAlignment="1">
      <alignment horizontal="center" vertical="center" wrapText="1"/>
    </xf>
    <xf numFmtId="0" fontId="6" fillId="2" borderId="1" xfId="165"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179" fontId="22" fillId="0" borderId="1" xfId="0" applyNumberFormat="1" applyFont="1" applyFill="1" applyBorder="1" applyAlignment="1">
      <alignment horizontal="right" vertical="center"/>
    </xf>
    <xf numFmtId="0" fontId="19" fillId="0" borderId="8" xfId="0"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179" fontId="23" fillId="0" borderId="1" xfId="0" applyNumberFormat="1" applyFont="1" applyFill="1" applyBorder="1" applyAlignment="1">
      <alignment horizontal="right" vertical="center"/>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179" fontId="18" fillId="2" borderId="1" xfId="433" applyNumberFormat="1" applyFont="1" applyFill="1" applyBorder="1" applyAlignment="1">
      <alignment horizontal="right" vertical="center" wrapText="1"/>
    </xf>
    <xf numFmtId="0" fontId="24" fillId="0" borderId="0" xfId="0" applyNumberFormat="1" applyFont="1" applyFill="1" applyBorder="1" applyAlignment="1">
      <alignment horizontal="center" vertical="center" wrapText="1"/>
    </xf>
    <xf numFmtId="0" fontId="25" fillId="0"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18" fillId="2" borderId="1" xfId="433" applyFont="1" applyFill="1" applyBorder="1" applyAlignment="1">
      <alignment horizontal="center" vertical="center" wrapText="1"/>
    </xf>
    <xf numFmtId="0" fontId="6" fillId="0" borderId="8" xfId="433" applyFont="1" applyFill="1" applyBorder="1" applyAlignment="1">
      <alignment horizontal="center" vertical="center" wrapText="1"/>
    </xf>
    <xf numFmtId="0" fontId="18" fillId="2" borderId="1" xfId="433" applyFont="1" applyFill="1" applyBorder="1" applyAlignment="1">
      <alignment horizontal="left" vertical="center" wrapText="1"/>
    </xf>
    <xf numFmtId="179" fontId="17" fillId="2" borderId="1" xfId="433" applyNumberFormat="1" applyFont="1" applyFill="1" applyBorder="1" applyAlignment="1">
      <alignment horizontal="right" vertical="center" wrapText="1"/>
    </xf>
    <xf numFmtId="179" fontId="17" fillId="2" borderId="1" xfId="0" applyNumberFormat="1" applyFont="1" applyFill="1" applyBorder="1" applyAlignment="1">
      <alignment horizontal="right" vertical="center" wrapText="1"/>
    </xf>
    <xf numFmtId="179" fontId="6" fillId="0" borderId="0" xfId="433" applyNumberFormat="1" applyFill="1" applyAlignment="1">
      <alignment horizontal="left" wrapText="1"/>
    </xf>
    <xf numFmtId="0" fontId="18" fillId="2" borderId="1" xfId="0" applyFont="1" applyFill="1" applyBorder="1" applyAlignment="1">
      <alignment horizontal="left" vertical="center" wrapText="1"/>
    </xf>
    <xf numFmtId="0" fontId="6" fillId="0" borderId="0" xfId="433" applyAlignment="1">
      <alignment horizontal="center"/>
    </xf>
    <xf numFmtId="0" fontId="0" fillId="0" borderId="0" xfId="0" applyFont="1" applyFill="1" applyAlignment="1">
      <alignment vertical="center"/>
    </xf>
    <xf numFmtId="0" fontId="27" fillId="0" borderId="0" xfId="0" applyFont="1" applyFill="1" applyAlignment="1">
      <alignment vertical="center"/>
    </xf>
    <xf numFmtId="0" fontId="28" fillId="0" borderId="0" xfId="0" applyFont="1" applyFill="1" applyBorder="1" applyAlignment="1">
      <alignment vertical="center" wrapText="1"/>
    </xf>
    <xf numFmtId="0" fontId="0" fillId="4" borderId="0" xfId="0" applyFont="1" applyFill="1" applyBorder="1" applyAlignment="1">
      <alignment vertical="center" wrapText="1"/>
    </xf>
    <xf numFmtId="0" fontId="28" fillId="0" borderId="0" xfId="0" applyFont="1" applyFill="1" applyBorder="1" applyAlignment="1">
      <alignment vertical="center"/>
    </xf>
    <xf numFmtId="0" fontId="0" fillId="4" borderId="0" xfId="0" applyFont="1" applyFill="1" applyBorder="1" applyAlignment="1">
      <alignment vertical="center"/>
    </xf>
    <xf numFmtId="0" fontId="0" fillId="4" borderId="0" xfId="0" applyFont="1" applyFill="1" applyBorder="1" applyAlignment="1"/>
    <xf numFmtId="0" fontId="29" fillId="0" borderId="0" xfId="0" applyFont="1" applyFill="1" applyBorder="1" applyAlignment="1">
      <alignment vertical="center"/>
    </xf>
    <xf numFmtId="49" fontId="0" fillId="0" borderId="0" xfId="2179" applyNumberFormat="1" applyFill="1" applyAlignment="1">
      <alignment horizontal="center" vertical="center"/>
    </xf>
    <xf numFmtId="0" fontId="0" fillId="0" borderId="0" xfId="2179" applyFill="1" applyAlignment="1">
      <alignment vertical="center"/>
    </xf>
    <xf numFmtId="179" fontId="0" fillId="0" borderId="0" xfId="0" applyNumberFormat="1" applyFont="1" applyFill="1" applyBorder="1" applyAlignment="1">
      <alignment vertical="center" wrapText="1"/>
    </xf>
    <xf numFmtId="178" fontId="0" fillId="0" borderId="0" xfId="0" applyNumberFormat="1" applyFont="1" applyFill="1" applyBorder="1" applyAlignment="1">
      <alignment vertical="center"/>
    </xf>
    <xf numFmtId="178" fontId="0" fillId="0" borderId="0" xfId="0" applyNumberFormat="1" applyFont="1" applyFill="1" applyBorder="1" applyAlignment="1">
      <alignment vertical="center" wrapText="1"/>
    </xf>
    <xf numFmtId="178" fontId="0" fillId="0" borderId="0" xfId="0" applyNumberFormat="1" applyFont="1" applyFill="1" applyAlignment="1">
      <alignment vertical="center"/>
    </xf>
    <xf numFmtId="179" fontId="0" fillId="0" borderId="0" xfId="0" applyNumberFormat="1" applyFont="1" applyFill="1" applyAlignment="1">
      <alignment vertical="center" wrapText="1"/>
    </xf>
    <xf numFmtId="0" fontId="0" fillId="0" borderId="0" xfId="0" applyNumberFormat="1" applyFont="1" applyFill="1" applyAlignment="1">
      <alignment vertical="center"/>
    </xf>
    <xf numFmtId="0" fontId="30" fillId="0" borderId="0" xfId="0" applyFont="1" applyFill="1" applyAlignment="1">
      <alignment horizontal="center" vertical="center"/>
    </xf>
    <xf numFmtId="179" fontId="30" fillId="0" borderId="0" xfId="0" applyNumberFormat="1" applyFont="1" applyFill="1" applyAlignment="1">
      <alignment horizontal="center" vertical="center" wrapText="1"/>
    </xf>
    <xf numFmtId="178" fontId="30" fillId="0" borderId="0" xfId="0" applyNumberFormat="1" applyFont="1" applyFill="1" applyAlignment="1">
      <alignment horizontal="center" vertical="center"/>
    </xf>
    <xf numFmtId="0" fontId="31" fillId="0" borderId="0" xfId="0" applyFont="1" applyFill="1" applyAlignment="1">
      <alignment vertical="center"/>
    </xf>
    <xf numFmtId="179" fontId="31" fillId="0" borderId="0" xfId="0" applyNumberFormat="1" applyFont="1" applyFill="1" applyAlignment="1">
      <alignment vertical="center" wrapText="1"/>
    </xf>
    <xf numFmtId="178" fontId="31" fillId="0" borderId="0" xfId="0" applyNumberFormat="1" applyFont="1" applyFill="1" applyAlignment="1">
      <alignment vertical="center"/>
    </xf>
    <xf numFmtId="49" fontId="29"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179" fontId="29" fillId="0" borderId="1" xfId="0" applyNumberFormat="1" applyFont="1" applyFill="1" applyBorder="1" applyAlignment="1">
      <alignment horizontal="center" vertical="center" wrapText="1"/>
    </xf>
    <xf numFmtId="179" fontId="29" fillId="0" borderId="1" xfId="0" applyNumberFormat="1" applyFont="1" applyFill="1" applyBorder="1" applyAlignment="1">
      <alignment vertical="center" wrapText="1"/>
    </xf>
    <xf numFmtId="178" fontId="8" fillId="0" borderId="1" xfId="0" applyNumberFormat="1" applyFont="1" applyFill="1" applyBorder="1" applyAlignment="1">
      <alignment horizontal="center" vertical="center" wrapText="1"/>
    </xf>
    <xf numFmtId="49" fontId="28" fillId="4" borderId="1" xfId="0" applyNumberFormat="1" applyFont="1" applyFill="1" applyBorder="1" applyAlignment="1">
      <alignment horizontal="left" vertical="center" wrapText="1"/>
    </xf>
    <xf numFmtId="49" fontId="8" fillId="4" borderId="1" xfId="0" applyNumberFormat="1" applyFont="1" applyFill="1" applyBorder="1" applyAlignment="1">
      <alignment horizontal="center" vertical="center" wrapText="1"/>
    </xf>
    <xf numFmtId="178" fontId="7" fillId="4" borderId="1" xfId="1" applyNumberFormat="1" applyFont="1" applyFill="1" applyBorder="1" applyAlignment="1">
      <alignment vertical="center"/>
    </xf>
    <xf numFmtId="49" fontId="28" fillId="0" borderId="1" xfId="0" applyNumberFormat="1" applyFont="1" applyFill="1" applyBorder="1" applyAlignment="1">
      <alignment horizontal="left" vertical="center" wrapText="1"/>
    </xf>
    <xf numFmtId="180" fontId="28" fillId="0" borderId="1" xfId="0" applyNumberFormat="1" applyFont="1" applyFill="1" applyBorder="1" applyAlignment="1">
      <alignment horizontal="center" vertical="center" wrapText="1"/>
    </xf>
    <xf numFmtId="49" fontId="28" fillId="0" borderId="1" xfId="0" applyNumberFormat="1" applyFont="1" applyFill="1" applyBorder="1" applyAlignment="1">
      <alignment vertical="center" wrapText="1"/>
    </xf>
    <xf numFmtId="179" fontId="28" fillId="0" borderId="1" xfId="1" applyNumberFormat="1" applyFont="1" applyFill="1" applyBorder="1" applyAlignment="1">
      <alignment vertical="center" wrapText="1"/>
    </xf>
    <xf numFmtId="178" fontId="7" fillId="0" borderId="1" xfId="1" applyNumberFormat="1" applyFont="1" applyFill="1" applyBorder="1" applyAlignment="1">
      <alignment vertical="center"/>
    </xf>
    <xf numFmtId="180" fontId="28" fillId="4" borderId="1" xfId="0" applyNumberFormat="1" applyFont="1" applyFill="1" applyBorder="1" applyAlignment="1">
      <alignment horizontal="center" vertical="center" wrapText="1"/>
    </xf>
    <xf numFmtId="49" fontId="28" fillId="4" borderId="1" xfId="0" applyNumberFormat="1" applyFont="1" applyFill="1" applyBorder="1" applyAlignment="1">
      <alignment vertical="center" wrapText="1"/>
    </xf>
    <xf numFmtId="49" fontId="32" fillId="0" borderId="1" xfId="0" applyNumberFormat="1" applyFont="1" applyFill="1" applyBorder="1" applyAlignment="1">
      <alignment vertical="center" wrapText="1"/>
    </xf>
    <xf numFmtId="179" fontId="28" fillId="0" borderId="1" xfId="2218" applyNumberFormat="1" applyFont="1" applyFill="1" applyBorder="1" applyAlignment="1">
      <alignment vertical="center" wrapText="1"/>
    </xf>
    <xf numFmtId="179" fontId="28" fillId="0" borderId="1" xfId="2476" applyNumberFormat="1" applyFont="1" applyFill="1" applyBorder="1" applyAlignment="1">
      <alignment vertical="center" wrapText="1"/>
    </xf>
    <xf numFmtId="178" fontId="7" fillId="4" borderId="1" xfId="2218" applyNumberFormat="1" applyFont="1" applyFill="1" applyBorder="1" applyAlignment="1">
      <alignment vertical="center"/>
    </xf>
    <xf numFmtId="178" fontId="7" fillId="4" borderId="1" xfId="2476" applyNumberFormat="1" applyFont="1" applyFill="1" applyBorder="1" applyAlignment="1">
      <alignment vertical="center"/>
    </xf>
    <xf numFmtId="49" fontId="32" fillId="4" borderId="1" xfId="0" applyNumberFormat="1" applyFont="1" applyFill="1" applyBorder="1" applyAlignment="1">
      <alignment vertical="center" wrapText="1"/>
    </xf>
    <xf numFmtId="179" fontId="33" fillId="0" borderId="0" xfId="0" applyNumberFormat="1" applyFont="1" applyFill="1" applyAlignment="1">
      <alignment vertical="center" wrapText="1"/>
    </xf>
    <xf numFmtId="178" fontId="33" fillId="0" borderId="0" xfId="0" applyNumberFormat="1" applyFont="1" applyFill="1" applyAlignment="1">
      <alignment vertical="center"/>
    </xf>
    <xf numFmtId="178" fontId="30" fillId="0" borderId="0" xfId="0" applyNumberFormat="1" applyFont="1" applyFill="1" applyAlignment="1">
      <alignment horizontal="center" vertical="center" wrapText="1"/>
    </xf>
    <xf numFmtId="178" fontId="33" fillId="0" borderId="0" xfId="0" applyNumberFormat="1" applyFont="1" applyFill="1" applyAlignment="1">
      <alignment vertical="center" wrapText="1"/>
    </xf>
    <xf numFmtId="0" fontId="34" fillId="0" borderId="0" xfId="0" applyFont="1" applyFill="1" applyAlignment="1">
      <alignment horizontal="right" vertical="center"/>
    </xf>
    <xf numFmtId="178" fontId="29" fillId="0" borderId="1" xfId="0" applyNumberFormat="1" applyFont="1" applyFill="1" applyBorder="1" applyAlignment="1">
      <alignment horizontal="center" vertical="center" wrapText="1"/>
    </xf>
    <xf numFmtId="178" fontId="7" fillId="4" borderId="1" xfId="0" applyNumberFormat="1" applyFont="1" applyFill="1" applyBorder="1" applyAlignment="1">
      <alignment vertical="center"/>
    </xf>
    <xf numFmtId="0" fontId="28" fillId="4" borderId="1" xfId="0" applyFont="1" applyFill="1" applyBorder="1" applyAlignment="1">
      <alignment vertical="center"/>
    </xf>
    <xf numFmtId="178" fontId="28" fillId="0" borderId="1" xfId="0" applyNumberFormat="1" applyFont="1" applyFill="1" applyBorder="1" applyAlignment="1">
      <alignment vertical="center" wrapText="1"/>
    </xf>
    <xf numFmtId="0" fontId="28" fillId="0" borderId="1" xfId="0" applyFont="1" applyFill="1" applyBorder="1" applyAlignment="1">
      <alignment horizontal="left" vertical="center"/>
    </xf>
    <xf numFmtId="0" fontId="28" fillId="0" borderId="1" xfId="0" applyFont="1" applyFill="1" applyBorder="1" applyAlignment="1">
      <alignment vertical="center"/>
    </xf>
    <xf numFmtId="0" fontId="28" fillId="0" borderId="1" xfId="0" applyFont="1" applyFill="1" applyBorder="1" applyAlignment="1">
      <alignment vertical="center" wrapText="1"/>
    </xf>
    <xf numFmtId="0" fontId="7" fillId="4" borderId="0" xfId="0" applyFont="1" applyFill="1" applyBorder="1" applyAlignment="1">
      <alignment vertical="center"/>
    </xf>
    <xf numFmtId="0" fontId="0" fillId="0" borderId="0" xfId="0" applyFont="1" applyFill="1" applyAlignment="1"/>
    <xf numFmtId="49" fontId="28" fillId="0" borderId="1" xfId="0" applyNumberFormat="1" applyFont="1" applyFill="1" applyBorder="1" applyAlignment="1">
      <alignment horizontal="center" vertical="center" wrapText="1"/>
    </xf>
    <xf numFmtId="49" fontId="32" fillId="0" borderId="1" xfId="0" applyNumberFormat="1" applyFont="1" applyFill="1" applyBorder="1" applyAlignment="1">
      <alignment horizontal="left" vertical="center" wrapText="1"/>
    </xf>
    <xf numFmtId="49" fontId="32" fillId="4" borderId="1" xfId="0" applyNumberFormat="1" applyFont="1" applyFill="1" applyBorder="1" applyAlignment="1">
      <alignment horizontal="left" vertical="center" wrapText="1"/>
    </xf>
    <xf numFmtId="0" fontId="28" fillId="0" borderId="1" xfId="0" applyFont="1" applyFill="1" applyBorder="1" applyAlignment="1">
      <alignment horizontal="left" vertical="center" wrapText="1"/>
    </xf>
    <xf numFmtId="0" fontId="28" fillId="4" borderId="1" xfId="0" applyFont="1" applyFill="1" applyBorder="1" applyAlignment="1">
      <alignment horizontal="left" vertical="center" wrapText="1"/>
    </xf>
    <xf numFmtId="0" fontId="28" fillId="4" borderId="1" xfId="0" applyFont="1" applyFill="1" applyBorder="1" applyAlignment="1">
      <alignment horizontal="left" vertical="center"/>
    </xf>
    <xf numFmtId="180" fontId="29" fillId="0" borderId="1" xfId="0" applyNumberFormat="1" applyFont="1" applyFill="1" applyBorder="1" applyAlignment="1">
      <alignment horizontal="center" vertical="center" wrapText="1"/>
    </xf>
    <xf numFmtId="179" fontId="29" fillId="0" borderId="1" xfId="1" applyNumberFormat="1" applyFont="1" applyFill="1" applyBorder="1" applyAlignment="1">
      <alignment vertical="center" wrapText="1"/>
    </xf>
    <xf numFmtId="178" fontId="10" fillId="0" borderId="1" xfId="1" applyNumberFormat="1" applyFont="1" applyFill="1" applyBorder="1" applyAlignment="1">
      <alignment vertical="center"/>
    </xf>
    <xf numFmtId="178" fontId="7" fillId="0" borderId="1" xfId="2218" applyNumberFormat="1" applyFont="1" applyFill="1" applyBorder="1" applyAlignment="1">
      <alignment vertical="center"/>
    </xf>
    <xf numFmtId="178" fontId="29" fillId="0" borderId="1" xfId="0" applyNumberFormat="1" applyFont="1" applyFill="1" applyBorder="1" applyAlignment="1">
      <alignment vertical="center" wrapText="1"/>
    </xf>
    <xf numFmtId="0" fontId="29" fillId="0" borderId="1" xfId="0" applyFont="1" applyFill="1" applyBorder="1" applyAlignment="1">
      <alignment vertical="center"/>
    </xf>
    <xf numFmtId="0" fontId="35" fillId="0" borderId="0" xfId="0" applyFont="1" applyFill="1" applyAlignment="1">
      <alignment vertical="center"/>
    </xf>
    <xf numFmtId="0" fontId="36"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wrapText="1"/>
    </xf>
    <xf numFmtId="0" fontId="6" fillId="0" borderId="0" xfId="0" applyFont="1" applyFill="1" applyAlignment="1">
      <alignment horizontal="center" vertical="center" wrapText="1"/>
    </xf>
    <xf numFmtId="179" fontId="6" fillId="0" borderId="0" xfId="0" applyNumberFormat="1" applyFont="1" applyFill="1" applyAlignment="1">
      <alignment horizontal="right" vertical="center"/>
    </xf>
    <xf numFmtId="0" fontId="6" fillId="0" borderId="0" xfId="0" applyFont="1" applyFill="1" applyAlignment="1">
      <alignment horizontal="left" wrapText="1"/>
    </xf>
    <xf numFmtId="0" fontId="5" fillId="0" borderId="0" xfId="0" applyFont="1" applyFill="1" applyAlignment="1">
      <alignment horizontal="right" vertical="center" wrapText="1"/>
    </xf>
    <xf numFmtId="179" fontId="5" fillId="0" borderId="0" xfId="0" applyNumberFormat="1" applyFont="1" applyFill="1" applyAlignment="1">
      <alignment horizontal="right" vertical="center" wrapText="1"/>
    </xf>
    <xf numFmtId="179" fontId="18" fillId="0" borderId="0" xfId="0" applyNumberFormat="1" applyFont="1" applyFill="1" applyAlignment="1">
      <alignment horizontal="right" vertical="center" wrapText="1"/>
    </xf>
    <xf numFmtId="0" fontId="18" fillId="0" borderId="1" xfId="0" applyFont="1" applyFill="1" applyBorder="1" applyAlignment="1">
      <alignment horizontal="center" vertical="center" wrapText="1" shrinkToFit="1"/>
    </xf>
    <xf numFmtId="0" fontId="18" fillId="0" borderId="1" xfId="0" applyFont="1" applyFill="1" applyBorder="1" applyAlignment="1">
      <alignment horizontal="right" vertical="center" wrapText="1" shrinkToFit="1"/>
    </xf>
    <xf numFmtId="179" fontId="1" fillId="0" borderId="1" xfId="1394" applyNumberFormat="1" applyFont="1" applyFill="1" applyBorder="1" applyAlignment="1">
      <alignment horizontal="right" vertical="center" wrapText="1"/>
    </xf>
    <xf numFmtId="179" fontId="1" fillId="0" borderId="1" xfId="1394" applyNumberFormat="1" applyFont="1" applyBorder="1" applyAlignment="1">
      <alignment horizontal="right" vertical="center" wrapText="1"/>
    </xf>
    <xf numFmtId="179" fontId="18" fillId="0" borderId="1" xfId="0" applyNumberFormat="1" applyFont="1" applyFill="1" applyBorder="1" applyAlignment="1">
      <alignment horizontal="right" vertical="center" wrapText="1" shrinkToFit="1"/>
    </xf>
    <xf numFmtId="0" fontId="17" fillId="5" borderId="1" xfId="0" applyFont="1" applyFill="1" applyBorder="1" applyAlignment="1">
      <alignment horizontal="center" vertical="center" wrapText="1" shrinkToFit="1"/>
    </xf>
    <xf numFmtId="0" fontId="17" fillId="5" borderId="1" xfId="0" applyFont="1" applyFill="1" applyBorder="1" applyAlignment="1">
      <alignment horizontal="right" vertical="center" wrapText="1" shrinkToFit="1"/>
    </xf>
    <xf numFmtId="179" fontId="17" fillId="5" borderId="1" xfId="0" applyNumberFormat="1" applyFont="1" applyFill="1" applyBorder="1" applyAlignment="1">
      <alignment horizontal="right" vertical="center" wrapText="1" shrinkToFit="1"/>
    </xf>
    <xf numFmtId="179" fontId="17" fillId="5" borderId="1" xfId="0" applyNumberFormat="1" applyFont="1" applyFill="1" applyBorder="1" applyAlignment="1">
      <alignment horizontal="right" vertical="center"/>
    </xf>
    <xf numFmtId="0" fontId="17" fillId="0" borderId="1" xfId="0" applyFont="1" applyFill="1" applyBorder="1" applyAlignment="1">
      <alignment horizontal="center" vertical="center" wrapText="1"/>
    </xf>
    <xf numFmtId="181" fontId="17" fillId="0" borderId="1" xfId="0" applyNumberFormat="1" applyFont="1" applyFill="1" applyBorder="1" applyAlignment="1">
      <alignment horizontal="right" vertical="center" wrapText="1"/>
    </xf>
    <xf numFmtId="179" fontId="17" fillId="0" borderId="1" xfId="0" applyNumberFormat="1" applyFont="1" applyFill="1" applyBorder="1" applyAlignment="1">
      <alignment horizontal="right" vertical="center" wrapText="1"/>
    </xf>
    <xf numFmtId="179" fontId="4" fillId="0" borderId="1" xfId="182" applyNumberFormat="1" applyFont="1" applyFill="1" applyBorder="1" applyAlignment="1">
      <alignment horizontal="right" vertical="center" wrapText="1"/>
    </xf>
    <xf numFmtId="179" fontId="4" fillId="0" borderId="1" xfId="1394" applyNumberFormat="1" applyFont="1" applyFill="1" applyBorder="1" applyAlignment="1">
      <alignment horizontal="right" vertical="center" wrapText="1"/>
    </xf>
    <xf numFmtId="179" fontId="4" fillId="0" borderId="1" xfId="1394" applyNumberFormat="1" applyFont="1" applyBorder="1" applyAlignment="1">
      <alignment horizontal="right" vertical="center" wrapText="1"/>
    </xf>
    <xf numFmtId="0" fontId="18" fillId="0" borderId="1" xfId="0" applyFont="1" applyFill="1" applyBorder="1" applyAlignment="1">
      <alignment horizontal="right" vertical="center" wrapText="1"/>
    </xf>
    <xf numFmtId="178" fontId="4" fillId="0" borderId="1" xfId="1394" applyNumberFormat="1" applyFont="1" applyFill="1" applyBorder="1" applyAlignment="1">
      <alignment horizontal="right" vertical="center" wrapText="1"/>
    </xf>
    <xf numFmtId="178" fontId="17" fillId="0" borderId="1" xfId="0" applyNumberFormat="1" applyFont="1" applyFill="1" applyBorder="1" applyAlignment="1">
      <alignment horizontal="right" vertical="center" wrapText="1"/>
    </xf>
    <xf numFmtId="0" fontId="37" fillId="0" borderId="0" xfId="0" applyFont="1" applyFill="1" applyAlignment="1">
      <alignment vertical="center" wrapText="1"/>
    </xf>
    <xf numFmtId="0" fontId="37" fillId="0" borderId="0" xfId="0" applyFont="1" applyFill="1" applyAlignment="1">
      <alignment wrapText="1"/>
    </xf>
    <xf numFmtId="0" fontId="37" fillId="0" borderId="0" xfId="0" applyFont="1" applyFill="1" applyAlignment="1">
      <alignment horizontal="center" vertical="center" wrapText="1"/>
    </xf>
    <xf numFmtId="0" fontId="5" fillId="0" borderId="0" xfId="0" applyFont="1" applyFill="1" applyAlignment="1">
      <alignment horizontal="left" vertical="center" wrapText="1"/>
    </xf>
    <xf numFmtId="0" fontId="18" fillId="0" borderId="0" xfId="0" applyFont="1" applyFill="1" applyAlignment="1">
      <alignment horizontal="right" vertical="center" wrapText="1"/>
    </xf>
    <xf numFmtId="0" fontId="18" fillId="0" borderId="0" xfId="0" applyFont="1" applyFill="1" applyAlignment="1">
      <alignment horizontal="left" vertical="center" wrapText="1"/>
    </xf>
    <xf numFmtId="179" fontId="1" fillId="0" borderId="1" xfId="1394" applyNumberFormat="1" applyFont="1" applyFill="1" applyBorder="1" applyAlignment="1">
      <alignment horizontal="center" vertical="center" wrapText="1"/>
    </xf>
    <xf numFmtId="0" fontId="18" fillId="0" borderId="1" xfId="0" applyFont="1" applyFill="1" applyBorder="1" applyAlignment="1">
      <alignment horizontal="left" vertical="center" wrapText="1" shrinkToFit="1"/>
    </xf>
    <xf numFmtId="0" fontId="18" fillId="5" borderId="1" xfId="0" applyFont="1" applyFill="1" applyBorder="1" applyAlignment="1">
      <alignment horizontal="left" vertical="center" wrapText="1" shrinkToFit="1"/>
    </xf>
    <xf numFmtId="179" fontId="17" fillId="0" borderId="1" xfId="0" applyNumberFormat="1" applyFont="1" applyFill="1" applyBorder="1" applyAlignment="1">
      <alignment horizontal="center" vertical="center" wrapText="1"/>
    </xf>
    <xf numFmtId="179" fontId="17" fillId="0" borderId="1" xfId="0" applyNumberFormat="1" applyFont="1" applyFill="1" applyBorder="1" applyAlignment="1">
      <alignment horizontal="left" vertical="center" wrapText="1"/>
    </xf>
    <xf numFmtId="179" fontId="4" fillId="0" borderId="1" xfId="1394" applyNumberFormat="1" applyFont="1" applyFill="1" applyBorder="1" applyAlignment="1">
      <alignment horizontal="center" vertical="center" wrapText="1"/>
    </xf>
    <xf numFmtId="0" fontId="4" fillId="6" borderId="1" xfId="335" applyFont="1" applyFill="1" applyBorder="1" applyAlignment="1">
      <alignment horizontal="left" vertical="center" wrapText="1"/>
    </xf>
    <xf numFmtId="178" fontId="4" fillId="0" borderId="1" xfId="1394" applyNumberFormat="1" applyFont="1" applyBorder="1" applyAlignment="1">
      <alignment horizontal="left" vertical="center" wrapText="1"/>
    </xf>
    <xf numFmtId="179" fontId="4" fillId="0" borderId="1" xfId="1394" applyNumberFormat="1" applyFont="1" applyFill="1" applyBorder="1" applyAlignment="1">
      <alignment horizontal="left" vertical="center" wrapText="1"/>
    </xf>
    <xf numFmtId="0" fontId="34" fillId="0" borderId="0" xfId="0" applyFont="1" applyFill="1" applyAlignment="1">
      <alignment vertical="center"/>
    </xf>
    <xf numFmtId="0" fontId="4" fillId="0" borderId="0" xfId="0" applyFont="1" applyFill="1" applyBorder="1" applyAlignment="1">
      <alignment vertical="center"/>
    </xf>
    <xf numFmtId="41" fontId="0" fillId="0" borderId="0" xfId="0" applyNumberFormat="1" applyFont="1" applyFill="1" applyBorder="1" applyAlignment="1">
      <alignment vertical="center" wrapText="1"/>
    </xf>
    <xf numFmtId="0" fontId="20" fillId="0" borderId="0" xfId="0" applyFont="1" applyFill="1" applyBorder="1" applyAlignment="1">
      <alignment horizontal="left" vertical="center"/>
    </xf>
    <xf numFmtId="179" fontId="38" fillId="0" borderId="0" xfId="0" applyNumberFormat="1" applyFont="1" applyFill="1" applyBorder="1" applyAlignment="1">
      <alignment horizontal="center" vertical="center" wrapText="1"/>
    </xf>
    <xf numFmtId="179" fontId="38" fillId="0" borderId="0" xfId="0" applyNumberFormat="1" applyFont="1" applyFill="1" applyBorder="1" applyAlignment="1">
      <alignment horizontal="left" vertical="center" wrapText="1"/>
    </xf>
    <xf numFmtId="41" fontId="38" fillId="0" borderId="0" xfId="0" applyNumberFormat="1" applyFont="1" applyFill="1" applyBorder="1" applyAlignment="1">
      <alignment horizontal="center" vertical="center" wrapText="1"/>
    </xf>
    <xf numFmtId="0" fontId="30" fillId="0" borderId="0" xfId="0" applyFont="1" applyFill="1" applyBorder="1" applyAlignment="1">
      <alignment horizontal="center" vertical="center"/>
    </xf>
    <xf numFmtId="179" fontId="30" fillId="0" borderId="0" xfId="0" applyNumberFormat="1" applyFont="1" applyFill="1" applyBorder="1" applyAlignment="1">
      <alignment horizontal="center" vertical="center" wrapText="1"/>
    </xf>
    <xf numFmtId="179" fontId="30" fillId="0" borderId="0" xfId="0" applyNumberFormat="1" applyFont="1" applyFill="1" applyBorder="1" applyAlignment="1">
      <alignment horizontal="left" vertical="center" wrapText="1"/>
    </xf>
    <xf numFmtId="41" fontId="30"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xf>
    <xf numFmtId="179" fontId="31" fillId="0" borderId="0" xfId="0" applyNumberFormat="1" applyFont="1" applyFill="1" applyBorder="1" applyAlignment="1">
      <alignment horizontal="center" vertical="center" wrapText="1"/>
    </xf>
    <xf numFmtId="179" fontId="31" fillId="0" borderId="0" xfId="0" applyNumberFormat="1" applyFont="1" applyFill="1" applyBorder="1" applyAlignment="1">
      <alignment horizontal="left" vertical="center" wrapText="1"/>
    </xf>
    <xf numFmtId="41" fontId="31" fillId="0" borderId="0" xfId="0" applyNumberFormat="1"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41" fontId="4" fillId="0" borderId="1" xfId="0" applyNumberFormat="1" applyFont="1" applyFill="1" applyBorder="1" applyAlignment="1">
      <alignment horizontal="center" vertical="center" wrapText="1"/>
    </xf>
    <xf numFmtId="179" fontId="4" fillId="0" borderId="1" xfId="0" applyNumberFormat="1" applyFont="1" applyFill="1" applyBorder="1" applyAlignment="1">
      <alignment horizontal="center" vertical="center" wrapText="1" shrinkToFit="1"/>
    </xf>
    <xf numFmtId="0" fontId="4" fillId="0" borderId="1" xfId="0" applyFont="1" applyFill="1" applyBorder="1" applyAlignment="1">
      <alignment horizontal="left" vertical="center" wrapText="1"/>
    </xf>
    <xf numFmtId="179" fontId="4" fillId="0" borderId="1" xfId="0" applyNumberFormat="1" applyFont="1" applyFill="1" applyBorder="1" applyAlignment="1">
      <alignment horizontal="right" vertical="center" wrapText="1"/>
    </xf>
    <xf numFmtId="178" fontId="4" fillId="0" borderId="1" xfId="0" applyNumberFormat="1" applyFont="1" applyFill="1" applyBorder="1" applyAlignment="1">
      <alignment horizontal="right" vertical="center" wrapText="1"/>
    </xf>
    <xf numFmtId="179" fontId="1" fillId="0" borderId="1" xfId="2218" applyNumberFormat="1" applyFont="1" applyFill="1" applyBorder="1" applyAlignment="1">
      <alignment horizontal="right" vertical="center" wrapText="1"/>
    </xf>
    <xf numFmtId="179" fontId="1" fillId="0" borderId="1" xfId="1" applyNumberFormat="1" applyFont="1" applyFill="1" applyBorder="1" applyAlignment="1">
      <alignment horizontal="right" vertical="center" wrapText="1"/>
    </xf>
    <xf numFmtId="178" fontId="1" fillId="0" borderId="1" xfId="0" applyNumberFormat="1" applyFont="1" applyFill="1" applyBorder="1" applyAlignment="1">
      <alignment horizontal="right" vertical="center" wrapText="1"/>
    </xf>
    <xf numFmtId="179" fontId="4" fillId="0" borderId="1" xfId="1" applyNumberFormat="1" applyFont="1" applyFill="1" applyBorder="1" applyAlignment="1">
      <alignment horizontal="right" vertical="center" wrapText="1"/>
    </xf>
    <xf numFmtId="179" fontId="39" fillId="0" borderId="1" xfId="2218" applyNumberFormat="1" applyFont="1" applyFill="1" applyBorder="1" applyAlignment="1">
      <alignment horizontal="right" vertical="center" wrapText="1"/>
    </xf>
    <xf numFmtId="0" fontId="38" fillId="0" borderId="0" xfId="0" applyFont="1" applyFill="1" applyBorder="1" applyAlignment="1">
      <alignment horizontal="center" vertical="center"/>
    </xf>
    <xf numFmtId="182" fontId="20" fillId="0" borderId="0" xfId="0" applyNumberFormat="1" applyFont="1" applyFill="1" applyBorder="1" applyAlignment="1">
      <alignment horizontal="right" vertical="center" wrapText="1"/>
    </xf>
    <xf numFmtId="41" fontId="4" fillId="0" borderId="1" xfId="0" applyNumberFormat="1" applyFont="1" applyFill="1" applyBorder="1" applyAlignment="1">
      <alignment horizontal="center" vertical="center" wrapText="1" shrinkToFit="1"/>
    </xf>
    <xf numFmtId="0" fontId="28" fillId="0" borderId="0" xfId="0" applyFont="1" applyFill="1" applyAlignment="1"/>
    <xf numFmtId="0" fontId="40" fillId="0" borderId="0" xfId="0" applyFont="1" applyFill="1" applyAlignment="1"/>
    <xf numFmtId="0" fontId="28" fillId="0" borderId="0" xfId="0" applyFont="1" applyFill="1" applyAlignment="1">
      <alignment vertical="center" wrapText="1"/>
    </xf>
    <xf numFmtId="0" fontId="28" fillId="0" borderId="0" xfId="0" applyFont="1" applyFill="1" applyAlignment="1">
      <alignment vertical="center"/>
    </xf>
    <xf numFmtId="179" fontId="28" fillId="0" borderId="0" xfId="0" applyNumberFormat="1" applyFont="1" applyFill="1" applyAlignment="1">
      <alignment horizontal="center"/>
    </xf>
    <xf numFmtId="179" fontId="28" fillId="0" borderId="0" xfId="0" applyNumberFormat="1" applyFont="1" applyFill="1" applyAlignment="1"/>
    <xf numFmtId="0" fontId="0" fillId="0" borderId="1" xfId="0" applyFont="1" applyFill="1" applyBorder="1" applyAlignment="1">
      <alignment horizontal="center" vertical="center"/>
    </xf>
    <xf numFmtId="179" fontId="8" fillId="0" borderId="16" xfId="0" applyNumberFormat="1" applyFont="1" applyFill="1" applyBorder="1" applyAlignment="1">
      <alignment horizontal="center" vertical="center"/>
    </xf>
    <xf numFmtId="179" fontId="8" fillId="0" borderId="5" xfId="0" applyNumberFormat="1" applyFont="1" applyFill="1" applyBorder="1" applyAlignment="1">
      <alignment horizontal="center" vertical="center"/>
    </xf>
    <xf numFmtId="179" fontId="8" fillId="0" borderId="8" xfId="0" applyNumberFormat="1" applyFont="1" applyFill="1" applyBorder="1" applyAlignment="1">
      <alignment horizontal="center" vertical="center"/>
    </xf>
    <xf numFmtId="179" fontId="0" fillId="0" borderId="1" xfId="0" applyNumberFormat="1" applyFont="1" applyFill="1" applyBorder="1" applyAlignment="1">
      <alignment horizontal="center" vertical="center"/>
    </xf>
    <xf numFmtId="179" fontId="28" fillId="0" borderId="1" xfId="0" applyNumberFormat="1" applyFont="1" applyFill="1" applyBorder="1" applyAlignment="1">
      <alignment horizontal="center" vertical="center" wrapText="1"/>
    </xf>
    <xf numFmtId="179" fontId="28" fillId="0" borderId="1" xfId="0" applyNumberFormat="1" applyFont="1" applyFill="1" applyBorder="1" applyAlignment="1">
      <alignment vertical="center" wrapText="1"/>
    </xf>
    <xf numFmtId="179" fontId="28" fillId="0" borderId="0" xfId="0" applyNumberFormat="1" applyFont="1" applyFill="1" applyAlignment="1">
      <alignment horizontal="center" vertical="center"/>
    </xf>
    <xf numFmtId="179" fontId="28" fillId="0" borderId="0" xfId="0" applyNumberFormat="1" applyFont="1" applyFill="1" applyAlignment="1">
      <alignment vertical="center"/>
    </xf>
    <xf numFmtId="179" fontId="28" fillId="0" borderId="1" xfId="0" applyNumberFormat="1" applyFont="1" applyFill="1" applyBorder="1" applyAlignment="1" applyProtection="1">
      <alignment vertical="center" wrapText="1"/>
    </xf>
    <xf numFmtId="179" fontId="1" fillId="0" borderId="0" xfId="0" applyNumberFormat="1" applyFont="1" applyFill="1" applyAlignment="1">
      <alignment horizontal="right" vertical="center"/>
    </xf>
    <xf numFmtId="0" fontId="1" fillId="0" borderId="0" xfId="0" applyFont="1" applyFill="1" applyAlignment="1">
      <alignment horizontal="right" vertical="center"/>
    </xf>
    <xf numFmtId="179" fontId="0" fillId="0" borderId="1" xfId="0" applyNumberFormat="1" applyFont="1" applyFill="1" applyBorder="1" applyAlignment="1">
      <alignment horizontal="center" vertical="center" wrapText="1"/>
    </xf>
    <xf numFmtId="0" fontId="28" fillId="0" borderId="8" xfId="0" applyFont="1" applyFill="1" applyBorder="1" applyAlignment="1">
      <alignment vertical="center" wrapText="1"/>
    </xf>
    <xf numFmtId="0" fontId="29" fillId="0" borderId="8" xfId="0" applyFont="1" applyFill="1" applyBorder="1" applyAlignment="1">
      <alignment vertical="center" wrapText="1"/>
    </xf>
    <xf numFmtId="0" fontId="1" fillId="7" borderId="0" xfId="0" applyFont="1" applyFill="1" applyAlignment="1">
      <alignment vertical="center" wrapText="1"/>
    </xf>
    <xf numFmtId="0" fontId="18" fillId="8" borderId="0" xfId="0" applyFont="1" applyFill="1" applyAlignment="1">
      <alignment vertical="center"/>
    </xf>
    <xf numFmtId="0" fontId="18" fillId="8" borderId="0" xfId="0" applyFont="1" applyFill="1" applyAlignment="1">
      <alignment vertical="center" wrapText="1"/>
    </xf>
    <xf numFmtId="0" fontId="18" fillId="7" borderId="0" xfId="0" applyFont="1" applyFill="1" applyAlignment="1">
      <alignment vertical="center" wrapText="1"/>
    </xf>
    <xf numFmtId="0" fontId="18" fillId="7" borderId="0" xfId="0" applyFont="1" applyFill="1" applyAlignment="1">
      <alignment vertical="center"/>
    </xf>
    <xf numFmtId="0" fontId="4" fillId="7" borderId="0" xfId="0" applyFont="1" applyFill="1" applyAlignment="1">
      <alignment vertical="center" wrapText="1"/>
    </xf>
    <xf numFmtId="0" fontId="1" fillId="8" borderId="0" xfId="0" applyFont="1" applyFill="1" applyAlignment="1">
      <alignment vertical="center" wrapText="1"/>
    </xf>
    <xf numFmtId="0" fontId="18" fillId="0" borderId="0" xfId="0" applyFont="1" applyFill="1" applyAlignment="1">
      <alignment horizontal="center" vertical="center"/>
    </xf>
    <xf numFmtId="0" fontId="1" fillId="0" borderId="0" xfId="0" applyFont="1" applyFill="1" applyAlignment="1">
      <alignment horizontal="center" vertical="center"/>
    </xf>
    <xf numFmtId="179" fontId="1" fillId="0" borderId="0" xfId="0" applyNumberFormat="1" applyFont="1" applyFill="1" applyAlignment="1">
      <alignment vertical="center" wrapText="1"/>
    </xf>
    <xf numFmtId="0" fontId="1" fillId="0" borderId="0" xfId="0" applyFont="1" applyFill="1" applyAlignment="1">
      <alignment horizontal="left" vertical="center" wrapText="1"/>
    </xf>
    <xf numFmtId="0" fontId="9" fillId="0" borderId="0" xfId="0" applyFont="1" applyFill="1" applyAlignment="1">
      <alignment horizontal="center" vertical="center" wrapText="1"/>
    </xf>
    <xf numFmtId="179" fontId="9" fillId="0" borderId="0" xfId="0" applyNumberFormat="1" applyFont="1" applyFill="1" applyAlignment="1">
      <alignment horizontal="center" vertical="center" wrapText="1"/>
    </xf>
    <xf numFmtId="0" fontId="18" fillId="0" borderId="0" xfId="0" applyFont="1" applyFill="1" applyAlignment="1">
      <alignment horizontal="center" vertical="center" wrapText="1"/>
    </xf>
    <xf numFmtId="0" fontId="1" fillId="0" borderId="0" xfId="0" applyFont="1" applyFill="1" applyAlignment="1">
      <alignment horizontal="center" vertical="center" wrapText="1"/>
    </xf>
    <xf numFmtId="179" fontId="1" fillId="0" borderId="0" xfId="0" applyNumberFormat="1" applyFont="1" applyFill="1" applyAlignment="1">
      <alignment horizontal="center" vertical="center" wrapText="1"/>
    </xf>
    <xf numFmtId="179" fontId="4" fillId="0" borderId="9" xfId="0" applyNumberFormat="1" applyFont="1" applyFill="1" applyBorder="1" applyAlignment="1">
      <alignment horizontal="center" vertical="center" wrapText="1"/>
    </xf>
    <xf numFmtId="179" fontId="4" fillId="0" borderId="1" xfId="0" applyNumberFormat="1" applyFont="1" applyFill="1" applyBorder="1" applyAlignment="1">
      <alignment vertical="center" wrapText="1"/>
    </xf>
    <xf numFmtId="179" fontId="4" fillId="0" borderId="13" xfId="0" applyNumberFormat="1" applyFont="1" applyFill="1" applyBorder="1" applyAlignment="1">
      <alignment horizontal="center" vertical="center" wrapText="1"/>
    </xf>
    <xf numFmtId="0" fontId="18" fillId="0" borderId="1" xfId="0" applyFont="1" applyFill="1" applyBorder="1" applyAlignment="1">
      <alignment horizontal="center" vertical="center"/>
    </xf>
    <xf numFmtId="179" fontId="1" fillId="0" borderId="1" xfId="0" applyNumberFormat="1" applyFont="1" applyFill="1" applyBorder="1" applyAlignment="1">
      <alignment horizontal="center" vertical="center" wrapText="1"/>
    </xf>
    <xf numFmtId="0" fontId="17" fillId="0" borderId="1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8" xfId="0" applyFont="1" applyFill="1" applyBorder="1" applyAlignment="1">
      <alignment horizontal="center" vertical="center"/>
    </xf>
    <xf numFmtId="0" fontId="18" fillId="7" borderId="1" xfId="0" applyNumberFormat="1" applyFont="1" applyFill="1" applyBorder="1" applyAlignment="1">
      <alignment horizontal="center" vertical="center"/>
    </xf>
    <xf numFmtId="0" fontId="4" fillId="7" borderId="1" xfId="0" applyFont="1" applyFill="1" applyBorder="1" applyAlignment="1">
      <alignment horizontal="center" vertical="center" wrapText="1"/>
    </xf>
    <xf numFmtId="179" fontId="4" fillId="7" borderId="1" xfId="0" applyNumberFormat="1" applyFont="1" applyFill="1" applyBorder="1" applyAlignment="1">
      <alignment horizontal="right" vertical="center" wrapText="1"/>
    </xf>
    <xf numFmtId="0" fontId="18" fillId="8" borderId="1" xfId="0" applyNumberFormat="1" applyFont="1" applyFill="1" applyBorder="1" applyAlignment="1">
      <alignment horizontal="center" vertical="center"/>
    </xf>
    <xf numFmtId="0" fontId="18" fillId="8" borderId="1" xfId="0" applyNumberFormat="1" applyFont="1" applyFill="1" applyBorder="1" applyAlignment="1">
      <alignment horizontal="center" vertical="center" wrapText="1"/>
    </xf>
    <xf numFmtId="0" fontId="18" fillId="8" borderId="1" xfId="0" applyNumberFormat="1" applyFont="1" applyFill="1" applyBorder="1" applyAlignment="1" applyProtection="1">
      <alignment horizontal="left" vertical="center" wrapText="1"/>
    </xf>
    <xf numFmtId="179" fontId="17" fillId="8" borderId="1" xfId="0" applyNumberFormat="1" applyFont="1" applyFill="1" applyBorder="1" applyAlignment="1">
      <alignment horizontal="right" vertical="center" wrapText="1"/>
    </xf>
    <xf numFmtId="178" fontId="18" fillId="8" borderId="1" xfId="0" applyNumberFormat="1" applyFont="1" applyFill="1" applyBorder="1" applyAlignment="1">
      <alignment horizontal="center" vertical="center" wrapText="1"/>
    </xf>
    <xf numFmtId="179" fontId="3" fillId="8" borderId="1" xfId="0" applyNumberFormat="1" applyFont="1" applyFill="1" applyBorder="1" applyAlignment="1">
      <alignment horizontal="right" vertical="center" wrapText="1"/>
    </xf>
    <xf numFmtId="0" fontId="17" fillId="7" borderId="16" xfId="0" applyFont="1" applyFill="1" applyBorder="1" applyAlignment="1">
      <alignment horizontal="center" vertical="center" wrapText="1"/>
    </xf>
    <xf numFmtId="0" fontId="17" fillId="7" borderId="5" xfId="0" applyFont="1" applyFill="1" applyBorder="1" applyAlignment="1">
      <alignment horizontal="center" vertical="center" wrapText="1"/>
    </xf>
    <xf numFmtId="0" fontId="17" fillId="7" borderId="8" xfId="0" applyFont="1" applyFill="1" applyBorder="1" applyAlignment="1">
      <alignment horizontal="left" vertical="center" wrapText="1"/>
    </xf>
    <xf numFmtId="179" fontId="17" fillId="7" borderId="1" xfId="0" applyNumberFormat="1" applyFont="1" applyFill="1" applyBorder="1" applyAlignment="1">
      <alignment horizontal="right" vertical="center" wrapText="1"/>
    </xf>
    <xf numFmtId="179" fontId="17" fillId="7" borderId="1" xfId="0" applyNumberFormat="1" applyFont="1" applyFill="1" applyBorder="1" applyAlignment="1" applyProtection="1">
      <alignment horizontal="right" vertical="center" wrapText="1"/>
    </xf>
    <xf numFmtId="0" fontId="17" fillId="7" borderId="14" xfId="0" applyFont="1" applyFill="1" applyBorder="1" applyAlignment="1">
      <alignment horizontal="center" vertical="center" wrapText="1"/>
    </xf>
    <xf numFmtId="0" fontId="17" fillId="7" borderId="11" xfId="0" applyFont="1" applyFill="1" applyBorder="1" applyAlignment="1">
      <alignment horizontal="center" vertical="center" wrapText="1"/>
    </xf>
    <xf numFmtId="0" fontId="17" fillId="7" borderId="15" xfId="0" applyFont="1" applyFill="1" applyBorder="1" applyAlignment="1">
      <alignment horizontal="center" vertical="center" wrapText="1"/>
    </xf>
    <xf numFmtId="0" fontId="18" fillId="0" borderId="1" xfId="0" applyNumberFormat="1" applyFont="1" applyFill="1" applyBorder="1" applyAlignment="1">
      <alignment horizontal="center" vertical="center"/>
    </xf>
    <xf numFmtId="178" fontId="1" fillId="0" borderId="1" xfId="0" applyNumberFormat="1" applyFont="1" applyFill="1" applyBorder="1" applyAlignment="1">
      <alignment horizontal="left" vertical="center" wrapText="1"/>
    </xf>
    <xf numFmtId="179" fontId="1" fillId="0" borderId="1" xfId="0" applyNumberFormat="1" applyFont="1" applyFill="1" applyBorder="1" applyAlignment="1" applyProtection="1">
      <alignment horizontal="right" vertical="center" wrapText="1"/>
    </xf>
    <xf numFmtId="0" fontId="4" fillId="7" borderId="16"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16" xfId="0" applyFont="1" applyFill="1" applyBorder="1" applyAlignment="1" applyProtection="1">
      <alignment horizontal="center" vertical="center" wrapText="1"/>
      <protection locked="0"/>
    </xf>
    <xf numFmtId="0" fontId="4" fillId="7" borderId="5" xfId="0" applyFont="1" applyFill="1" applyBorder="1" applyAlignment="1" applyProtection="1">
      <alignment horizontal="center" vertical="center" wrapText="1"/>
      <protection locked="0"/>
    </xf>
    <xf numFmtId="0" fontId="4" fillId="7" borderId="8" xfId="0" applyFont="1" applyFill="1" applyBorder="1" applyAlignment="1" applyProtection="1">
      <alignment horizontal="center" vertical="center" wrapText="1"/>
      <protection locked="0"/>
    </xf>
    <xf numFmtId="0" fontId="9" fillId="0" borderId="0" xfId="0" applyFont="1" applyFill="1" applyAlignment="1">
      <alignment horizontal="left" vertical="center" wrapText="1"/>
    </xf>
    <xf numFmtId="179" fontId="1" fillId="0" borderId="0" xfId="0" applyNumberFormat="1" applyFont="1" applyFill="1" applyBorder="1" applyAlignment="1">
      <alignment vertical="center" wrapText="1"/>
    </xf>
    <xf numFmtId="182" fontId="1" fillId="0" borderId="0" xfId="0" applyNumberFormat="1" applyFont="1" applyFill="1" applyBorder="1" applyAlignment="1">
      <alignment horizontal="right" vertical="center" wrapText="1"/>
    </xf>
    <xf numFmtId="0" fontId="1" fillId="7" borderId="1" xfId="0" applyFont="1" applyFill="1" applyBorder="1" applyAlignment="1">
      <alignment horizontal="left" vertical="center" wrapText="1"/>
    </xf>
    <xf numFmtId="179" fontId="17" fillId="8" borderId="1" xfId="0" applyNumberFormat="1" applyFont="1" applyFill="1" applyBorder="1" applyAlignment="1" applyProtection="1">
      <alignment horizontal="right" vertical="center" wrapText="1"/>
    </xf>
    <xf numFmtId="0" fontId="18" fillId="8" borderId="1" xfId="0" applyNumberFormat="1" applyFont="1" applyFill="1" applyBorder="1" applyAlignment="1">
      <alignment horizontal="left" vertical="center" wrapText="1"/>
    </xf>
    <xf numFmtId="0" fontId="6" fillId="8" borderId="1" xfId="0" applyFont="1" applyFill="1" applyBorder="1" applyAlignment="1">
      <alignment horizontal="left" vertical="center" wrapText="1"/>
    </xf>
    <xf numFmtId="0" fontId="18" fillId="7" borderId="1" xfId="0" applyFont="1" applyFill="1" applyBorder="1" applyAlignment="1">
      <alignment horizontal="left" vertical="center" wrapText="1"/>
    </xf>
    <xf numFmtId="0" fontId="6" fillId="7" borderId="1" xfId="0" applyFont="1" applyFill="1" applyBorder="1" applyAlignment="1">
      <alignment horizontal="left" vertical="center" wrapText="1"/>
    </xf>
    <xf numFmtId="0" fontId="4" fillId="7" borderId="1" xfId="0" applyFont="1" applyFill="1" applyBorder="1" applyAlignment="1">
      <alignment horizontal="left" vertical="center" wrapText="1"/>
    </xf>
    <xf numFmtId="0" fontId="1" fillId="0" borderId="1" xfId="0" applyFont="1" applyFill="1" applyBorder="1" applyAlignment="1" applyProtection="1">
      <alignment horizontal="center" vertical="center" wrapText="1"/>
      <protection locked="0"/>
    </xf>
    <xf numFmtId="179" fontId="25" fillId="0" borderId="1" xfId="0" applyNumberFormat="1" applyFont="1" applyFill="1" applyBorder="1" applyAlignment="1" applyProtection="1">
      <alignment horizontal="right" vertical="center" wrapText="1"/>
    </xf>
    <xf numFmtId="179" fontId="26" fillId="0" borderId="1" xfId="0" applyNumberFormat="1" applyFont="1" applyFill="1" applyBorder="1" applyAlignment="1">
      <alignment horizontal="right" vertical="center" wrapText="1"/>
    </xf>
    <xf numFmtId="179" fontId="6" fillId="0" borderId="1" xfId="0" applyNumberFormat="1" applyFont="1" applyFill="1" applyBorder="1" applyAlignment="1">
      <alignment horizontal="right" vertical="center" wrapText="1"/>
    </xf>
    <xf numFmtId="179" fontId="25" fillId="0" borderId="1" xfId="0" applyNumberFormat="1" applyFont="1" applyFill="1" applyBorder="1" applyAlignment="1">
      <alignment horizontal="right" vertical="center" wrapText="1"/>
    </xf>
    <xf numFmtId="0" fontId="18" fillId="0" borderId="1"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26" fillId="0" borderId="1" xfId="0" applyNumberFormat="1" applyFont="1" applyFill="1" applyBorder="1" applyAlignment="1">
      <alignment horizontal="left" vertical="center" wrapText="1"/>
    </xf>
    <xf numFmtId="0" fontId="26" fillId="0" borderId="9" xfId="0" applyNumberFormat="1" applyFont="1" applyFill="1" applyBorder="1" applyAlignment="1">
      <alignment horizontal="left" vertical="center" wrapText="1"/>
    </xf>
    <xf numFmtId="0" fontId="26" fillId="0" borderId="17" xfId="0" applyNumberFormat="1" applyFont="1" applyFill="1" applyBorder="1" applyAlignment="1">
      <alignment horizontal="left" vertical="center" wrapText="1"/>
    </xf>
    <xf numFmtId="0" fontId="26" fillId="0" borderId="13" xfId="0" applyNumberFormat="1" applyFont="1" applyFill="1" applyBorder="1" applyAlignment="1">
      <alignment horizontal="left" vertical="center" wrapText="1"/>
    </xf>
    <xf numFmtId="182" fontId="41" fillId="0" borderId="1" xfId="1556" applyNumberFormat="1" applyFont="1" applyFill="1" applyBorder="1" applyAlignment="1" applyProtection="1">
      <alignment horizontal="left" vertical="center" wrapText="1"/>
    </xf>
    <xf numFmtId="0" fontId="25" fillId="0" borderId="1" xfId="0" applyNumberFormat="1" applyFont="1" applyFill="1" applyBorder="1" applyAlignment="1">
      <alignment horizontal="left" vertical="center" wrapText="1"/>
    </xf>
    <xf numFmtId="0" fontId="41" fillId="0" borderId="1" xfId="0" applyNumberFormat="1" applyFont="1" applyFill="1" applyBorder="1" applyAlignment="1" applyProtection="1">
      <alignment horizontal="left" vertical="center" wrapText="1"/>
    </xf>
    <xf numFmtId="0" fontId="1" fillId="0" borderId="16" xfId="0" applyFont="1" applyFill="1" applyBorder="1" applyAlignment="1" applyProtection="1">
      <alignment horizontal="center" vertical="center" wrapText="1"/>
      <protection locked="0"/>
    </xf>
    <xf numFmtId="0" fontId="1" fillId="0" borderId="16" xfId="0" applyFont="1" applyFill="1" applyBorder="1" applyAlignment="1">
      <alignment horizontal="center" vertical="center" wrapText="1"/>
    </xf>
    <xf numFmtId="0" fontId="6" fillId="0" borderId="1" xfId="107"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 xfId="0" applyNumberFormat="1" applyFont="1" applyFill="1" applyBorder="1" applyAlignment="1" applyProtection="1">
      <alignment horizontal="left" vertical="center" wrapText="1"/>
    </xf>
    <xf numFmtId="179" fontId="20" fillId="0" borderId="1" xfId="0" applyNumberFormat="1" applyFont="1" applyFill="1" applyBorder="1" applyAlignment="1">
      <alignment horizontal="right" vertical="center" wrapText="1"/>
    </xf>
    <xf numFmtId="0" fontId="20" fillId="0" borderId="1" xfId="0" applyFont="1" applyFill="1" applyBorder="1" applyAlignment="1">
      <alignment horizontal="left" vertical="center" wrapText="1"/>
    </xf>
    <xf numFmtId="183" fontId="4" fillId="7" borderId="1" xfId="0" applyNumberFormat="1" applyFont="1" applyFill="1" applyBorder="1" applyAlignment="1">
      <alignment horizontal="left" vertical="center" wrapText="1"/>
    </xf>
    <xf numFmtId="0" fontId="6" fillId="0" borderId="18" xfId="0" applyFont="1" applyFill="1" applyBorder="1" applyAlignment="1">
      <alignment horizontal="left" vertical="center" wrapText="1"/>
    </xf>
    <xf numFmtId="0" fontId="41" fillId="0" borderId="8" xfId="0" applyNumberFormat="1" applyFont="1" applyFill="1" applyBorder="1" applyAlignment="1" applyProtection="1">
      <alignment horizontal="left" vertical="center" wrapText="1"/>
    </xf>
    <xf numFmtId="0" fontId="1" fillId="8" borderId="1" xfId="0" applyFont="1" applyFill="1" applyBorder="1" applyAlignment="1">
      <alignment horizontal="center" vertical="center" wrapText="1"/>
    </xf>
    <xf numFmtId="0" fontId="1" fillId="8" borderId="1" xfId="0" applyFont="1" applyFill="1" applyBorder="1" applyAlignment="1">
      <alignment horizontal="left" vertical="center" wrapText="1"/>
    </xf>
    <xf numFmtId="179" fontId="25" fillId="8" borderId="1" xfId="0" applyNumberFormat="1" applyFont="1" applyFill="1" applyBorder="1" applyAlignment="1" applyProtection="1">
      <alignment horizontal="center" vertical="center" wrapText="1"/>
    </xf>
    <xf numFmtId="179" fontId="1" fillId="8" borderId="1" xfId="0" applyNumberFormat="1" applyFont="1" applyFill="1" applyBorder="1" applyAlignment="1" applyProtection="1">
      <alignment horizontal="right" vertical="center" wrapText="1"/>
    </xf>
    <xf numFmtId="0" fontId="41" fillId="8" borderId="1" xfId="0" applyNumberFormat="1" applyFont="1" applyFill="1" applyBorder="1" applyAlignment="1" applyProtection="1">
      <alignment horizontal="left" vertical="center" wrapText="1"/>
    </xf>
    <xf numFmtId="178" fontId="1" fillId="8" borderId="1" xfId="0" applyNumberFormat="1" applyFont="1" applyFill="1" applyBorder="1" applyAlignment="1">
      <alignment horizontal="left" vertical="center" wrapText="1"/>
    </xf>
    <xf numFmtId="49" fontId="1" fillId="8" borderId="1" xfId="0" applyNumberFormat="1" applyFont="1" applyFill="1" applyBorder="1" applyAlignment="1">
      <alignment horizontal="left" vertical="center" wrapText="1"/>
    </xf>
    <xf numFmtId="179" fontId="1" fillId="8" borderId="1" xfId="0" applyNumberFormat="1" applyFont="1" applyFill="1" applyBorder="1" applyAlignment="1">
      <alignment horizontal="right" vertical="center" wrapText="1"/>
    </xf>
    <xf numFmtId="0" fontId="1" fillId="8" borderId="1" xfId="0" applyFont="1" applyFill="1" applyBorder="1" applyAlignment="1" applyProtection="1">
      <alignment horizontal="center" vertical="center" wrapText="1"/>
      <protection locked="0"/>
    </xf>
    <xf numFmtId="179" fontId="25" fillId="8" borderId="1" xfId="0" applyNumberFormat="1" applyFont="1" applyFill="1" applyBorder="1" applyAlignment="1">
      <alignment horizontal="right" vertical="center" wrapText="1"/>
    </xf>
    <xf numFmtId="179" fontId="6" fillId="8" borderId="1" xfId="0" applyNumberFormat="1" applyFont="1" applyFill="1" applyBorder="1" applyAlignment="1">
      <alignment horizontal="right" vertical="center" wrapText="1"/>
    </xf>
    <xf numFmtId="0" fontId="17" fillId="7" borderId="1" xfId="0" applyNumberFormat="1" applyFont="1" applyFill="1" applyBorder="1" applyAlignment="1">
      <alignment horizontal="center" vertical="center"/>
    </xf>
    <xf numFmtId="179" fontId="4" fillId="7" borderId="1" xfId="0" applyNumberFormat="1" applyFont="1" applyFill="1" applyBorder="1" applyAlignment="1" applyProtection="1">
      <alignment horizontal="right" vertical="center" wrapText="1"/>
    </xf>
    <xf numFmtId="179" fontId="26" fillId="8" borderId="1" xfId="0" applyNumberFormat="1" applyFont="1" applyFill="1" applyBorder="1" applyAlignment="1">
      <alignment horizontal="center" vertical="center" wrapText="1"/>
    </xf>
    <xf numFmtId="0" fontId="26" fillId="8" borderId="1" xfId="0" applyNumberFormat="1" applyFont="1" applyFill="1" applyBorder="1" applyAlignment="1">
      <alignment horizontal="left" vertical="center" wrapText="1"/>
    </xf>
    <xf numFmtId="0" fontId="25" fillId="8" borderId="1" xfId="0" applyNumberFormat="1" applyFont="1" applyFill="1" applyBorder="1" applyAlignment="1">
      <alignment horizontal="left" vertical="center" wrapText="1"/>
    </xf>
    <xf numFmtId="0" fontId="1" fillId="0" borderId="0" xfId="0" applyFont="1" applyFill="1" applyBorder="1" applyAlignment="1">
      <alignment horizontal="center" vertical="center"/>
    </xf>
    <xf numFmtId="0" fontId="4" fillId="0" borderId="9" xfId="0" applyFont="1" applyFill="1" applyBorder="1" applyAlignment="1">
      <alignment vertical="center"/>
    </xf>
    <xf numFmtId="181" fontId="0"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179" fontId="0" fillId="0" borderId="0" xfId="0" applyNumberFormat="1" applyFont="1" applyFill="1" applyBorder="1" applyAlignment="1">
      <alignment horizontal="center" vertical="center" wrapText="1"/>
    </xf>
    <xf numFmtId="181" fontId="1" fillId="0" borderId="0" xfId="0" applyNumberFormat="1" applyFont="1" applyFill="1" applyBorder="1" applyAlignment="1">
      <alignment horizontal="left" vertical="center"/>
    </xf>
    <xf numFmtId="181" fontId="9" fillId="0" borderId="0" xfId="0" applyNumberFormat="1" applyFont="1" applyFill="1" applyBorder="1" applyAlignment="1">
      <alignment horizontal="center" vertical="center"/>
    </xf>
    <xf numFmtId="179" fontId="9" fillId="0" borderId="0" xfId="0" applyNumberFormat="1" applyFont="1" applyFill="1" applyBorder="1" applyAlignment="1">
      <alignment horizontal="center" vertical="center" wrapText="1"/>
    </xf>
    <xf numFmtId="181" fontId="11" fillId="0" borderId="0" xfId="0" applyNumberFormat="1" applyFont="1" applyFill="1" applyBorder="1" applyAlignment="1">
      <alignment horizontal="center" vertical="center"/>
    </xf>
    <xf numFmtId="179" fontId="11" fillId="0" borderId="0" xfId="0" applyNumberFormat="1" applyFont="1" applyFill="1" applyBorder="1" applyAlignment="1">
      <alignment horizontal="center" vertical="center" wrapText="1"/>
    </xf>
    <xf numFmtId="181" fontId="1" fillId="0" borderId="1" xfId="0" applyNumberFormat="1" applyFont="1" applyFill="1" applyBorder="1" applyAlignment="1">
      <alignment horizontal="left" vertical="center" wrapText="1"/>
    </xf>
    <xf numFmtId="179" fontId="1" fillId="0" borderId="1" xfId="0" applyNumberFormat="1" applyFont="1" applyFill="1" applyBorder="1" applyAlignment="1">
      <alignment vertical="center" wrapText="1"/>
    </xf>
    <xf numFmtId="181" fontId="9" fillId="0" borderId="0" xfId="0" applyNumberFormat="1" applyFont="1" applyFill="1" applyBorder="1" applyAlignment="1">
      <alignment horizontal="center" vertical="center" wrapText="1"/>
    </xf>
    <xf numFmtId="181" fontId="11" fillId="0" borderId="0" xfId="0" applyNumberFormat="1" applyFont="1" applyFill="1" applyBorder="1" applyAlignment="1">
      <alignment horizontal="center" vertical="center" wrapText="1"/>
    </xf>
    <xf numFmtId="181" fontId="28" fillId="0" borderId="0" xfId="0" applyNumberFormat="1" applyFont="1" applyFill="1" applyBorder="1" applyAlignment="1">
      <alignment horizontal="right" vertical="center"/>
    </xf>
    <xf numFmtId="182" fontId="4" fillId="0" borderId="1" xfId="0" applyNumberFormat="1" applyFont="1" applyFill="1" applyBorder="1" applyAlignment="1">
      <alignment horizontal="center" vertical="center" wrapText="1"/>
    </xf>
    <xf numFmtId="178" fontId="1" fillId="0" borderId="1" xfId="0" applyNumberFormat="1" applyFont="1" applyFill="1" applyBorder="1" applyAlignment="1">
      <alignment vertical="center" wrapText="1"/>
    </xf>
    <xf numFmtId="184" fontId="20" fillId="0" borderId="1" xfId="0" applyNumberFormat="1" applyFont="1" applyFill="1" applyBorder="1" applyAlignment="1">
      <alignment vertical="center" wrapText="1"/>
    </xf>
    <xf numFmtId="0" fontId="20" fillId="0" borderId="1" xfId="0" applyFont="1" applyFill="1" applyBorder="1" applyAlignment="1">
      <alignment vertical="center" wrapText="1"/>
    </xf>
    <xf numFmtId="0" fontId="41" fillId="0" borderId="1" xfId="0" applyNumberFormat="1" applyFont="1" applyFill="1" applyBorder="1" applyAlignment="1" applyProtection="1">
      <alignment vertical="center" wrapText="1"/>
    </xf>
    <xf numFmtId="49" fontId="1" fillId="0" borderId="1" xfId="0" applyNumberFormat="1" applyFont="1" applyFill="1" applyBorder="1" applyAlignment="1">
      <alignment vertical="center" wrapText="1"/>
    </xf>
    <xf numFmtId="181"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vertical="center" wrapText="1"/>
    </xf>
    <xf numFmtId="184" fontId="42" fillId="0" borderId="1" xfId="0" applyNumberFormat="1" applyFont="1" applyFill="1" applyBorder="1" applyAlignment="1">
      <alignment vertical="center" wrapText="1"/>
    </xf>
    <xf numFmtId="0" fontId="4" fillId="0" borderId="19" xfId="0" applyFont="1" applyFill="1" applyBorder="1" applyAlignment="1">
      <alignment vertical="center"/>
    </xf>
    <xf numFmtId="0" fontId="7" fillId="0" borderId="0" xfId="0" applyFont="1" applyAlignment="1">
      <alignment vertical="center"/>
    </xf>
    <xf numFmtId="0" fontId="1"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center" vertical="center"/>
    </xf>
    <xf numFmtId="0" fontId="0" fillId="0" borderId="0" xfId="0" applyFont="1" applyAlignment="1">
      <alignment vertical="center"/>
    </xf>
    <xf numFmtId="178" fontId="9" fillId="0" borderId="0" xfId="0" applyNumberFormat="1" applyFont="1" applyFill="1" applyAlignment="1">
      <alignment horizontal="center" vertical="center"/>
    </xf>
    <xf numFmtId="0" fontId="9" fillId="0" borderId="0" xfId="0" applyNumberFormat="1" applyFont="1" applyFill="1" applyAlignment="1">
      <alignment horizontal="center" vertical="center"/>
    </xf>
    <xf numFmtId="0" fontId="7" fillId="0" borderId="0" xfId="0" applyFont="1" applyFill="1" applyAlignment="1">
      <alignment vertical="center"/>
    </xf>
    <xf numFmtId="178" fontId="7" fillId="0" borderId="0" xfId="0" applyNumberFormat="1" applyFont="1" applyFill="1" applyAlignment="1">
      <alignment vertical="center"/>
    </xf>
    <xf numFmtId="0" fontId="7" fillId="0" borderId="0" xfId="0" applyNumberFormat="1" applyFont="1" applyFill="1" applyAlignment="1">
      <alignment vertical="center"/>
    </xf>
    <xf numFmtId="0" fontId="4" fillId="0" borderId="9" xfId="0"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178" fontId="1" fillId="0" borderId="1" xfId="0" applyNumberFormat="1" applyFont="1" applyFill="1" applyBorder="1"/>
    <xf numFmtId="0" fontId="1" fillId="0" borderId="1" xfId="0" applyNumberFormat="1" applyFont="1" applyFill="1" applyBorder="1"/>
    <xf numFmtId="0" fontId="4" fillId="0" borderId="13" xfId="0" applyFont="1" applyFill="1" applyBorder="1" applyAlignment="1">
      <alignment horizontal="center" vertical="center" wrapText="1"/>
    </xf>
    <xf numFmtId="178" fontId="4" fillId="0" borderId="1" xfId="0" applyNumberFormat="1" applyFont="1" applyFill="1" applyBorder="1" applyAlignment="1">
      <alignment horizontal="center" vertical="center" shrinkToFit="1"/>
    </xf>
    <xf numFmtId="0" fontId="4" fillId="0" borderId="13" xfId="0" applyNumberFormat="1" applyFont="1" applyFill="1" applyBorder="1" applyAlignment="1">
      <alignment horizontal="center" vertical="center" wrapText="1"/>
    </xf>
    <xf numFmtId="0" fontId="4" fillId="0" borderId="13" xfId="0" applyFont="1" applyFill="1" applyBorder="1" applyAlignment="1">
      <alignment horizontal="left" vertical="center"/>
    </xf>
    <xf numFmtId="179" fontId="43" fillId="0" borderId="1" xfId="1" applyNumberFormat="1" applyFont="1" applyFill="1" applyBorder="1" applyAlignment="1">
      <alignment horizontal="right" vertical="center"/>
    </xf>
    <xf numFmtId="179" fontId="39" fillId="0" borderId="1" xfId="1" applyNumberFormat="1" applyFont="1" applyFill="1" applyBorder="1" applyAlignment="1">
      <alignment horizontal="right" vertical="center"/>
    </xf>
    <xf numFmtId="178" fontId="1" fillId="0" borderId="1" xfId="1" applyNumberFormat="1" applyFont="1" applyFill="1" applyBorder="1" applyAlignment="1">
      <alignment vertical="center"/>
    </xf>
    <xf numFmtId="0" fontId="1" fillId="0" borderId="9" xfId="0" applyFont="1" applyFill="1" applyBorder="1" applyAlignment="1">
      <alignment horizontal="left" vertical="center"/>
    </xf>
    <xf numFmtId="0" fontId="1" fillId="0" borderId="20" xfId="0" applyFont="1" applyFill="1" applyBorder="1" applyAlignment="1">
      <alignment horizontal="left" vertical="center"/>
    </xf>
    <xf numFmtId="179" fontId="39" fillId="0" borderId="20" xfId="1" applyNumberFormat="1" applyFont="1" applyFill="1" applyBorder="1" applyAlignment="1">
      <alignment horizontal="right" vertical="center"/>
    </xf>
    <xf numFmtId="179" fontId="43" fillId="0" borderId="13" xfId="1" applyNumberFormat="1" applyFont="1" applyFill="1" applyBorder="1" applyAlignment="1">
      <alignment horizontal="right" vertical="center"/>
    </xf>
    <xf numFmtId="178" fontId="4" fillId="0" borderId="13" xfId="1" applyNumberFormat="1" applyFont="1" applyFill="1" applyBorder="1" applyAlignment="1">
      <alignment vertical="center"/>
    </xf>
    <xf numFmtId="41" fontId="4" fillId="0" borderId="1" xfId="1" applyNumberFormat="1" applyFont="1" applyFill="1" applyBorder="1" applyAlignment="1">
      <alignment vertical="center"/>
    </xf>
    <xf numFmtId="41" fontId="1" fillId="0" borderId="1" xfId="0" applyNumberFormat="1" applyFont="1" applyFill="1" applyBorder="1" applyAlignment="1">
      <alignment vertical="center"/>
    </xf>
    <xf numFmtId="0" fontId="0" fillId="0" borderId="0" xfId="0" applyFill="1" applyAlignment="1">
      <alignment vertical="center"/>
    </xf>
    <xf numFmtId="0" fontId="4" fillId="0" borderId="8" xfId="0" applyFont="1" applyFill="1" applyBorder="1" applyAlignment="1">
      <alignment horizontal="center" vertical="center" wrapText="1"/>
    </xf>
    <xf numFmtId="0" fontId="4" fillId="0" borderId="13" xfId="0" applyNumberFormat="1" applyFont="1" applyFill="1" applyBorder="1" applyAlignment="1">
      <alignment horizontal="center" vertical="center" shrinkToFit="1"/>
    </xf>
    <xf numFmtId="0" fontId="0" fillId="0" borderId="0" xfId="0" applyAlignment="1">
      <alignment vertical="center"/>
    </xf>
    <xf numFmtId="0" fontId="1" fillId="0" borderId="9" xfId="0" applyFont="1" applyFill="1" applyBorder="1" applyAlignment="1">
      <alignment vertical="center"/>
    </xf>
    <xf numFmtId="0" fontId="4" fillId="0" borderId="13" xfId="0" applyFont="1" applyFill="1" applyBorder="1" applyAlignment="1">
      <alignment vertical="center"/>
    </xf>
    <xf numFmtId="0" fontId="1" fillId="0" borderId="1" xfId="0" applyFont="1" applyFill="1" applyBorder="1" applyAlignment="1">
      <alignment vertical="center" wrapText="1"/>
    </xf>
    <xf numFmtId="0" fontId="0" fillId="0" borderId="0" xfId="0" applyFont="1" applyAlignment="1">
      <alignment horizontal="center" vertical="center"/>
    </xf>
    <xf numFmtId="0" fontId="40" fillId="0" borderId="0" xfId="0" applyFont="1"/>
    <xf numFmtId="0" fontId="40" fillId="0" borderId="0" xfId="0" applyFont="1" applyAlignment="1">
      <alignment horizontal="center"/>
    </xf>
    <xf numFmtId="0" fontId="8" fillId="0" borderId="0" xfId="0" applyFont="1"/>
    <xf numFmtId="0" fontId="44" fillId="0" borderId="0" xfId="0" applyFont="1" applyAlignment="1">
      <alignment horizontal="left"/>
    </xf>
    <xf numFmtId="0" fontId="44" fillId="0" borderId="0" xfId="0" applyFont="1"/>
    <xf numFmtId="0" fontId="45" fillId="0" borderId="0" xfId="0" applyFont="1" applyAlignment="1">
      <alignment horizontal="center"/>
    </xf>
    <xf numFmtId="0" fontId="44" fillId="0" borderId="0" xfId="0" applyFont="1" applyAlignment="1">
      <alignment horizontal="center"/>
    </xf>
    <xf numFmtId="0" fontId="44" fillId="0" borderId="0" xfId="0" applyFont="1" applyAlignment="1">
      <alignment horizontal="right"/>
    </xf>
    <xf numFmtId="0" fontId="45" fillId="0" borderId="0" xfId="0" applyFont="1" applyAlignment="1"/>
    <xf numFmtId="0" fontId="44" fillId="0" borderId="0" xfId="0" applyFont="1" applyAlignment="1"/>
    <xf numFmtId="0" fontId="1" fillId="0" borderId="1" xfId="0" applyFont="1" applyFill="1" applyBorder="1" applyAlignment="1" quotePrefix="1">
      <alignment vertical="center"/>
    </xf>
    <xf numFmtId="0" fontId="1" fillId="0" borderId="1" xfId="0" applyFont="1" applyFill="1" applyBorder="1" applyAlignment="1" quotePrefix="1">
      <alignment horizontal="left" vertical="center"/>
    </xf>
    <xf numFmtId="0" fontId="1" fillId="0" borderId="9" xfId="0" applyFont="1" applyFill="1" applyBorder="1" applyAlignment="1" quotePrefix="1">
      <alignment horizontal="left" vertical="center"/>
    </xf>
    <xf numFmtId="0" fontId="1" fillId="0" borderId="20" xfId="0" applyFont="1" applyFill="1" applyBorder="1" applyAlignment="1" quotePrefix="1">
      <alignment horizontal="left" vertical="center"/>
    </xf>
    <xf numFmtId="0" fontId="28" fillId="4" borderId="1" xfId="0" applyFont="1" applyFill="1" applyBorder="1" applyAlignment="1" quotePrefix="1">
      <alignment horizontal="left" vertical="center" wrapText="1"/>
    </xf>
    <xf numFmtId="0" fontId="28" fillId="0" borderId="1" xfId="0" applyFont="1" applyFill="1" applyBorder="1" applyAlignment="1" quotePrefix="1">
      <alignment horizontal="left" vertical="center" wrapText="1"/>
    </xf>
  </cellXfs>
  <cellStyles count="36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27" xfId="49"/>
    <cellStyle name="常规 3 32" xfId="50"/>
    <cellStyle name="常规 3 9 4" xfId="51"/>
    <cellStyle name="常规 39" xfId="52"/>
    <cellStyle name="常规 44" xfId="53"/>
    <cellStyle name="千位分隔 4 7 3" xfId="54"/>
    <cellStyle name="常规 5 9 2" xfId="55"/>
    <cellStyle name="常规 2 2 4" xfId="56"/>
    <cellStyle name="千位分隔 2 4 5 3" xfId="57"/>
    <cellStyle name="常规 3 10 17" xfId="58"/>
    <cellStyle name="千位分隔 2 19 6" xfId="59"/>
    <cellStyle name="千位分隔 2 3 7 15" xfId="60"/>
    <cellStyle name="千位分隔 2 8 3 18" xfId="61"/>
    <cellStyle name="常规 3 14" xfId="62"/>
    <cellStyle name="常规 2 26" xfId="63"/>
    <cellStyle name="常规 2 31" xfId="64"/>
    <cellStyle name="常规 3 4 3" xfId="65"/>
    <cellStyle name="千位分隔 2 5 7 2" xfId="66"/>
    <cellStyle name="常规 3 15 10" xfId="67"/>
    <cellStyle name="常规 3 10 6" xfId="68"/>
    <cellStyle name="常规 3 2 10 4" xfId="69"/>
    <cellStyle name="千位分隔 2 15 3 9" xfId="70"/>
    <cellStyle name="千位分隔 2 16 3 2" xfId="71"/>
    <cellStyle name="常规 4 13" xfId="72"/>
    <cellStyle name="千位分隔 2 8 4 17" xfId="73"/>
    <cellStyle name="常规 10 2 2 3" xfId="74"/>
    <cellStyle name="千位分隔 2 3 8 14" xfId="75"/>
    <cellStyle name="常规 3 11 16" xfId="76"/>
    <cellStyle name="常规 2 7 3" xfId="77"/>
    <cellStyle name="常规 3 2 14 4" xfId="78"/>
    <cellStyle name="常规 6 13" xfId="79"/>
    <cellStyle name="常规 6" xfId="80"/>
    <cellStyle name="常规 3 14 6" xfId="81"/>
    <cellStyle name="常规 4 12" xfId="82"/>
    <cellStyle name="千位分隔 2 8 4 16" xfId="83"/>
    <cellStyle name="千位分隔 4 11 12" xfId="84"/>
    <cellStyle name="常规 3 27 3" xfId="85"/>
    <cellStyle name="常规 6 5" xfId="86"/>
    <cellStyle name="常规 4 4 3" xfId="87"/>
    <cellStyle name="常规 195" xfId="88"/>
    <cellStyle name="常规 5 2" xfId="89"/>
    <cellStyle name="常规 137" xfId="90"/>
    <cellStyle name="常规 142" xfId="91"/>
    <cellStyle name="常规 3 12 14" xfId="92"/>
    <cellStyle name="千位分隔 2 16 4 4" xfId="93"/>
    <cellStyle name="千位分隔 4 11 10" xfId="94"/>
    <cellStyle name="常规 4 11" xfId="95"/>
    <cellStyle name="千位分隔 2 8 4 15" xfId="96"/>
    <cellStyle name="千位分隔 4 11 11" xfId="97"/>
    <cellStyle name="常规 3 27 2" xfId="98"/>
    <cellStyle name="千位分隔 2 16 3 3" xfId="99"/>
    <cellStyle name="常规 4 14" xfId="100"/>
    <cellStyle name="千位分隔 2 8 4 18" xfId="101"/>
    <cellStyle name="常规 90" xfId="102"/>
    <cellStyle name="常规 85" xfId="103"/>
    <cellStyle name="常规 10 25" xfId="104"/>
    <cellStyle name="常规 10 30" xfId="105"/>
    <cellStyle name="常规 31" xfId="106"/>
    <cellStyle name="常规 26" xfId="107"/>
    <cellStyle name="常规 6 15 3" xfId="108"/>
    <cellStyle name="千位分隔 2 3 5 12" xfId="109"/>
    <cellStyle name="常规 159" xfId="110"/>
    <cellStyle name="常规 164" xfId="111"/>
    <cellStyle name="千位分隔 2 12 22" xfId="112"/>
    <cellStyle name="千位分隔 2 12 17" xfId="113"/>
    <cellStyle name="千位分隔 2 5 23" xfId="114"/>
    <cellStyle name="千位分隔 2 5 18" xfId="115"/>
    <cellStyle name="常规 5 2 30" xfId="116"/>
    <cellStyle name="常规 5 2 25" xfId="117"/>
    <cellStyle name="常规 15 8" xfId="118"/>
    <cellStyle name="千位分隔 2 4 6 16" xfId="119"/>
    <cellStyle name="常规 5 6 6" xfId="120"/>
    <cellStyle name="千位分隔 2 4 2 7" xfId="121"/>
    <cellStyle name="常规 3 13 4" xfId="122"/>
    <cellStyle name="常规 3 2 13 2" xfId="123"/>
    <cellStyle name="常规 3 2 6" xfId="124"/>
    <cellStyle name="千位分隔 2 5 3 12" xfId="125"/>
    <cellStyle name="千位分隔 2 5 5 5" xfId="126"/>
    <cellStyle name="常规 3 15 19" xfId="127"/>
    <cellStyle name="常规 6 15 2" xfId="128"/>
    <cellStyle name="千位分隔 2 3 5 11" xfId="129"/>
    <cellStyle name="常规 158" xfId="130"/>
    <cellStyle name="常规 163" xfId="131"/>
    <cellStyle name="常规 15 19" xfId="132"/>
    <cellStyle name="千位分隔 2 3 5 13" xfId="133"/>
    <cellStyle name="千位分隔 2 2 4 2" xfId="134"/>
    <cellStyle name="常规 165" xfId="135"/>
    <cellStyle name="常规 170" xfId="136"/>
    <cellStyle name="常规 3 8 2" xfId="137"/>
    <cellStyle name="千位分隔 2 3 5 14" xfId="138"/>
    <cellStyle name="千位分隔 2 2 4 3" xfId="139"/>
    <cellStyle name="常规 166" xfId="140"/>
    <cellStyle name="常规 171" xfId="141"/>
    <cellStyle name="常规 3 15 11" xfId="142"/>
    <cellStyle name="常规 4 9 10" xfId="143"/>
    <cellStyle name="常规 3 8 3" xfId="144"/>
    <cellStyle name="千位分隔 2 3 5 15" xfId="145"/>
    <cellStyle name="千位分隔 2 2 4 4" xfId="146"/>
    <cellStyle name="常规 167" xfId="147"/>
    <cellStyle name="常规 172" xfId="148"/>
    <cellStyle name="常规 3 15 12" xfId="149"/>
    <cellStyle name="千位分隔 2 16 3 4" xfId="150"/>
    <cellStyle name="常规 4 15" xfId="151"/>
    <cellStyle name="千位分隔 2 8 4 19" xfId="152"/>
    <cellStyle name="常规 4 9 11" xfId="153"/>
    <cellStyle name="常规 3 8 4" xfId="154"/>
    <cellStyle name="千位分隔 2 3 5 16" xfId="155"/>
    <cellStyle name="千位分隔 2 2 4 5" xfId="156"/>
    <cellStyle name="常规 3 24 2" xfId="157"/>
    <cellStyle name="常规 3 19 2" xfId="158"/>
    <cellStyle name="常规 168" xfId="159"/>
    <cellStyle name="常规 173" xfId="160"/>
    <cellStyle name="常规 3 15 13" xfId="161"/>
    <cellStyle name="常规 3 2 6 2" xfId="162"/>
    <cellStyle name="千位分隔 2 15 2 10" xfId="163"/>
    <cellStyle name="千位分隔 2 16 3 5" xfId="164"/>
    <cellStyle name="常规 4 16" xfId="165"/>
    <cellStyle name="常规 10 12 2" xfId="166"/>
    <cellStyle name="常规 10 13 3" xfId="167"/>
    <cellStyle name="千位分隔 2 4 6 19" xfId="168"/>
    <cellStyle name="常规 5 6 9" xfId="169"/>
    <cellStyle name="千位分隔 2 12 10" xfId="170"/>
    <cellStyle name="常规 14 3" xfId="171"/>
    <cellStyle name="常规 10 12 3" xfId="172"/>
    <cellStyle name="常规 16 4" xfId="173"/>
    <cellStyle name="千位分隔 2 5 6 17" xfId="174"/>
    <cellStyle name="常规 10 11" xfId="175"/>
    <cellStyle name="千位分隔 2 12 4 8" xfId="176"/>
    <cellStyle name="常规 12" xfId="177"/>
    <cellStyle name="常规 10 15 4" xfId="178"/>
    <cellStyle name="常规 3 14 12" xfId="179"/>
    <cellStyle name="千位分隔 4 6 9" xfId="180"/>
    <cellStyle name="千位分隔 2 12 4 6" xfId="181"/>
    <cellStyle name="常规 10" xfId="182"/>
    <cellStyle name="常规 10 15 2" xfId="183"/>
    <cellStyle name="常规 3 14 10" xfId="184"/>
    <cellStyle name="常规 5 8 8" xfId="185"/>
    <cellStyle name="千位分隔 2 4 4 9" xfId="186"/>
    <cellStyle name="常规 16 2" xfId="187"/>
    <cellStyle name="常规 5 8 9" xfId="188"/>
    <cellStyle name="常规 16 3" xfId="189"/>
    <cellStyle name="千位分隔 2 5 6 16" xfId="190"/>
    <cellStyle name="常规 10 10" xfId="191"/>
    <cellStyle name="千位分隔 2 12 4 7" xfId="192"/>
    <cellStyle name="常规 11" xfId="193"/>
    <cellStyle name="常规 10 15 3" xfId="194"/>
    <cellStyle name="常规 3 14 11" xfId="195"/>
    <cellStyle name="常规 16 5" xfId="196"/>
    <cellStyle name="千位分隔 2 5 6 18" xfId="197"/>
    <cellStyle name="常规 10 12" xfId="198"/>
    <cellStyle name="千位分隔 2 12 4 9" xfId="199"/>
    <cellStyle name="常规 13" xfId="200"/>
    <cellStyle name="常规 3 14 13" xfId="201"/>
    <cellStyle name="常规 10 10 2" xfId="202"/>
    <cellStyle name="常规 3 13 10" xfId="203"/>
    <cellStyle name="常规 16 6" xfId="204"/>
    <cellStyle name="常规 2 10 2" xfId="205"/>
    <cellStyle name="千位分隔 2 5 6 19" xfId="206"/>
    <cellStyle name="常规 10 13" xfId="207"/>
    <cellStyle name="常规 14" xfId="208"/>
    <cellStyle name="常规 3 14 14" xfId="209"/>
    <cellStyle name="常规 5 24 2" xfId="210"/>
    <cellStyle name="常规 5 19 2" xfId="211"/>
    <cellStyle name="常规 10 10 3" xfId="212"/>
    <cellStyle name="常规 3 13 11" xfId="213"/>
    <cellStyle name="常规 5 24 3" xfId="214"/>
    <cellStyle name="常规 5 19 3" xfId="215"/>
    <cellStyle name="常规 10 10 4" xfId="216"/>
    <cellStyle name="常规 3 13 12" xfId="217"/>
    <cellStyle name="常规 10 11 2" xfId="218"/>
    <cellStyle name="常规 5 25 2" xfId="219"/>
    <cellStyle name="常规 10 11 3" xfId="220"/>
    <cellStyle name="常规 5 4 9" xfId="221"/>
    <cellStyle name="常规 12 3" xfId="222"/>
    <cellStyle name="常规 5 25 3" xfId="223"/>
    <cellStyle name="常规 10 11 4" xfId="224"/>
    <cellStyle name="常规 10 12 4" xfId="225"/>
    <cellStyle name="常规 10 13 2" xfId="226"/>
    <cellStyle name="千位分隔 2 4 6 18" xfId="227"/>
    <cellStyle name="常规 5 6 8" xfId="228"/>
    <cellStyle name="千位分隔 2 4 2 9" xfId="229"/>
    <cellStyle name="常规 14 2" xfId="230"/>
    <cellStyle name="常规 10 13 4" xfId="231"/>
    <cellStyle name="千位分隔 2 12 11" xfId="232"/>
    <cellStyle name="常规 14 4" xfId="233"/>
    <cellStyle name="常规 16 7" xfId="234"/>
    <cellStyle name="常规 2 10 3" xfId="235"/>
    <cellStyle name="常规 10 14" xfId="236"/>
    <cellStyle name="常规 15" xfId="237"/>
    <cellStyle name="常规 20" xfId="238"/>
    <cellStyle name="千位分隔 2 3 9 2" xfId="239"/>
    <cellStyle name="常规 3 14 15" xfId="240"/>
    <cellStyle name="千位分隔 2 2 3 12" xfId="241"/>
    <cellStyle name="常规 10 14 2" xfId="242"/>
    <cellStyle name="常规 5 7 8" xfId="243"/>
    <cellStyle name="千位分隔 2 4 3 9" xfId="244"/>
    <cellStyle name="常规 15 2" xfId="245"/>
    <cellStyle name="千位分隔 2 2 3 13" xfId="246"/>
    <cellStyle name="常规 10 14 3" xfId="247"/>
    <cellStyle name="常规 5 7 9" xfId="248"/>
    <cellStyle name="常规 15 3" xfId="249"/>
    <cellStyle name="千位分隔 2 2 3 14" xfId="250"/>
    <cellStyle name="常规 10 14 4" xfId="251"/>
    <cellStyle name="常规 15 4" xfId="252"/>
    <cellStyle name="常规 16 8" xfId="253"/>
    <cellStyle name="常规 2 10 4" xfId="254"/>
    <cellStyle name="常规 10 15" xfId="255"/>
    <cellStyle name="常规 10 20" xfId="256"/>
    <cellStyle name="常规 16" xfId="257"/>
    <cellStyle name="常规 21" xfId="258"/>
    <cellStyle name="千位分隔 2 3 9 3" xfId="259"/>
    <cellStyle name="常规 3 14 16" xfId="260"/>
    <cellStyle name="常规 16 9" xfId="261"/>
    <cellStyle name="常规 10 16" xfId="262"/>
    <cellStyle name="常规 10 21" xfId="263"/>
    <cellStyle name="常规 17" xfId="264"/>
    <cellStyle name="常规 22" xfId="265"/>
    <cellStyle name="千位分隔 2 3 9 4" xfId="266"/>
    <cellStyle name="常规 3 14 17" xfId="267"/>
    <cellStyle name="千位分隔 4 7 9" xfId="268"/>
    <cellStyle name="常规 60" xfId="269"/>
    <cellStyle name="常规 55" xfId="270"/>
    <cellStyle name="常规 10 16 2" xfId="271"/>
    <cellStyle name="常规 5 9 8" xfId="272"/>
    <cellStyle name="千位分隔 2 4 5 9" xfId="273"/>
    <cellStyle name="千位分隔 2 13 2 13" xfId="274"/>
    <cellStyle name="常规 17 2" xfId="275"/>
    <cellStyle name="常规 61" xfId="276"/>
    <cellStyle name="常规 56" xfId="277"/>
    <cellStyle name="常规 10 16 3" xfId="278"/>
    <cellStyle name="常规 5 9 9" xfId="279"/>
    <cellStyle name="千位分隔 2 13 2 14" xfId="280"/>
    <cellStyle name="常规 17 3" xfId="281"/>
    <cellStyle name="常规 62" xfId="282"/>
    <cellStyle name="常规 57" xfId="283"/>
    <cellStyle name="常规 10 16 4" xfId="284"/>
    <cellStyle name="千位分隔 2 13 2 15" xfId="285"/>
    <cellStyle name="常规 17 4" xfId="286"/>
    <cellStyle name="常规 10 17" xfId="287"/>
    <cellStyle name="常规 10 22" xfId="288"/>
    <cellStyle name="常规 18" xfId="289"/>
    <cellStyle name="常规 23" xfId="290"/>
    <cellStyle name="常规 3 14 18" xfId="291"/>
    <cellStyle name="常规 10 18" xfId="292"/>
    <cellStyle name="常规 10 23" xfId="293"/>
    <cellStyle name="常规 19" xfId="294"/>
    <cellStyle name="常规 24" xfId="295"/>
    <cellStyle name="常规 3 14 19" xfId="296"/>
    <cellStyle name="常规 10 19" xfId="297"/>
    <cellStyle name="常规 10 24" xfId="298"/>
    <cellStyle name="常规 30" xfId="299"/>
    <cellStyle name="常规 25" xfId="300"/>
    <cellStyle name="常规 5 2 8" xfId="301"/>
    <cellStyle name="常规 10 2" xfId="302"/>
    <cellStyle name="千位分隔 2 18 17" xfId="303"/>
    <cellStyle name="常规 5 2 8 2" xfId="304"/>
    <cellStyle name="常规 10 2 2" xfId="305"/>
    <cellStyle name="千位分隔 2 6 3 4" xfId="306"/>
    <cellStyle name="常规 2 7" xfId="307"/>
    <cellStyle name="千位分隔 2 18 18" xfId="308"/>
    <cellStyle name="常规 5 2 8 3" xfId="309"/>
    <cellStyle name="千位分隔 2 14 3 2" xfId="310"/>
    <cellStyle name="常规 10 2 3" xfId="311"/>
    <cellStyle name="千位分隔 2 6 3 5" xfId="312"/>
    <cellStyle name="常规 2 8" xfId="313"/>
    <cellStyle name="千位分隔 2 18 19" xfId="314"/>
    <cellStyle name="常规 5 2 8 4" xfId="315"/>
    <cellStyle name="千位分隔 2 14 3 3" xfId="316"/>
    <cellStyle name="常规 10 2 4" xfId="317"/>
    <cellStyle name="千位分隔 2 6 3 6" xfId="318"/>
    <cellStyle name="常规 2 9" xfId="319"/>
    <cellStyle name="千位分隔 2 5 10 2" xfId="320"/>
    <cellStyle name="常规 5 2 12 2" xfId="321"/>
    <cellStyle name="千位分隔 2 14 3 4" xfId="322"/>
    <cellStyle name="常规 10 2 5" xfId="323"/>
    <cellStyle name="千位分隔 2 5 10 3" xfId="324"/>
    <cellStyle name="常规 5 2 12 3" xfId="325"/>
    <cellStyle name="千位分隔 2 14 3 5" xfId="326"/>
    <cellStyle name="常规 10 2 6" xfId="327"/>
    <cellStyle name="常规 10 26" xfId="328"/>
    <cellStyle name="常规 10 31" xfId="329"/>
    <cellStyle name="常规 3 10 10" xfId="330"/>
    <cellStyle name="常规 32" xfId="331"/>
    <cellStyle name="常规 27" xfId="332"/>
    <cellStyle name="常规 10 27" xfId="333"/>
    <cellStyle name="常规 3 10 11" xfId="334"/>
    <cellStyle name="常规 33" xfId="335"/>
    <cellStyle name="常规 28" xfId="336"/>
    <cellStyle name="常规 10 28" xfId="337"/>
    <cellStyle name="常规 10 33" xfId="338"/>
    <cellStyle name="千位分隔 2 3 7 10" xfId="339"/>
    <cellStyle name="常规 3 10 12" xfId="340"/>
    <cellStyle name="常规 34" xfId="341"/>
    <cellStyle name="常规 29" xfId="342"/>
    <cellStyle name="常规 10 29" xfId="343"/>
    <cellStyle name="千位分隔 2 3 7 11" xfId="344"/>
    <cellStyle name="千位分隔 2 19 2" xfId="345"/>
    <cellStyle name="常规 3 10 13" xfId="346"/>
    <cellStyle name="常规 5 2 9" xfId="347"/>
    <cellStyle name="常规 10 3" xfId="348"/>
    <cellStyle name="千位分隔 4 2 15" xfId="349"/>
    <cellStyle name="千位分隔 2 9 2 12" xfId="350"/>
    <cellStyle name="常规 5 2 9 2" xfId="351"/>
    <cellStyle name="常规 10 3 2" xfId="352"/>
    <cellStyle name="千位分隔 4 2 16" xfId="353"/>
    <cellStyle name="千位分隔 2 9 2 13" xfId="354"/>
    <cellStyle name="常规 5 2 9 3" xfId="355"/>
    <cellStyle name="千位分隔 2 14 4 2" xfId="356"/>
    <cellStyle name="常规 10 3 3" xfId="357"/>
    <cellStyle name="千位分隔 4 2 17" xfId="358"/>
    <cellStyle name="千位分隔 2 9 2 14" xfId="359"/>
    <cellStyle name="常规 5 2 9 4" xfId="360"/>
    <cellStyle name="千位分隔 2 14 4 3" xfId="361"/>
    <cellStyle name="常规 10 3 4" xfId="362"/>
    <cellStyle name="千位分隔 4 2 18" xfId="363"/>
    <cellStyle name="千位分隔 2 9 2 15" xfId="364"/>
    <cellStyle name="千位分隔 2 5 11 2" xfId="365"/>
    <cellStyle name="常规 5 2 13 2" xfId="366"/>
    <cellStyle name="千位分隔 2 14 4 4" xfId="367"/>
    <cellStyle name="常规 10 3 5" xfId="368"/>
    <cellStyle name="千位分隔 4 2 19" xfId="369"/>
    <cellStyle name="千位分隔 2 9 2 16" xfId="370"/>
    <cellStyle name="千位分隔 2 5 11 3" xfId="371"/>
    <cellStyle name="常规 5 2 13 3" xfId="372"/>
    <cellStyle name="千位分隔 2 14 4 5" xfId="373"/>
    <cellStyle name="常规 10 3 6" xfId="374"/>
    <cellStyle name="常规 10 4" xfId="375"/>
    <cellStyle name="常规 17 10" xfId="376"/>
    <cellStyle name="千位分隔 2 4 14 2" xfId="377"/>
    <cellStyle name="常规 16 17" xfId="378"/>
    <cellStyle name="千位分隔 2 7 3 18" xfId="379"/>
    <cellStyle name="千位分隔 2 3 31" xfId="380"/>
    <cellStyle name="千位分隔 2 3 26" xfId="381"/>
    <cellStyle name="常规 10 4 2" xfId="382"/>
    <cellStyle name="千位分隔 2 5 8 11" xfId="383"/>
    <cellStyle name="常规 4 7" xfId="384"/>
    <cellStyle name="常规 4 2 5" xfId="385"/>
    <cellStyle name="常规 3 5 16" xfId="386"/>
    <cellStyle name="常规 102" xfId="387"/>
    <cellStyle name="千位分隔 2 4 14 3" xfId="388"/>
    <cellStyle name="常规 16 18" xfId="389"/>
    <cellStyle name="千位分隔 2 7 3 19" xfId="390"/>
    <cellStyle name="千位分隔 2 3 32" xfId="391"/>
    <cellStyle name="千位分隔 2 3 27" xfId="392"/>
    <cellStyle name="常规 10 4 3" xfId="393"/>
    <cellStyle name="千位分隔 2 5 8 12" xfId="394"/>
    <cellStyle name="常规 4 8" xfId="395"/>
    <cellStyle name="常规 4 2 6" xfId="396"/>
    <cellStyle name="常规 3 5 17" xfId="397"/>
    <cellStyle name="常规 103" xfId="398"/>
    <cellStyle name="千位分隔 2 4 14 4" xfId="399"/>
    <cellStyle name="常规 16 19" xfId="400"/>
    <cellStyle name="千位分隔 2 3 33" xfId="401"/>
    <cellStyle name="千位分隔 2 3 28" xfId="402"/>
    <cellStyle name="常规 10 4 4" xfId="403"/>
    <cellStyle name="千位分隔 2 5 8 13" xfId="404"/>
    <cellStyle name="常规 4 9" xfId="405"/>
    <cellStyle name="常规 4 2 7" xfId="406"/>
    <cellStyle name="常规 3 5 18" xfId="407"/>
    <cellStyle name="常规 104" xfId="408"/>
    <cellStyle name="常规 10 5" xfId="409"/>
    <cellStyle name="常规 17 11" xfId="410"/>
    <cellStyle name="常规 10 5 2" xfId="411"/>
    <cellStyle name="常规 5 7" xfId="412"/>
    <cellStyle name="常规 4 3 5" xfId="413"/>
    <cellStyle name="常规 147" xfId="414"/>
    <cellStyle name="常规 152" xfId="415"/>
    <cellStyle name="常规 3 12 19" xfId="416"/>
    <cellStyle name="常规 10 5 3" xfId="417"/>
    <cellStyle name="常规 5 8" xfId="418"/>
    <cellStyle name="常规 4 3 6" xfId="419"/>
    <cellStyle name="常规 148" xfId="420"/>
    <cellStyle name="常规 153" xfId="421"/>
    <cellStyle name="常规 10 5 4" xfId="422"/>
    <cellStyle name="常规 5 9" xfId="423"/>
    <cellStyle name="常规 4 3 7" xfId="424"/>
    <cellStyle name="常规 149" xfId="425"/>
    <cellStyle name="常规 154" xfId="426"/>
    <cellStyle name="常规 10 6" xfId="427"/>
    <cellStyle name="常规 17 12" xfId="428"/>
    <cellStyle name="常规 3 11" xfId="429"/>
    <cellStyle name="常规 10 6 2" xfId="430"/>
    <cellStyle name="常规 6 7" xfId="431"/>
    <cellStyle name="常规 4 4 5" xfId="432"/>
    <cellStyle name="常规 197" xfId="433"/>
    <cellStyle name="常规 3 12" xfId="434"/>
    <cellStyle name="常规 10 6 3" xfId="435"/>
    <cellStyle name="常规 3 13" xfId="436"/>
    <cellStyle name="常规 10 6 4" xfId="437"/>
    <cellStyle name="常规 10 7" xfId="438"/>
    <cellStyle name="常规 17 13" xfId="439"/>
    <cellStyle name="常规 10 7 2" xfId="440"/>
    <cellStyle name="常规 10 7 3" xfId="441"/>
    <cellStyle name="常规 10 7 4" xfId="442"/>
    <cellStyle name="常规 10 8" xfId="443"/>
    <cellStyle name="常规 17 14" xfId="444"/>
    <cellStyle name="常规 10 8 2" xfId="445"/>
    <cellStyle name="常规 10 8 3" xfId="446"/>
    <cellStyle name="常规 10 8 4" xfId="447"/>
    <cellStyle name="常规 10 9" xfId="448"/>
    <cellStyle name="常规 17 15" xfId="449"/>
    <cellStyle name="千位分隔 2 4 19 2" xfId="450"/>
    <cellStyle name="常规 17 17" xfId="451"/>
    <cellStyle name="千位分隔 2 7 4 18" xfId="452"/>
    <cellStyle name="千位分隔 2 4 31" xfId="453"/>
    <cellStyle name="千位分隔 2 4 26" xfId="454"/>
    <cellStyle name="常规 10 9 2" xfId="455"/>
    <cellStyle name="千位分隔 2 4 19 3" xfId="456"/>
    <cellStyle name="常规 17 18" xfId="457"/>
    <cellStyle name="千位分隔 2 7 4 19" xfId="458"/>
    <cellStyle name="千位分隔 2 4 32" xfId="459"/>
    <cellStyle name="千位分隔 2 4 27" xfId="460"/>
    <cellStyle name="常规 10 9 3" xfId="461"/>
    <cellStyle name="千位分隔 2 4 19 4" xfId="462"/>
    <cellStyle name="常规 17 19" xfId="463"/>
    <cellStyle name="千位分隔 2 4 33" xfId="464"/>
    <cellStyle name="千位分隔 2 4 28" xfId="465"/>
    <cellStyle name="常规 10 9 4" xfId="466"/>
    <cellStyle name="常规 4 5" xfId="467"/>
    <cellStyle name="常规 4 2 3" xfId="468"/>
    <cellStyle name="常规 3 5 14" xfId="469"/>
    <cellStyle name="常规 100" xfId="470"/>
    <cellStyle name="常规 16 15" xfId="471"/>
    <cellStyle name="千位分隔 2 5 8 10" xfId="472"/>
    <cellStyle name="常规 4 6" xfId="473"/>
    <cellStyle name="常规 4 2 4" xfId="474"/>
    <cellStyle name="常规 3 5 15" xfId="475"/>
    <cellStyle name="常规 101" xfId="476"/>
    <cellStyle name="常规 16 16" xfId="477"/>
    <cellStyle name="千位分隔 2 5 8 14" xfId="478"/>
    <cellStyle name="常规 4 2 8" xfId="479"/>
    <cellStyle name="常规 3 5 19" xfId="480"/>
    <cellStyle name="常规 105" xfId="481"/>
    <cellStyle name="常规 110" xfId="482"/>
    <cellStyle name="千位分隔 2 5 8 15" xfId="483"/>
    <cellStyle name="常规 4 2 9" xfId="484"/>
    <cellStyle name="常规 106" xfId="485"/>
    <cellStyle name="常规 111" xfId="486"/>
    <cellStyle name="千位分隔 2 5 8 16" xfId="487"/>
    <cellStyle name="常规 107" xfId="488"/>
    <cellStyle name="常规 112" xfId="489"/>
    <cellStyle name="千位分隔 2 5 8 17" xfId="490"/>
    <cellStyle name="常规 108" xfId="491"/>
    <cellStyle name="常规 113" xfId="492"/>
    <cellStyle name="千位分隔 2 5 8 18" xfId="493"/>
    <cellStyle name="常规 109" xfId="494"/>
    <cellStyle name="常规 114" xfId="495"/>
    <cellStyle name="千位分隔 2 5 8 19" xfId="496"/>
    <cellStyle name="常规 115" xfId="497"/>
    <cellStyle name="常规 120" xfId="498"/>
    <cellStyle name="常规 116" xfId="499"/>
    <cellStyle name="常规 121" xfId="500"/>
    <cellStyle name="常规 117" xfId="501"/>
    <cellStyle name="常规 122" xfId="502"/>
    <cellStyle name="常规 3 23 2" xfId="503"/>
    <cellStyle name="常规 3 18 2" xfId="504"/>
    <cellStyle name="常规 118" xfId="505"/>
    <cellStyle name="常规 123" xfId="506"/>
    <cellStyle name="常规 3 23 3" xfId="507"/>
    <cellStyle name="常规 3 18 3" xfId="508"/>
    <cellStyle name="常规 119" xfId="509"/>
    <cellStyle name="常规 124" xfId="510"/>
    <cellStyle name="常规 3 23 4" xfId="511"/>
    <cellStyle name="常规 3 18 4" xfId="512"/>
    <cellStyle name="常规 125" xfId="513"/>
    <cellStyle name="常规 130" xfId="514"/>
    <cellStyle name="常规 126" xfId="515"/>
    <cellStyle name="常规 131" xfId="516"/>
    <cellStyle name="常规 127" xfId="517"/>
    <cellStyle name="常规 132" xfId="518"/>
    <cellStyle name="常规 128" xfId="519"/>
    <cellStyle name="常规 133" xfId="520"/>
    <cellStyle name="常规 3 12 10" xfId="521"/>
    <cellStyle name="常规 129" xfId="522"/>
    <cellStyle name="常规 134" xfId="523"/>
    <cellStyle name="常规 5 14 2" xfId="524"/>
    <cellStyle name="常规 3 12 11" xfId="525"/>
    <cellStyle name="常规 135" xfId="526"/>
    <cellStyle name="常规 140" xfId="527"/>
    <cellStyle name="常规 5 14 3" xfId="528"/>
    <cellStyle name="常规 3 12 12" xfId="529"/>
    <cellStyle name="常规 136" xfId="530"/>
    <cellStyle name="常规 141" xfId="531"/>
    <cellStyle name="常规 5 14 4" xfId="532"/>
    <cellStyle name="常规 3 12 13" xfId="533"/>
    <cellStyle name="常规 5 3" xfId="534"/>
    <cellStyle name="常规 138" xfId="535"/>
    <cellStyle name="常规 143" xfId="536"/>
    <cellStyle name="常规 3 12 15" xfId="537"/>
    <cellStyle name="常规 5 4" xfId="538"/>
    <cellStyle name="常规 4 3 2" xfId="539"/>
    <cellStyle name="常规 139" xfId="540"/>
    <cellStyle name="常规 144" xfId="541"/>
    <cellStyle name="常规 3 12 16" xfId="542"/>
    <cellStyle name="常规 14 10" xfId="543"/>
    <cellStyle name="常规 14 11" xfId="544"/>
    <cellStyle name="常规 14 12" xfId="545"/>
    <cellStyle name="常规 14 13" xfId="546"/>
    <cellStyle name="千位分隔 4 6 2" xfId="547"/>
    <cellStyle name="常规 14 14" xfId="548"/>
    <cellStyle name="千位分隔 4 6 3" xfId="549"/>
    <cellStyle name="常规 14 15" xfId="550"/>
    <cellStyle name="千位分隔 4 6 4" xfId="551"/>
    <cellStyle name="常规 14 16" xfId="552"/>
    <cellStyle name="千位分隔 4 6 5" xfId="553"/>
    <cellStyle name="千位分隔 2 12 4 2" xfId="554"/>
    <cellStyle name="常规 14 17" xfId="555"/>
    <cellStyle name="千位分隔 4 6 6" xfId="556"/>
    <cellStyle name="千位分隔 2 12 4 3" xfId="557"/>
    <cellStyle name="常规 14 18" xfId="558"/>
    <cellStyle name="千位分隔 4 6 7" xfId="559"/>
    <cellStyle name="千位分隔 2 12 4 4" xfId="560"/>
    <cellStyle name="常规 14 19" xfId="561"/>
    <cellStyle name="千位分隔 2 12 12" xfId="562"/>
    <cellStyle name="常规 14 5" xfId="563"/>
    <cellStyle name="千位分隔 2 12 13" xfId="564"/>
    <cellStyle name="常规 14 6" xfId="565"/>
    <cellStyle name="千位分隔 2 12 14" xfId="566"/>
    <cellStyle name="常规 14 7" xfId="567"/>
    <cellStyle name="千位分隔 2 12 20" xfId="568"/>
    <cellStyle name="千位分隔 2 12 15" xfId="569"/>
    <cellStyle name="常规 14 8" xfId="570"/>
    <cellStyle name="千位分隔 2 12 21" xfId="571"/>
    <cellStyle name="千位分隔 2 12 16" xfId="572"/>
    <cellStyle name="常规 14 9" xfId="573"/>
    <cellStyle name="常规 5 5" xfId="574"/>
    <cellStyle name="常规 4 3 3" xfId="575"/>
    <cellStyle name="常规 145" xfId="576"/>
    <cellStyle name="常规 150" xfId="577"/>
    <cellStyle name="常规 3 12 17" xfId="578"/>
    <cellStyle name="常规 5 6" xfId="579"/>
    <cellStyle name="常规 4 3 4" xfId="580"/>
    <cellStyle name="常规 146" xfId="581"/>
    <cellStyle name="常规 151" xfId="582"/>
    <cellStyle name="常规 3 12 18" xfId="583"/>
    <cellStyle name="常规 15 10" xfId="584"/>
    <cellStyle name="常规 3 12 9" xfId="585"/>
    <cellStyle name="常规 15 11" xfId="586"/>
    <cellStyle name="常规 15 12" xfId="587"/>
    <cellStyle name="常规 15 13" xfId="588"/>
    <cellStyle name="常规 4 10 9" xfId="589"/>
    <cellStyle name="常规 2 6 2" xfId="590"/>
    <cellStyle name="常规 15 14" xfId="591"/>
    <cellStyle name="千位分隔 2 4 9 2" xfId="592"/>
    <cellStyle name="常规 2 6 3" xfId="593"/>
    <cellStyle name="常规 2 6 4" xfId="594"/>
    <cellStyle name="千位分隔 2 4 9 3" xfId="595"/>
    <cellStyle name="常规 15 15" xfId="596"/>
    <cellStyle name="常规 15 16" xfId="597"/>
    <cellStyle name="常规 15 17" xfId="598"/>
    <cellStyle name="常规 15 18" xfId="599"/>
    <cellStyle name="常规 15 5" xfId="600"/>
    <cellStyle name="常规 15 6" xfId="601"/>
    <cellStyle name="常规 15 7" xfId="602"/>
    <cellStyle name="常规 15 9" xfId="603"/>
    <cellStyle name="常规 160" xfId="604"/>
    <cellStyle name="常规 155" xfId="605"/>
    <cellStyle name="常规 4 3 8" xfId="606"/>
    <cellStyle name="常规 161" xfId="607"/>
    <cellStyle name="常规 156" xfId="608"/>
    <cellStyle name="常规 4 3 9" xfId="609"/>
    <cellStyle name="常规 162" xfId="610"/>
    <cellStyle name="常规 157" xfId="611"/>
    <cellStyle name="常规 16 10" xfId="612"/>
    <cellStyle name="常规 16 11" xfId="613"/>
    <cellStyle name="常规 16 12" xfId="614"/>
    <cellStyle name="常规 16 13" xfId="615"/>
    <cellStyle name="常规 16 14" xfId="616"/>
    <cellStyle name="常规 174" xfId="617"/>
    <cellStyle name="常规 169" xfId="618"/>
    <cellStyle name="常规 3 19 3" xfId="619"/>
    <cellStyle name="常规 3 24 3" xfId="620"/>
    <cellStyle name="常规 17 16" xfId="621"/>
    <cellStyle name="常规 17 5" xfId="622"/>
    <cellStyle name="千位分隔 2 13 2 16" xfId="623"/>
    <cellStyle name="常规 3 2 2 2" xfId="624"/>
    <cellStyle name="常规 2 11 2" xfId="625"/>
    <cellStyle name="常规 3 2 2 3" xfId="626"/>
    <cellStyle name="常规 17 6" xfId="627"/>
    <cellStyle name="千位分隔 2 13 2 17" xfId="628"/>
    <cellStyle name="常规 2 11 3" xfId="629"/>
    <cellStyle name="常规 3 2 2 4" xfId="630"/>
    <cellStyle name="常规 17 7" xfId="631"/>
    <cellStyle name="千位分隔 2 13 2 18" xfId="632"/>
    <cellStyle name="常规 2 11 4" xfId="633"/>
    <cellStyle name="常规 3 2 2 5" xfId="634"/>
    <cellStyle name="常规 17 8" xfId="635"/>
    <cellStyle name="千位分隔 2 13 2 19" xfId="636"/>
    <cellStyle name="常规 17 9" xfId="637"/>
    <cellStyle name="常规 3 2 2 6" xfId="638"/>
    <cellStyle name="常规 180" xfId="639"/>
    <cellStyle name="常规 175" xfId="640"/>
    <cellStyle name="常规 3 19 4" xfId="641"/>
    <cellStyle name="常规 3 24 4" xfId="642"/>
    <cellStyle name="常规 181" xfId="643"/>
    <cellStyle name="常规 176" xfId="644"/>
    <cellStyle name="常规 182" xfId="645"/>
    <cellStyle name="常规 177" xfId="646"/>
    <cellStyle name="常规 183" xfId="647"/>
    <cellStyle name="常规 178" xfId="648"/>
    <cellStyle name="千位分隔 2 15 2 5" xfId="649"/>
    <cellStyle name="常规 5 20 2" xfId="650"/>
    <cellStyle name="常规 5 15 2" xfId="651"/>
    <cellStyle name="常规 184" xfId="652"/>
    <cellStyle name="常规 179" xfId="653"/>
    <cellStyle name="千位分隔 2 15 2 6" xfId="654"/>
    <cellStyle name="常规 5 20 3" xfId="655"/>
    <cellStyle name="常规 5 15 3" xfId="656"/>
    <cellStyle name="常规 190" xfId="657"/>
    <cellStyle name="常规 185" xfId="658"/>
    <cellStyle name="千位分隔 2 15 2 7" xfId="659"/>
    <cellStyle name="常规 5 20 4" xfId="660"/>
    <cellStyle name="常规 5 15 4" xfId="661"/>
    <cellStyle name="常规 191" xfId="662"/>
    <cellStyle name="常规 186" xfId="663"/>
    <cellStyle name="常规 192" xfId="664"/>
    <cellStyle name="常规 187" xfId="665"/>
    <cellStyle name="常规 6 2" xfId="666"/>
    <cellStyle name="常规 193" xfId="667"/>
    <cellStyle name="常规 188" xfId="668"/>
    <cellStyle name="常规 6 3" xfId="669"/>
    <cellStyle name="常规 194" xfId="670"/>
    <cellStyle name="常规 189" xfId="671"/>
    <cellStyle name="常规 4 4 2" xfId="672"/>
    <cellStyle name="常规 6 4" xfId="673"/>
    <cellStyle name="常规 3 10" xfId="674"/>
    <cellStyle name="常规 196" xfId="675"/>
    <cellStyle name="常规 4 4 4" xfId="676"/>
    <cellStyle name="常规 6 6" xfId="677"/>
    <cellStyle name="常规 3 14 2" xfId="678"/>
    <cellStyle name="常规 2" xfId="679"/>
    <cellStyle name="常规 2 10" xfId="680"/>
    <cellStyle name="常规 2 11" xfId="681"/>
    <cellStyle name="常规 2 12" xfId="682"/>
    <cellStyle name="常规 2 12 2" xfId="683"/>
    <cellStyle name="常规 3 2 3 3" xfId="684"/>
    <cellStyle name="常规 2 12 3" xfId="685"/>
    <cellStyle name="常规 3 2 3 4" xfId="686"/>
    <cellStyle name="常规 2 12 4" xfId="687"/>
    <cellStyle name="常规 2 13" xfId="688"/>
    <cellStyle name="常规 2 13 2" xfId="689"/>
    <cellStyle name="常规 3 2 4 3" xfId="690"/>
    <cellStyle name="常规 2 13 3" xfId="691"/>
    <cellStyle name="常规 3 2 4 4" xfId="692"/>
    <cellStyle name="常规 2 13 4" xfId="693"/>
    <cellStyle name="常规 2 14" xfId="694"/>
    <cellStyle name="常规 2 14 2" xfId="695"/>
    <cellStyle name="常规 3 2 5 3" xfId="696"/>
    <cellStyle name="千位分隔 2 14" xfId="697"/>
    <cellStyle name="常规 2 14 3" xfId="698"/>
    <cellStyle name="常规 3 2 5 4" xfId="699"/>
    <cellStyle name="千位分隔 2 15" xfId="700"/>
    <cellStyle name="千位分隔 2 20" xfId="701"/>
    <cellStyle name="常规 2 14 4" xfId="702"/>
    <cellStyle name="千位分隔 2 16" xfId="703"/>
    <cellStyle name="千位分隔 2 21" xfId="704"/>
    <cellStyle name="常规 2 20" xfId="705"/>
    <cellStyle name="常规 2 15" xfId="706"/>
    <cellStyle name="常规 3 15 14" xfId="707"/>
    <cellStyle name="常规 2 15 2" xfId="708"/>
    <cellStyle name="常规 3 2 6 3" xfId="709"/>
    <cellStyle name="千位分隔 2 15 2 11" xfId="710"/>
    <cellStyle name="常规 3 2 2" xfId="711"/>
    <cellStyle name="常规 3 15 15" xfId="712"/>
    <cellStyle name="常规 2 15 3" xfId="713"/>
    <cellStyle name="常规 3 2 6 4" xfId="714"/>
    <cellStyle name="千位分隔 2 15 2 12" xfId="715"/>
    <cellStyle name="常规 3 2 3" xfId="716"/>
    <cellStyle name="千位分隔 2 5 5 2" xfId="717"/>
    <cellStyle name="常规 3 15 16" xfId="718"/>
    <cellStyle name="常规 2 15 4" xfId="719"/>
    <cellStyle name="千位分隔 2 15 2 13" xfId="720"/>
    <cellStyle name="常规 2 21" xfId="721"/>
    <cellStyle name="常规 2 16" xfId="722"/>
    <cellStyle name="常规 2 16 2" xfId="723"/>
    <cellStyle name="常规 3 2 7 3" xfId="724"/>
    <cellStyle name="常规 2 16 3" xfId="725"/>
    <cellStyle name="常规 3 2 7 4" xfId="726"/>
    <cellStyle name="常规 2 16 4" xfId="727"/>
    <cellStyle name="常规 2 22" xfId="728"/>
    <cellStyle name="常规 2 17" xfId="729"/>
    <cellStyle name="常规 2 23" xfId="730"/>
    <cellStyle name="常规 2 18" xfId="731"/>
    <cellStyle name="常规 2 24" xfId="732"/>
    <cellStyle name="常规 2 19" xfId="733"/>
    <cellStyle name="常规 5 11 5" xfId="734"/>
    <cellStyle name="常规 2 2" xfId="735"/>
    <cellStyle name="常规 2 2 2" xfId="736"/>
    <cellStyle name="常规 3 10 15" xfId="737"/>
    <cellStyle name="千位分隔 2 19 4" xfId="738"/>
    <cellStyle name="千位分隔 2 3 7 13" xfId="739"/>
    <cellStyle name="常规 2 2 3" xfId="740"/>
    <cellStyle name="千位分隔 2 4 5 2" xfId="741"/>
    <cellStyle name="常规 3 10 16" xfId="742"/>
    <cellStyle name="千位分隔 2 19 5" xfId="743"/>
    <cellStyle name="千位分隔 2 3 7 14" xfId="744"/>
    <cellStyle name="常规 5 9 3" xfId="745"/>
    <cellStyle name="常规 2 2 5" xfId="746"/>
    <cellStyle name="千位分隔 2 4 5 4" xfId="747"/>
    <cellStyle name="常规 3 10 18" xfId="748"/>
    <cellStyle name="千位分隔 2 19 7" xfId="749"/>
    <cellStyle name="千位分隔 2 3 7 16" xfId="750"/>
    <cellStyle name="常规 5 9 4" xfId="751"/>
    <cellStyle name="常规 2 2 6" xfId="752"/>
    <cellStyle name="千位分隔 2 4 5 5" xfId="753"/>
    <cellStyle name="常规 3 10 19" xfId="754"/>
    <cellStyle name="千位分隔 2 19 8" xfId="755"/>
    <cellStyle name="千位分隔 2 3 7 17" xfId="756"/>
    <cellStyle name="千位分隔 2 9 3 2" xfId="757"/>
    <cellStyle name="常规 2 30" xfId="758"/>
    <cellStyle name="常规 2 25" xfId="759"/>
    <cellStyle name="常规 3 15 2" xfId="760"/>
    <cellStyle name="常规 3 20 2" xfId="761"/>
    <cellStyle name="千位分隔 2 16 2 11" xfId="762"/>
    <cellStyle name="常规 2 27" xfId="763"/>
    <cellStyle name="常规 3 15 3" xfId="764"/>
    <cellStyle name="常规 3 20 3" xfId="765"/>
    <cellStyle name="千位分隔 2 16 2 12" xfId="766"/>
    <cellStyle name="常规 2 28" xfId="767"/>
    <cellStyle name="常规 8 2 2" xfId="768"/>
    <cellStyle name="常规 3 2 15 2" xfId="769"/>
    <cellStyle name="千位分隔 2 2 7" xfId="770"/>
    <cellStyle name="常规 3 15 4" xfId="771"/>
    <cellStyle name="常规 3 20 4" xfId="772"/>
    <cellStyle name="千位分隔 2 16 2 13" xfId="773"/>
    <cellStyle name="常规 2 29" xfId="774"/>
    <cellStyle name="常规 8 2 3" xfId="775"/>
    <cellStyle name="常规 5 11 6" xfId="776"/>
    <cellStyle name="常规 2 3" xfId="777"/>
    <cellStyle name="常规 2 9 2" xfId="778"/>
    <cellStyle name="常规 2 3 2" xfId="779"/>
    <cellStyle name="常规 5 19" xfId="780"/>
    <cellStyle name="常规 5 24" xfId="781"/>
    <cellStyle name="常规 2 3 3" xfId="782"/>
    <cellStyle name="常规 4 3 10" xfId="783"/>
    <cellStyle name="常规 5 25" xfId="784"/>
    <cellStyle name="常规 5 30" xfId="785"/>
    <cellStyle name="千位分隔 2 4 6 2" xfId="786"/>
    <cellStyle name="常规 2 3 4" xfId="787"/>
    <cellStyle name="常规 4 3 11" xfId="788"/>
    <cellStyle name="常规 5 26" xfId="789"/>
    <cellStyle name="常规 5 31" xfId="790"/>
    <cellStyle name="千位分隔 2 4 6 3" xfId="791"/>
    <cellStyle name="常规 5 11 7" xfId="792"/>
    <cellStyle name="常规 2 4" xfId="793"/>
    <cellStyle name="常规 2 9 3" xfId="794"/>
    <cellStyle name="常规 2 4 2" xfId="795"/>
    <cellStyle name="常规 2 4 3" xfId="796"/>
    <cellStyle name="千位分隔 2 4 7 2" xfId="797"/>
    <cellStyle name="常规 2 4 4" xfId="798"/>
    <cellStyle name="千位分隔 2 4 7 3" xfId="799"/>
    <cellStyle name="常规 5 11 8" xfId="800"/>
    <cellStyle name="常规 2 5" xfId="801"/>
    <cellStyle name="千位分隔 2 6 3 2" xfId="802"/>
    <cellStyle name="常规 2 9 4" xfId="803"/>
    <cellStyle name="常规 2 5 2" xfId="804"/>
    <cellStyle name="千位分隔 2 2 8 16" xfId="805"/>
    <cellStyle name="常规 2 5 3" xfId="806"/>
    <cellStyle name="千位分隔 2 2 8 17" xfId="807"/>
    <cellStyle name="千位分隔 2 4 8 2" xfId="808"/>
    <cellStyle name="常规 2 5 4" xfId="809"/>
    <cellStyle name="千位分隔 2 2 8 18" xfId="810"/>
    <cellStyle name="千位分隔 2 4 8 3" xfId="811"/>
    <cellStyle name="常规 2 5 7" xfId="812"/>
    <cellStyle name="千位分隔 2 4 8 6" xfId="813"/>
    <cellStyle name="常规 5 11 9" xfId="814"/>
    <cellStyle name="常规 2 6" xfId="815"/>
    <cellStyle name="千位分隔 2 6 3 3" xfId="816"/>
    <cellStyle name="常规 2 7 2" xfId="817"/>
    <cellStyle name="常规 4 11 9" xfId="818"/>
    <cellStyle name="常规 3 11 15" xfId="819"/>
    <cellStyle name="千位分隔 2 3 8 13" xfId="820"/>
    <cellStyle name="常规 2 7 4" xfId="821"/>
    <cellStyle name="常规 3 11 17" xfId="822"/>
    <cellStyle name="千位分隔 2 3 8 15" xfId="823"/>
    <cellStyle name="常规 2 8 2" xfId="824"/>
    <cellStyle name="常规 6 19" xfId="825"/>
    <cellStyle name="常规 6 24" xfId="826"/>
    <cellStyle name="常规 2 8 3" xfId="827"/>
    <cellStyle name="常规 4 4 10" xfId="828"/>
    <cellStyle name="常规 6 25" xfId="829"/>
    <cellStyle name="常规 6 30" xfId="830"/>
    <cellStyle name="常规 2 8 4" xfId="831"/>
    <cellStyle name="常规 4 4 11" xfId="832"/>
    <cellStyle name="常规 6 26" xfId="833"/>
    <cellStyle name="常规 6 31" xfId="834"/>
    <cellStyle name="常规 3 14 3" xfId="835"/>
    <cellStyle name="常规 3" xfId="836"/>
    <cellStyle name="常规 3 10 14" xfId="837"/>
    <cellStyle name="千位分隔 2 19 3" xfId="838"/>
    <cellStyle name="千位分隔 2 3 7 12" xfId="839"/>
    <cellStyle name="常规 3 10 2" xfId="840"/>
    <cellStyle name="常规 3 10 3" xfId="841"/>
    <cellStyle name="常规 3 2 10 2" xfId="842"/>
    <cellStyle name="常规 3 10 4" xfId="843"/>
    <cellStyle name="常规 3 2 10 3" xfId="844"/>
    <cellStyle name="常规 3 10 5" xfId="845"/>
    <cellStyle name="常规 3 10 7" xfId="846"/>
    <cellStyle name="常规 3 10 8" xfId="847"/>
    <cellStyle name="常规 3 10 9" xfId="848"/>
    <cellStyle name="常规 3 13 7" xfId="849"/>
    <cellStyle name="常规 3 11 10" xfId="850"/>
    <cellStyle name="常规 3 13 8" xfId="851"/>
    <cellStyle name="常规 3 11 11" xfId="852"/>
    <cellStyle name="常规 3 13 9" xfId="853"/>
    <cellStyle name="常规 3 11 12" xfId="854"/>
    <cellStyle name="千位分隔 2 3 8 10" xfId="855"/>
    <cellStyle name="常规 3 11 13" xfId="856"/>
    <cellStyle name="千位分隔 2 3 8 11" xfId="857"/>
    <cellStyle name="常规 3 11 14" xfId="858"/>
    <cellStyle name="千位分隔 2 3 8 12" xfId="859"/>
    <cellStyle name="常规 3 11 18" xfId="860"/>
    <cellStyle name="千位分隔 2 3 8 16" xfId="861"/>
    <cellStyle name="常规 3 11 19" xfId="862"/>
    <cellStyle name="千位分隔 2 3 8 17" xfId="863"/>
    <cellStyle name="常规 3 11 2" xfId="864"/>
    <cellStyle name="千位分隔 4 5 13" xfId="865"/>
    <cellStyle name="常规 3 11 3" xfId="866"/>
    <cellStyle name="千位分隔 4 5 14" xfId="867"/>
    <cellStyle name="常规 3 2 11 2" xfId="868"/>
    <cellStyle name="千位分隔 2 13 18" xfId="869"/>
    <cellStyle name="常规 3 11 4" xfId="870"/>
    <cellStyle name="千位分隔 4 5 15" xfId="871"/>
    <cellStyle name="常规 3 2 11 3" xfId="872"/>
    <cellStyle name="千位分隔 2 13 19" xfId="873"/>
    <cellStyle name="常规 3 11 5" xfId="874"/>
    <cellStyle name="千位分隔 4 5 16" xfId="875"/>
    <cellStyle name="常规 3 2 11 4" xfId="876"/>
    <cellStyle name="千位分隔 2 2 8 10" xfId="877"/>
    <cellStyle name="常规 3 11 6" xfId="878"/>
    <cellStyle name="千位分隔 4 5 17" xfId="879"/>
    <cellStyle name="常规 3 11 7" xfId="880"/>
    <cellStyle name="千位分隔 4 5 18" xfId="881"/>
    <cellStyle name="常规 3 11 8" xfId="882"/>
    <cellStyle name="千位分隔 4 5 19" xfId="883"/>
    <cellStyle name="常规 3 11 9" xfId="884"/>
    <cellStyle name="常规 3 12 2" xfId="885"/>
    <cellStyle name="常规 3 12 3" xfId="886"/>
    <cellStyle name="常规 3 2 12 2" xfId="887"/>
    <cellStyle name="常规 3 12 4" xfId="888"/>
    <cellStyle name="常规 3 2 12 3" xfId="889"/>
    <cellStyle name="常规 4 10 2" xfId="890"/>
    <cellStyle name="常规 3 12 5" xfId="891"/>
    <cellStyle name="常规 3 2 12 4" xfId="892"/>
    <cellStyle name="常规 4 10 3" xfId="893"/>
    <cellStyle name="常规 3 12 6" xfId="894"/>
    <cellStyle name="常规 3 12 7" xfId="895"/>
    <cellStyle name="常规 3 12 8" xfId="896"/>
    <cellStyle name="常规 3 13 13" xfId="897"/>
    <cellStyle name="常规 5 19 4" xfId="898"/>
    <cellStyle name="常规 5 24 4" xfId="899"/>
    <cellStyle name="常规 3 13 14" xfId="900"/>
    <cellStyle name="常规 3 13 15" xfId="901"/>
    <cellStyle name="千位分隔 2 3 4 2" xfId="902"/>
    <cellStyle name="常规 4 8 2" xfId="903"/>
    <cellStyle name="常规 3 13 16" xfId="904"/>
    <cellStyle name="千位分隔 2 3 4 3" xfId="905"/>
    <cellStyle name="常规 4 8 3" xfId="906"/>
    <cellStyle name="常规 3 13 17" xfId="907"/>
    <cellStyle name="千位分隔 2 3 4 4" xfId="908"/>
    <cellStyle name="常规 4 8 4" xfId="909"/>
    <cellStyle name="常规 3 13 18" xfId="910"/>
    <cellStyle name="千位分隔 2 3 4 5" xfId="911"/>
    <cellStyle name="常规 4 8 5" xfId="912"/>
    <cellStyle name="常规 3 13 19" xfId="913"/>
    <cellStyle name="千位分隔 2 3 4 6" xfId="914"/>
    <cellStyle name="常规 3 2 4" xfId="915"/>
    <cellStyle name="千位分隔 2 5 3 10" xfId="916"/>
    <cellStyle name="千位分隔 2 5 5 3" xfId="917"/>
    <cellStyle name="常规 3 15 17" xfId="918"/>
    <cellStyle name="常规 3 13 2" xfId="919"/>
    <cellStyle name="常规 3 2 5" xfId="920"/>
    <cellStyle name="千位分隔 2 5 3 11" xfId="921"/>
    <cellStyle name="千位分隔 2 5 5 4" xfId="922"/>
    <cellStyle name="常规 3 15 18" xfId="923"/>
    <cellStyle name="常规 3 13 3" xfId="924"/>
    <cellStyle name="常规 3 2 13 3" xfId="925"/>
    <cellStyle name="常规 4 11 2" xfId="926"/>
    <cellStyle name="常规 3 13 5" xfId="927"/>
    <cellStyle name="常规 3 2 13 4" xfId="928"/>
    <cellStyle name="常规 4 11 3" xfId="929"/>
    <cellStyle name="常规 3 13 6" xfId="930"/>
    <cellStyle name="常规 3 2 14 2" xfId="931"/>
    <cellStyle name="常规 6 11" xfId="932"/>
    <cellStyle name="常规 4" xfId="933"/>
    <cellStyle name="常规 3 14 4" xfId="934"/>
    <cellStyle name="常规 3 2 14 3" xfId="935"/>
    <cellStyle name="常规 6 12" xfId="936"/>
    <cellStyle name="常规 5" xfId="937"/>
    <cellStyle name="常规 3 14 5" xfId="938"/>
    <cellStyle name="常规 3 14 7" xfId="939"/>
    <cellStyle name="常规 8" xfId="940"/>
    <cellStyle name="常规 5 10 2" xfId="941"/>
    <cellStyle name="常规 3 14 8" xfId="942"/>
    <cellStyle name="常规 9" xfId="943"/>
    <cellStyle name="常规 5 10 3" xfId="944"/>
    <cellStyle name="常规 3 14 9" xfId="945"/>
    <cellStyle name="常规 3 15" xfId="946"/>
    <cellStyle name="常规 3 20" xfId="947"/>
    <cellStyle name="常规 3 2 15 3" xfId="948"/>
    <cellStyle name="千位分隔 2 2 8" xfId="949"/>
    <cellStyle name="常规 3 15 5" xfId="950"/>
    <cellStyle name="千位分隔 2 16 2 14" xfId="951"/>
    <cellStyle name="常规 3 2 15 4" xfId="952"/>
    <cellStyle name="千位分隔 2 2 9" xfId="953"/>
    <cellStyle name="常规 3 15 6" xfId="954"/>
    <cellStyle name="千位分隔 2 16 2 15" xfId="955"/>
    <cellStyle name="常规 3 15 7" xfId="956"/>
    <cellStyle name="千位分隔 2 16 2 16" xfId="957"/>
    <cellStyle name="常规 5 11 2" xfId="958"/>
    <cellStyle name="常规 3 15 8" xfId="959"/>
    <cellStyle name="千位分隔 2 16 2 17" xfId="960"/>
    <cellStyle name="常规 5 11 3" xfId="961"/>
    <cellStyle name="常规 3 15 9" xfId="962"/>
    <cellStyle name="千位分隔 2 16 2 18" xfId="963"/>
    <cellStyle name="常规 3 16" xfId="964"/>
    <cellStyle name="常规 3 21" xfId="965"/>
    <cellStyle name="常规 3 16 10" xfId="966"/>
    <cellStyle name="常规 3 16 11" xfId="967"/>
    <cellStyle name="常规 3 16 12" xfId="968"/>
    <cellStyle name="常规 3 16 13" xfId="969"/>
    <cellStyle name="常规 3 16 14" xfId="970"/>
    <cellStyle name="常规 3 16 15" xfId="971"/>
    <cellStyle name="常规 3 16 16" xfId="972"/>
    <cellStyle name="常规 3 16 17" xfId="973"/>
    <cellStyle name="常规 3 16 18" xfId="974"/>
    <cellStyle name="常规 8 5 2" xfId="975"/>
    <cellStyle name="常规 3 16 19" xfId="976"/>
    <cellStyle name="常规 8 5 3" xfId="977"/>
    <cellStyle name="常规 3 16 2" xfId="978"/>
    <cellStyle name="常规 3 21 2" xfId="979"/>
    <cellStyle name="千位分隔 4 6 13" xfId="980"/>
    <cellStyle name="常规 3 16 3" xfId="981"/>
    <cellStyle name="常规 3 21 3" xfId="982"/>
    <cellStyle name="千位分隔 4 6 14" xfId="983"/>
    <cellStyle name="常规 3 2 16 2" xfId="984"/>
    <cellStyle name="千位分隔 2 14 18" xfId="985"/>
    <cellStyle name="千位分隔 2 3 7" xfId="986"/>
    <cellStyle name="常规 3 16 4" xfId="987"/>
    <cellStyle name="常规 3 21 4" xfId="988"/>
    <cellStyle name="千位分隔 4 6 15" xfId="989"/>
    <cellStyle name="常规 3 2 16 3" xfId="990"/>
    <cellStyle name="千位分隔 2 14 19" xfId="991"/>
    <cellStyle name="千位分隔 2 3 8" xfId="992"/>
    <cellStyle name="常规 3 16 5" xfId="993"/>
    <cellStyle name="千位分隔 4 6 16" xfId="994"/>
    <cellStyle name="常规 3 2 16 4" xfId="995"/>
    <cellStyle name="千位分隔 2 3 9" xfId="996"/>
    <cellStyle name="常规 3 16 6" xfId="997"/>
    <cellStyle name="千位分隔 4 6 17" xfId="998"/>
    <cellStyle name="常规 3 16 7" xfId="999"/>
    <cellStyle name="千位分隔 4 6 18" xfId="1000"/>
    <cellStyle name="常规 5 12 2" xfId="1001"/>
    <cellStyle name="常规 3 16 8" xfId="1002"/>
    <cellStyle name="千位分隔 4 6 19" xfId="1003"/>
    <cellStyle name="常规 5 12 3" xfId="1004"/>
    <cellStyle name="常规 3 16 9" xfId="1005"/>
    <cellStyle name="常规 3 17" xfId="1006"/>
    <cellStyle name="常规 3 22" xfId="1007"/>
    <cellStyle name="常规 3 17 10" xfId="1008"/>
    <cellStyle name="常规 3 17 11" xfId="1009"/>
    <cellStyle name="常规 3 2 10" xfId="1010"/>
    <cellStyle name="千位分隔 2 11 3 9" xfId="1011"/>
    <cellStyle name="常规 3 17 12" xfId="1012"/>
    <cellStyle name="常规 3 2 11" xfId="1013"/>
    <cellStyle name="常规 3 17 13" xfId="1014"/>
    <cellStyle name="常规 3 2 12" xfId="1015"/>
    <cellStyle name="常规 3 17 14" xfId="1016"/>
    <cellStyle name="常规 3 2 13" xfId="1017"/>
    <cellStyle name="常规 3 17 15" xfId="1018"/>
    <cellStyle name="常规 3 2 14" xfId="1019"/>
    <cellStyle name="常规 5 3 2" xfId="1020"/>
    <cellStyle name="常规 3 17 16" xfId="1021"/>
    <cellStyle name="常规 3 2 15" xfId="1022"/>
    <cellStyle name="常规 3 2 20" xfId="1023"/>
    <cellStyle name="千位分隔 2 5 5 10" xfId="1024"/>
    <cellStyle name="常规 5 3 3" xfId="1025"/>
    <cellStyle name="常规 3 17 17" xfId="1026"/>
    <cellStyle name="常规 3 2 16" xfId="1027"/>
    <cellStyle name="常规 3 2 21" xfId="1028"/>
    <cellStyle name="千位分隔 2 5 5 11" xfId="1029"/>
    <cellStyle name="常规 5 3 4" xfId="1030"/>
    <cellStyle name="常规 3 17 18" xfId="1031"/>
    <cellStyle name="常规 3 2 17" xfId="1032"/>
    <cellStyle name="常规 3 2 22" xfId="1033"/>
    <cellStyle name="千位分隔 2 5 5 12" xfId="1034"/>
    <cellStyle name="常规 5 3 5" xfId="1035"/>
    <cellStyle name="常规 3 17 19" xfId="1036"/>
    <cellStyle name="常规 3 17 2" xfId="1037"/>
    <cellStyle name="常规 3 22 2" xfId="1038"/>
    <cellStyle name="常规 3 17 3" xfId="1039"/>
    <cellStyle name="常规 3 22 3" xfId="1040"/>
    <cellStyle name="常规 3 17 4" xfId="1041"/>
    <cellStyle name="常规 3 22 4" xfId="1042"/>
    <cellStyle name="常规 3 17 5" xfId="1043"/>
    <cellStyle name="常规 3 17 6" xfId="1044"/>
    <cellStyle name="常规 3 17 7" xfId="1045"/>
    <cellStyle name="常规 5 13 2" xfId="1046"/>
    <cellStyle name="常规 3 17 8" xfId="1047"/>
    <cellStyle name="常规 5 13 3" xfId="1048"/>
    <cellStyle name="常规 3 17 9" xfId="1049"/>
    <cellStyle name="常规 3 18" xfId="1050"/>
    <cellStyle name="常规 3 23" xfId="1051"/>
    <cellStyle name="常规 3 19" xfId="1052"/>
    <cellStyle name="常规 3 24" xfId="1053"/>
    <cellStyle name="常规 3 2" xfId="1054"/>
    <cellStyle name="常规 3 2 18" xfId="1055"/>
    <cellStyle name="常规 3 2 23" xfId="1056"/>
    <cellStyle name="千位分隔 2 5 5 13" xfId="1057"/>
    <cellStyle name="常规 3 2 19" xfId="1058"/>
    <cellStyle name="常规 3 2 24" xfId="1059"/>
    <cellStyle name="千位分隔 2 5 5 14" xfId="1060"/>
    <cellStyle name="常规 3 2 25" xfId="1061"/>
    <cellStyle name="常规 3 2 30" xfId="1062"/>
    <cellStyle name="千位分隔 2 5 5 15" xfId="1063"/>
    <cellStyle name="常规 3 2 26" xfId="1064"/>
    <cellStyle name="常规 3 2 31" xfId="1065"/>
    <cellStyle name="千位分隔 2 5 5 16" xfId="1066"/>
    <cellStyle name="常规 3 2 27" xfId="1067"/>
    <cellStyle name="常规 3 2 32" xfId="1068"/>
    <cellStyle name="千位分隔 2 5 5 17" xfId="1069"/>
    <cellStyle name="常规 3 2 28" xfId="1070"/>
    <cellStyle name="常规 3 2 33" xfId="1071"/>
    <cellStyle name="千位分隔 2 5 5 18" xfId="1072"/>
    <cellStyle name="常规 3 2 29" xfId="1073"/>
    <cellStyle name="常规 3 2 34" xfId="1074"/>
    <cellStyle name="千位分隔 2 5 5 19" xfId="1075"/>
    <cellStyle name="常规 3 2 3 2" xfId="1076"/>
    <cellStyle name="常规 3 2 35" xfId="1077"/>
    <cellStyle name="常规 3 2 4 2" xfId="1078"/>
    <cellStyle name="常规 3 2 5 2" xfId="1079"/>
    <cellStyle name="千位分隔 2 13" xfId="1080"/>
    <cellStyle name="常规 3 2 7" xfId="1081"/>
    <cellStyle name="千位分隔 2 5 3 13" xfId="1082"/>
    <cellStyle name="千位分隔 2 5 5 6" xfId="1083"/>
    <cellStyle name="常规 3 2 7 2" xfId="1084"/>
    <cellStyle name="常规 3 2 8" xfId="1085"/>
    <cellStyle name="千位分隔 2 5 3 14" xfId="1086"/>
    <cellStyle name="千位分隔 2 5 5 7" xfId="1087"/>
    <cellStyle name="常规 3 2 8 2" xfId="1088"/>
    <cellStyle name="常规 3 2 8 3" xfId="1089"/>
    <cellStyle name="常规 3 2 8 4" xfId="1090"/>
    <cellStyle name="常规 3 2 9" xfId="1091"/>
    <cellStyle name="千位分隔 2 5 3 15" xfId="1092"/>
    <cellStyle name="千位分隔 2 5 5 8" xfId="1093"/>
    <cellStyle name="常规 3 2 9 2" xfId="1094"/>
    <cellStyle name="常规 3 2 9 3" xfId="1095"/>
    <cellStyle name="常规 3 2 9 4" xfId="1096"/>
    <cellStyle name="常规 3 25" xfId="1097"/>
    <cellStyle name="常规 3 30" xfId="1098"/>
    <cellStyle name="常规 3 25 2" xfId="1099"/>
    <cellStyle name="常规 3 30 2" xfId="1100"/>
    <cellStyle name="千位分隔 2 16 3 11" xfId="1101"/>
    <cellStyle name="常规 3 25 3" xfId="1102"/>
    <cellStyle name="常规 3 30 3" xfId="1103"/>
    <cellStyle name="千位分隔 2 16 3 12" xfId="1104"/>
    <cellStyle name="常规 3 25 4" xfId="1105"/>
    <cellStyle name="常规 3 30 4" xfId="1106"/>
    <cellStyle name="千位分隔 2 16 3 13" xfId="1107"/>
    <cellStyle name="常规 3 26" xfId="1108"/>
    <cellStyle name="常规 3 31" xfId="1109"/>
    <cellStyle name="常规 3 26 2" xfId="1110"/>
    <cellStyle name="常规 3 31 2" xfId="1111"/>
    <cellStyle name="千位分隔 4 7 13" xfId="1112"/>
    <cellStyle name="常规 3 26 3" xfId="1113"/>
    <cellStyle name="常规 3 31 3" xfId="1114"/>
    <cellStyle name="千位分隔 4 7 14" xfId="1115"/>
    <cellStyle name="常规 3 26 4" xfId="1116"/>
    <cellStyle name="常规 3 31 4" xfId="1117"/>
    <cellStyle name="千位分隔 4 7 15" xfId="1118"/>
    <cellStyle name="常规 3 27 4" xfId="1119"/>
    <cellStyle name="常规 3 28" xfId="1120"/>
    <cellStyle name="常规 3 33" xfId="1121"/>
    <cellStyle name="常规 8 7 2" xfId="1122"/>
    <cellStyle name="常规 3 28 2" xfId="1123"/>
    <cellStyle name="常规_土地基金收入调整" xfId="1124"/>
    <cellStyle name="常规 3 28 3" xfId="1125"/>
    <cellStyle name="常规 3 28 4" xfId="1126"/>
    <cellStyle name="常规 3 29" xfId="1127"/>
    <cellStyle name="常规 3 34" xfId="1128"/>
    <cellStyle name="常规 8 7 3" xfId="1129"/>
    <cellStyle name="千位分隔 4 2 4" xfId="1130"/>
    <cellStyle name="常规 3 29 2" xfId="1131"/>
    <cellStyle name="千位分隔 4 2 5" xfId="1132"/>
    <cellStyle name="常规 3 29 3" xfId="1133"/>
    <cellStyle name="千位分隔 4 2 6" xfId="1134"/>
    <cellStyle name="常规 3 29 4" xfId="1135"/>
    <cellStyle name="常规 3 3" xfId="1136"/>
    <cellStyle name="常规 3 3 10" xfId="1137"/>
    <cellStyle name="常规 3 3 11" xfId="1138"/>
    <cellStyle name="常规 3 3 12" xfId="1139"/>
    <cellStyle name="常规 3 3 13" xfId="1140"/>
    <cellStyle name="常规 3 3 14" xfId="1141"/>
    <cellStyle name="千位分隔 2 5 6 10" xfId="1142"/>
    <cellStyle name="常规 3 3 20" xfId="1143"/>
    <cellStyle name="常规 3 3 15" xfId="1144"/>
    <cellStyle name="千位分隔 2 5 6 11" xfId="1145"/>
    <cellStyle name="常规 3 3 16" xfId="1146"/>
    <cellStyle name="千位分隔 2 5 6 12" xfId="1147"/>
    <cellStyle name="常规 3 3 17" xfId="1148"/>
    <cellStyle name="千位分隔 2 5 6 13" xfId="1149"/>
    <cellStyle name="常规 3 3 18" xfId="1150"/>
    <cellStyle name="千位分隔 2 5 6 14" xfId="1151"/>
    <cellStyle name="常规 3 3 19" xfId="1152"/>
    <cellStyle name="常规 3 3 2" xfId="1153"/>
    <cellStyle name="常规 3 3 2 2" xfId="1154"/>
    <cellStyle name="常规 3 3 2 3" xfId="1155"/>
    <cellStyle name="千位分隔 2 3 12 2" xfId="1156"/>
    <cellStyle name="常规 3 3 2 4" xfId="1157"/>
    <cellStyle name="千位分隔 2 3 12 3" xfId="1158"/>
    <cellStyle name="常规 3 3 2 5" xfId="1159"/>
    <cellStyle name="千位分隔 2 3 12 4" xfId="1160"/>
    <cellStyle name="常规 3 3 2 6" xfId="1161"/>
    <cellStyle name="千位分隔 2 5 6 2" xfId="1162"/>
    <cellStyle name="常规 4 8 10" xfId="1163"/>
    <cellStyle name="常规 3 3 3" xfId="1164"/>
    <cellStyle name="千位分隔 2 5 6 3" xfId="1165"/>
    <cellStyle name="常规 4 8 11" xfId="1166"/>
    <cellStyle name="常规 3 3 4" xfId="1167"/>
    <cellStyle name="千位分隔 2 5 6 4" xfId="1168"/>
    <cellStyle name="常规 4 8 12" xfId="1169"/>
    <cellStyle name="常规 3 3 5" xfId="1170"/>
    <cellStyle name="千位分隔 2 5 6 5" xfId="1171"/>
    <cellStyle name="常规 4 8 13" xfId="1172"/>
    <cellStyle name="常规 3 3 6" xfId="1173"/>
    <cellStyle name="千位分隔 2 5 6 6" xfId="1174"/>
    <cellStyle name="常规 4 8 14" xfId="1175"/>
    <cellStyle name="常规 3 3 7" xfId="1176"/>
    <cellStyle name="千位分隔 2 5 6 7" xfId="1177"/>
    <cellStyle name="常规 4 8 15" xfId="1178"/>
    <cellStyle name="常规 3 3 8" xfId="1179"/>
    <cellStyle name="千位分隔 2 5 6 8" xfId="1180"/>
    <cellStyle name="常规 4 8 16" xfId="1181"/>
    <cellStyle name="常规 3 3 9" xfId="1182"/>
    <cellStyle name="千位分隔 2 6 4 10" xfId="1183"/>
    <cellStyle name="常规 8 7 4" xfId="1184"/>
    <cellStyle name="常规 3 40" xfId="1185"/>
    <cellStyle name="常规 3 35" xfId="1186"/>
    <cellStyle name="千位分隔 2 6 4 11" xfId="1187"/>
    <cellStyle name="常规 3 41" xfId="1188"/>
    <cellStyle name="常规 3 36" xfId="1189"/>
    <cellStyle name="千位分隔 2 6 4 12" xfId="1190"/>
    <cellStyle name="常规 3 42" xfId="1191"/>
    <cellStyle name="常规 3 37" xfId="1192"/>
    <cellStyle name="千位分隔 2 6 4 13" xfId="1193"/>
    <cellStyle name="常规 3 43" xfId="1194"/>
    <cellStyle name="常规 3 38" xfId="1195"/>
    <cellStyle name="千位分隔 2 6 4 14" xfId="1196"/>
    <cellStyle name="常规 3 44" xfId="1197"/>
    <cellStyle name="常规 3 39" xfId="1198"/>
    <cellStyle name="常规 3 4" xfId="1199"/>
    <cellStyle name="常规 3 4 10" xfId="1200"/>
    <cellStyle name="常规 3 4 11" xfId="1201"/>
    <cellStyle name="常规 3 4 12" xfId="1202"/>
    <cellStyle name="常规 3 4 13" xfId="1203"/>
    <cellStyle name="常规 3 4 14" xfId="1204"/>
    <cellStyle name="千位分隔 2 5 7 10" xfId="1205"/>
    <cellStyle name="常规 3 4 15" xfId="1206"/>
    <cellStyle name="千位分隔 2 5 7 11" xfId="1207"/>
    <cellStyle name="常规 3 4 16" xfId="1208"/>
    <cellStyle name="千位分隔 2 5 7 12" xfId="1209"/>
    <cellStyle name="常规 3 4 17" xfId="1210"/>
    <cellStyle name="千位分隔 2 5 7 13" xfId="1211"/>
    <cellStyle name="常规 3 4 18" xfId="1212"/>
    <cellStyle name="千位分隔 2 5 7 14" xfId="1213"/>
    <cellStyle name="常规 3 4 19" xfId="1214"/>
    <cellStyle name="常规 3 4 2" xfId="1215"/>
    <cellStyle name="千位分隔 2 5 7 3" xfId="1216"/>
    <cellStyle name="常规 3 4 4" xfId="1217"/>
    <cellStyle name="千位分隔 2 5 7 4" xfId="1218"/>
    <cellStyle name="常规 3 4 5" xfId="1219"/>
    <cellStyle name="千位分隔 2 5 7 5" xfId="1220"/>
    <cellStyle name="常规 3 4 6" xfId="1221"/>
    <cellStyle name="千位分隔 2 5 7 6" xfId="1222"/>
    <cellStyle name="常规 3 4 7" xfId="1223"/>
    <cellStyle name="千位分隔 2 5 7 7" xfId="1224"/>
    <cellStyle name="常规 3 4 8" xfId="1225"/>
    <cellStyle name="千位分隔 2 5 7 8" xfId="1226"/>
    <cellStyle name="常规 3 4 9" xfId="1227"/>
    <cellStyle name="千位分隔 2 6 4 15" xfId="1228"/>
    <cellStyle name="常规 3 50" xfId="1229"/>
    <cellStyle name="常规 3 45" xfId="1230"/>
    <cellStyle name="千位分隔 2 6 4 16" xfId="1231"/>
    <cellStyle name="常规 3 46" xfId="1232"/>
    <cellStyle name="千位分隔 2 6 4 17" xfId="1233"/>
    <cellStyle name="常规 3 47" xfId="1234"/>
    <cellStyle name="千位分隔 2 6 4 18" xfId="1235"/>
    <cellStyle name="常规 3 48" xfId="1236"/>
    <cellStyle name="千位分隔 2 6 4 19" xfId="1237"/>
    <cellStyle name="常规 3 49" xfId="1238"/>
    <cellStyle name="千位分隔 2 6 4 2" xfId="1239"/>
    <cellStyle name="千位分隔 2 12 4 10" xfId="1240"/>
    <cellStyle name="常规 3 5" xfId="1241"/>
    <cellStyle name="常规 5 13 4" xfId="1242"/>
    <cellStyle name="常规 3 5 10" xfId="1243"/>
    <cellStyle name="常规 4 2" xfId="1244"/>
    <cellStyle name="常规 3 5 11" xfId="1245"/>
    <cellStyle name="常规 4 3" xfId="1246"/>
    <cellStyle name="常规 3 5 12" xfId="1247"/>
    <cellStyle name="常规 4 4" xfId="1248"/>
    <cellStyle name="常规 4 2 2" xfId="1249"/>
    <cellStyle name="常规 3 5 13" xfId="1250"/>
    <cellStyle name="常规 3 5 2" xfId="1251"/>
    <cellStyle name="千位分隔 2 5 8 2" xfId="1252"/>
    <cellStyle name="常规 3 5 3" xfId="1253"/>
    <cellStyle name="千位分隔 2 5 8 3" xfId="1254"/>
    <cellStyle name="常规 3 5 4" xfId="1255"/>
    <cellStyle name="千位分隔 2 5 8 4" xfId="1256"/>
    <cellStyle name="常规 3 5 5" xfId="1257"/>
    <cellStyle name="千位分隔 2 5 8 5" xfId="1258"/>
    <cellStyle name="常规 3 5 6" xfId="1259"/>
    <cellStyle name="千位分隔 2 5 8 6" xfId="1260"/>
    <cellStyle name="常规 3 5 7" xfId="1261"/>
    <cellStyle name="千位分隔 2 5 8 7" xfId="1262"/>
    <cellStyle name="常规 3 5 8" xfId="1263"/>
    <cellStyle name="千位分隔 2 5 8 8" xfId="1264"/>
    <cellStyle name="常规 3 5 9" xfId="1265"/>
    <cellStyle name="千位分隔 2 6 4 3" xfId="1266"/>
    <cellStyle name="千位分隔 2 12 4 11" xfId="1267"/>
    <cellStyle name="常规 3 6" xfId="1268"/>
    <cellStyle name="千位分隔 2 2 2 15" xfId="1269"/>
    <cellStyle name="常规 5 23 4" xfId="1270"/>
    <cellStyle name="常规 5 18 4" xfId="1271"/>
    <cellStyle name="常规 3 6 10" xfId="1272"/>
    <cellStyle name="常规 9 2" xfId="1273"/>
    <cellStyle name="常规 3 6 11" xfId="1274"/>
    <cellStyle name="常规 9 3" xfId="1275"/>
    <cellStyle name="常规 3 6 12" xfId="1276"/>
    <cellStyle name="常规 9 4" xfId="1277"/>
    <cellStyle name="常规 4 7 2" xfId="1278"/>
    <cellStyle name="常规 3 6 13" xfId="1279"/>
    <cellStyle name="常规 9 5" xfId="1280"/>
    <cellStyle name="常规 4 7 3" xfId="1281"/>
    <cellStyle name="常规 3 6 14" xfId="1282"/>
    <cellStyle name="常规 9 6" xfId="1283"/>
    <cellStyle name="常规 4 7 4" xfId="1284"/>
    <cellStyle name="常规 3 6 15" xfId="1285"/>
    <cellStyle name="常规 9 7" xfId="1286"/>
    <cellStyle name="常规 4 7 5" xfId="1287"/>
    <cellStyle name="常规 3 6 16" xfId="1288"/>
    <cellStyle name="常规 9 8" xfId="1289"/>
    <cellStyle name="常规 4 7 6" xfId="1290"/>
    <cellStyle name="常规 3 6 17" xfId="1291"/>
    <cellStyle name="常规 9 9" xfId="1292"/>
    <cellStyle name="常规 4 7 7" xfId="1293"/>
    <cellStyle name="常规 3 6 18" xfId="1294"/>
    <cellStyle name="常规 4 7 8" xfId="1295"/>
    <cellStyle name="常规 3 6 19" xfId="1296"/>
    <cellStyle name="常规 3 6 2" xfId="1297"/>
    <cellStyle name="千位分隔 2 5 9 2" xfId="1298"/>
    <cellStyle name="常规 3 6 3" xfId="1299"/>
    <cellStyle name="千位分隔 2 5 9 3" xfId="1300"/>
    <cellStyle name="常规 3 6 4" xfId="1301"/>
    <cellStyle name="千位分隔 2 5 9 4" xfId="1302"/>
    <cellStyle name="常规 3 6 5" xfId="1303"/>
    <cellStyle name="常规 3 6 6" xfId="1304"/>
    <cellStyle name="常规 3 6 7" xfId="1305"/>
    <cellStyle name="常规 3 6 8" xfId="1306"/>
    <cellStyle name="常规 3 6 9" xfId="1307"/>
    <cellStyle name="常规 5 4 10" xfId="1308"/>
    <cellStyle name="千位分隔 2 6 4 4" xfId="1309"/>
    <cellStyle name="千位分隔 2 12 4 12" xfId="1310"/>
    <cellStyle name="常规 3 7" xfId="1311"/>
    <cellStyle name="千位分隔 2 12 3 9" xfId="1312"/>
    <cellStyle name="常规 3 7 10" xfId="1313"/>
    <cellStyle name="常规 3 7 11" xfId="1314"/>
    <cellStyle name="常规 3 7 12" xfId="1315"/>
    <cellStyle name="常规 3 7 13" xfId="1316"/>
    <cellStyle name="常规 3 7 14" xfId="1317"/>
    <cellStyle name="常规 3 7 15" xfId="1318"/>
    <cellStyle name="常规 3 7 16" xfId="1319"/>
    <cellStyle name="常规 3 7 17" xfId="1320"/>
    <cellStyle name="常规 3 7 18" xfId="1321"/>
    <cellStyle name="常规 3 7 19" xfId="1322"/>
    <cellStyle name="常规 3 7 2" xfId="1323"/>
    <cellStyle name="常规 3 7 3" xfId="1324"/>
    <cellStyle name="千位分隔 2 5 4 10" xfId="1325"/>
    <cellStyle name="常规 3 7 4" xfId="1326"/>
    <cellStyle name="千位分隔 2 5 4 11" xfId="1327"/>
    <cellStyle name="常规 3 7 5" xfId="1328"/>
    <cellStyle name="千位分隔 2 5 4 12" xfId="1329"/>
    <cellStyle name="常规 3 7 6" xfId="1330"/>
    <cellStyle name="千位分隔 2 5 4 13" xfId="1331"/>
    <cellStyle name="常规 3 7 7" xfId="1332"/>
    <cellStyle name="千位分隔 2 5 4 14" xfId="1333"/>
    <cellStyle name="常规 3 7 8" xfId="1334"/>
    <cellStyle name="千位分隔 2 5 4 15" xfId="1335"/>
    <cellStyle name="常规 3 7 9" xfId="1336"/>
    <cellStyle name="常规 5 4 11" xfId="1337"/>
    <cellStyle name="千位分隔 2 6 4 5" xfId="1338"/>
    <cellStyle name="千位分隔 2 12 4 13" xfId="1339"/>
    <cellStyle name="常规 3 8" xfId="1340"/>
    <cellStyle name="常规 3 8 10" xfId="1341"/>
    <cellStyle name="常规 3 8 11" xfId="1342"/>
    <cellStyle name="常规 3 8 12" xfId="1343"/>
    <cellStyle name="常规 3 8 13" xfId="1344"/>
    <cellStyle name="常规 3 8 14" xfId="1345"/>
    <cellStyle name="常规 3 8 15" xfId="1346"/>
    <cellStyle name="常规 3 8 16" xfId="1347"/>
    <cellStyle name="常规 3 8 17" xfId="1348"/>
    <cellStyle name="常规 3 8 18" xfId="1349"/>
    <cellStyle name="常规 3 8 19" xfId="1350"/>
    <cellStyle name="常规 4 9 12" xfId="1351"/>
    <cellStyle name="常规 3 8 5" xfId="1352"/>
    <cellStyle name="常规 4 9 13" xfId="1353"/>
    <cellStyle name="常规 3 8 6" xfId="1354"/>
    <cellStyle name="常规 4 9 14" xfId="1355"/>
    <cellStyle name="常规 3 8 7" xfId="1356"/>
    <cellStyle name="常规 4 9 15" xfId="1357"/>
    <cellStyle name="常规 3 8 8" xfId="1358"/>
    <cellStyle name="常规 4 9 16" xfId="1359"/>
    <cellStyle name="常规 3 8 9" xfId="1360"/>
    <cellStyle name="千位分隔 2 7 10" xfId="1361"/>
    <cellStyle name="常规 5 4 12" xfId="1362"/>
    <cellStyle name="千位分隔 2 6 4 6" xfId="1363"/>
    <cellStyle name="千位分隔 2 12 4 14" xfId="1364"/>
    <cellStyle name="常规 3 9" xfId="1365"/>
    <cellStyle name="千位分隔 4 3" xfId="1366"/>
    <cellStyle name="常规 3 9 10" xfId="1367"/>
    <cellStyle name="千位分隔 4 4" xfId="1368"/>
    <cellStyle name="常规 3 9 11" xfId="1369"/>
    <cellStyle name="千位分隔 4 5" xfId="1370"/>
    <cellStyle name="常规 3 9 12" xfId="1371"/>
    <cellStyle name="千位分隔 4 6" xfId="1372"/>
    <cellStyle name="常规 3 9 13" xfId="1373"/>
    <cellStyle name="千位分隔 4 7" xfId="1374"/>
    <cellStyle name="常规 3 9 14" xfId="1375"/>
    <cellStyle name="千位分隔 4 8" xfId="1376"/>
    <cellStyle name="常规 3 9 15" xfId="1377"/>
    <cellStyle name="千位分隔 4 9" xfId="1378"/>
    <cellStyle name="常规 3 9 16" xfId="1379"/>
    <cellStyle name="常规 3 9 17" xfId="1380"/>
    <cellStyle name="常规 3 9 18" xfId="1381"/>
    <cellStyle name="常规 3 9 19" xfId="1382"/>
    <cellStyle name="常规 3 9 2" xfId="1383"/>
    <cellStyle name="常规 3 9 3" xfId="1384"/>
    <cellStyle name="常规 3 9 5" xfId="1385"/>
    <cellStyle name="常规 3 9 6" xfId="1386"/>
    <cellStyle name="常规 3 9 7" xfId="1387"/>
    <cellStyle name="常规 3 9 8" xfId="1388"/>
    <cellStyle name="常规 3 9 9" xfId="1389"/>
    <cellStyle name="千位分隔 2 5 2 19" xfId="1390"/>
    <cellStyle name="常规 3_2015年公共财政预算收支、基金收支" xfId="1391"/>
    <cellStyle name="常规 30 3" xfId="1392"/>
    <cellStyle name="千位分隔 2 13 3 13" xfId="1393"/>
    <cellStyle name="常规 32 2" xfId="1394"/>
    <cellStyle name="常规 4 4 18" xfId="1395"/>
    <cellStyle name="常规 33 3" xfId="1396"/>
    <cellStyle name="常规 4 4 19" xfId="1397"/>
    <cellStyle name="常规 33 4" xfId="1398"/>
    <cellStyle name="常规 40" xfId="1399"/>
    <cellStyle name="常规 35" xfId="1400"/>
    <cellStyle name="常规 41" xfId="1401"/>
    <cellStyle name="常规 36" xfId="1402"/>
    <cellStyle name="常规 42" xfId="1403"/>
    <cellStyle name="常规 37" xfId="1404"/>
    <cellStyle name="千位分隔 4 7 2" xfId="1405"/>
    <cellStyle name="常规 43" xfId="1406"/>
    <cellStyle name="常规 38" xfId="1407"/>
    <cellStyle name="常规 4 10" xfId="1408"/>
    <cellStyle name="常规 4 10 10" xfId="1409"/>
    <cellStyle name="常规 4 10 11" xfId="1410"/>
    <cellStyle name="常规 4 10 12" xfId="1411"/>
    <cellStyle name="常规 4 10 13" xfId="1412"/>
    <cellStyle name="常规 4 10 14" xfId="1413"/>
    <cellStyle name="常规 4 10 15" xfId="1414"/>
    <cellStyle name="常规 4 10 16" xfId="1415"/>
    <cellStyle name="常规 4 10 17" xfId="1416"/>
    <cellStyle name="常规 4 10 18" xfId="1417"/>
    <cellStyle name="常规 4 10 19" xfId="1418"/>
    <cellStyle name="常规 4 10 4" xfId="1419"/>
    <cellStyle name="常规 4 10 5" xfId="1420"/>
    <cellStyle name="常规 4 10 6" xfId="1421"/>
    <cellStyle name="常规 4 10 7" xfId="1422"/>
    <cellStyle name="常规 4 10 8" xfId="1423"/>
    <cellStyle name="千位分隔 2 8 2 9" xfId="1424"/>
    <cellStyle name="常规 4 11 10" xfId="1425"/>
    <cellStyle name="常规 4 11 11" xfId="1426"/>
    <cellStyle name="常规 4 11 12" xfId="1427"/>
    <cellStyle name="常规 4 11 13" xfId="1428"/>
    <cellStyle name="常规 4 11 14" xfId="1429"/>
    <cellStyle name="常规 4 11 15" xfId="1430"/>
    <cellStyle name="常规 4 11 16" xfId="1431"/>
    <cellStyle name="常规 4 11 17" xfId="1432"/>
    <cellStyle name="常规 4 11 18" xfId="1433"/>
    <cellStyle name="常规 4 11 19" xfId="1434"/>
    <cellStyle name="常规 4 11 4" xfId="1435"/>
    <cellStyle name="常规 4 11 5" xfId="1436"/>
    <cellStyle name="常规 4 11 6" xfId="1437"/>
    <cellStyle name="常规 4 11 7" xfId="1438"/>
    <cellStyle name="常规 4 11 8" xfId="1439"/>
    <cellStyle name="千位分隔 2 16 3 9" xfId="1440"/>
    <cellStyle name="常规 4 2 10" xfId="1441"/>
    <cellStyle name="千位分隔 2 11 2 13" xfId="1442"/>
    <cellStyle name="常规 5 5 2" xfId="1443"/>
    <cellStyle name="常规 4 2 11" xfId="1444"/>
    <cellStyle name="千位分隔 2 11 2 14" xfId="1445"/>
    <cellStyle name="常规 5 5 3" xfId="1446"/>
    <cellStyle name="常规 4 2 12" xfId="1447"/>
    <cellStyle name="千位分隔 2 11 2 15" xfId="1448"/>
    <cellStyle name="常规 5 5 4" xfId="1449"/>
    <cellStyle name="常规 4 2 13" xfId="1450"/>
    <cellStyle name="千位分隔 2 11 2 16" xfId="1451"/>
    <cellStyle name="常规 5 5 5" xfId="1452"/>
    <cellStyle name="常规 4 2 14" xfId="1453"/>
    <cellStyle name="千位分隔 2 11 2 17" xfId="1454"/>
    <cellStyle name="常规 5 5 6" xfId="1455"/>
    <cellStyle name="常规 4 2 15" xfId="1456"/>
    <cellStyle name="千位分隔 2 11 2 18" xfId="1457"/>
    <cellStyle name="常规 5 5 7" xfId="1458"/>
    <cellStyle name="常规 4 2 16" xfId="1459"/>
    <cellStyle name="千位分隔 2 11 2 19" xfId="1460"/>
    <cellStyle name="常规 5 5 8" xfId="1461"/>
    <cellStyle name="常规 4 2 17" xfId="1462"/>
    <cellStyle name="常规 5 5 9" xfId="1463"/>
    <cellStyle name="常规 4 2 18" xfId="1464"/>
    <cellStyle name="常规 4 2 19" xfId="1465"/>
    <cellStyle name="千位分隔 2 4 6 4" xfId="1466"/>
    <cellStyle name="常规 5 32" xfId="1467"/>
    <cellStyle name="常规 5 27" xfId="1468"/>
    <cellStyle name="常规 4 3 12" xfId="1469"/>
    <cellStyle name="千位分隔 2 4 6 5" xfId="1470"/>
    <cellStyle name="常规 5 33" xfId="1471"/>
    <cellStyle name="常规 5 28" xfId="1472"/>
    <cellStyle name="常规 4 3 13" xfId="1473"/>
    <cellStyle name="千位分隔 2 4 6 6" xfId="1474"/>
    <cellStyle name="常规 5 34" xfId="1475"/>
    <cellStyle name="常规 5 29" xfId="1476"/>
    <cellStyle name="常规 4 3 14" xfId="1477"/>
    <cellStyle name="千位分隔 2 4 6 7" xfId="1478"/>
    <cellStyle name="常规 5 40" xfId="1479"/>
    <cellStyle name="常规 5 35" xfId="1480"/>
    <cellStyle name="常规 4 3 15" xfId="1481"/>
    <cellStyle name="千位分隔 2 4 6 8" xfId="1482"/>
    <cellStyle name="常规 5 41" xfId="1483"/>
    <cellStyle name="常规 5 36" xfId="1484"/>
    <cellStyle name="常规 4 3 16" xfId="1485"/>
    <cellStyle name="千位分隔 2 4 6 9" xfId="1486"/>
    <cellStyle name="常规 5 42" xfId="1487"/>
    <cellStyle name="常规 5 37" xfId="1488"/>
    <cellStyle name="常规 4 3 17" xfId="1489"/>
    <cellStyle name="常规 5 43" xfId="1490"/>
    <cellStyle name="常规 5 38" xfId="1491"/>
    <cellStyle name="常规 4 3 18" xfId="1492"/>
    <cellStyle name="常规 5 44" xfId="1493"/>
    <cellStyle name="常规 5 39" xfId="1494"/>
    <cellStyle name="常规 4 3 19" xfId="1495"/>
    <cellStyle name="常规 6 27" xfId="1496"/>
    <cellStyle name="常规 4 4 12" xfId="1497"/>
    <cellStyle name="常规 6 28" xfId="1498"/>
    <cellStyle name="常规 4 4 13" xfId="1499"/>
    <cellStyle name="常规 6 29" xfId="1500"/>
    <cellStyle name="常规 4 4 14" xfId="1501"/>
    <cellStyle name="常规 4 4 15" xfId="1502"/>
    <cellStyle name="常规 4 4 16" xfId="1503"/>
    <cellStyle name="常规 4 4 17" xfId="1504"/>
    <cellStyle name="常规 6 8" xfId="1505"/>
    <cellStyle name="常规 4 4 6" xfId="1506"/>
    <cellStyle name="常规 6 9" xfId="1507"/>
    <cellStyle name="常规 4 4 7" xfId="1508"/>
    <cellStyle name="常规 4 4 8" xfId="1509"/>
    <cellStyle name="常规 4 4 9" xfId="1510"/>
    <cellStyle name="常规 6 13 4" xfId="1511"/>
    <cellStyle name="常规 4 5 10" xfId="1512"/>
    <cellStyle name="常规 4 5 11" xfId="1513"/>
    <cellStyle name="常规 4 5 12" xfId="1514"/>
    <cellStyle name="常规 9 2 2" xfId="1515"/>
    <cellStyle name="常规 4 5 13" xfId="1516"/>
    <cellStyle name="常规 9 2 3" xfId="1517"/>
    <cellStyle name="常规 4 5 14" xfId="1518"/>
    <cellStyle name="常规 9 2 4" xfId="1519"/>
    <cellStyle name="常规 4 5 15" xfId="1520"/>
    <cellStyle name="常规 4 5 16" xfId="1521"/>
    <cellStyle name="常规 4 5 17" xfId="1522"/>
    <cellStyle name="常规 4 5 18" xfId="1523"/>
    <cellStyle name="常规 4 5 19" xfId="1524"/>
    <cellStyle name="常规 4 5 2" xfId="1525"/>
    <cellStyle name="常规 4 5 3" xfId="1526"/>
    <cellStyle name="常规 4 5 4" xfId="1527"/>
    <cellStyle name="常规 4 5 5" xfId="1528"/>
    <cellStyle name="常规 4 5 6" xfId="1529"/>
    <cellStyle name="常规 4 5 7" xfId="1530"/>
    <cellStyle name="常规 4 5 8" xfId="1531"/>
    <cellStyle name="常规 4 5 9" xfId="1532"/>
    <cellStyle name="常规 8 30" xfId="1533"/>
    <cellStyle name="常规 8 25" xfId="1534"/>
    <cellStyle name="常规 4 6 10" xfId="1535"/>
    <cellStyle name="常规 8 31" xfId="1536"/>
    <cellStyle name="常规 8 26" xfId="1537"/>
    <cellStyle name="常规 4 6 11" xfId="1538"/>
    <cellStyle name="常规 8 27" xfId="1539"/>
    <cellStyle name="常规 4 6 12" xfId="1540"/>
    <cellStyle name="常规 9 7 2" xfId="1541"/>
    <cellStyle name="常规 8 28" xfId="1542"/>
    <cellStyle name="常规 4 6 13" xfId="1543"/>
    <cellStyle name="常规 9 7 3" xfId="1544"/>
    <cellStyle name="常规 8 29" xfId="1545"/>
    <cellStyle name="常规 8 14 2" xfId="1546"/>
    <cellStyle name="常规 4 6 14" xfId="1547"/>
    <cellStyle name="常规 9 7 4" xfId="1548"/>
    <cellStyle name="常规 8 14 3" xfId="1549"/>
    <cellStyle name="常规 4 6 15" xfId="1550"/>
    <cellStyle name="常规 8 14 4" xfId="1551"/>
    <cellStyle name="常规 4 6 16" xfId="1552"/>
    <cellStyle name="常规 4 6 17" xfId="1553"/>
    <cellStyle name="常规 4 6 18" xfId="1554"/>
    <cellStyle name="常规 4 6 19" xfId="1555"/>
    <cellStyle name="常规 8 4" xfId="1556"/>
    <cellStyle name="常规 4 6 2" xfId="1557"/>
    <cellStyle name="常规 8 5" xfId="1558"/>
    <cellStyle name="常规 4 6 3" xfId="1559"/>
    <cellStyle name="常规 8 6" xfId="1560"/>
    <cellStyle name="常规 4 6 4" xfId="1561"/>
    <cellStyle name="千位分隔 2 3 2 6" xfId="1562"/>
    <cellStyle name="常规 5 5 10" xfId="1563"/>
    <cellStyle name="常规 8 7" xfId="1564"/>
    <cellStyle name="常规 4 6 5" xfId="1565"/>
    <cellStyle name="千位分隔 2 3 2 7" xfId="1566"/>
    <cellStyle name="常规 5 5 11" xfId="1567"/>
    <cellStyle name="常规 8 8" xfId="1568"/>
    <cellStyle name="常规 4 6 6" xfId="1569"/>
    <cellStyle name="千位分隔 2 8 10" xfId="1570"/>
    <cellStyle name="千位分隔 2 3 2 8" xfId="1571"/>
    <cellStyle name="常规 5 5 12" xfId="1572"/>
    <cellStyle name="常规 8 9" xfId="1573"/>
    <cellStyle name="常规 4 6 7" xfId="1574"/>
    <cellStyle name="千位分隔 2 8 11" xfId="1575"/>
    <cellStyle name="千位分隔 2 3 2 9" xfId="1576"/>
    <cellStyle name="常规 5 5 13" xfId="1577"/>
    <cellStyle name="常规 4 6 8" xfId="1578"/>
    <cellStyle name="千位分隔 2 8 12" xfId="1579"/>
    <cellStyle name="常规 5 5 14" xfId="1580"/>
    <cellStyle name="常规 4 6 9" xfId="1581"/>
    <cellStyle name="常规 9 30" xfId="1582"/>
    <cellStyle name="常规 9 25" xfId="1583"/>
    <cellStyle name="常规 4 7 10" xfId="1584"/>
    <cellStyle name="千位分隔 2 3 3 16" xfId="1585"/>
    <cellStyle name="常规 6 5 2" xfId="1586"/>
    <cellStyle name="常规 9 31" xfId="1587"/>
    <cellStyle name="常规 9 26" xfId="1588"/>
    <cellStyle name="常规 4 7 11" xfId="1589"/>
    <cellStyle name="千位分隔 2 3 3 17" xfId="1590"/>
    <cellStyle name="常规 6 5 3" xfId="1591"/>
    <cellStyle name="常规 9 27" xfId="1592"/>
    <cellStyle name="常规 4 7 12" xfId="1593"/>
    <cellStyle name="千位分隔 2 3 3 18" xfId="1594"/>
    <cellStyle name="常规 6 5 4" xfId="1595"/>
    <cellStyle name="常规 9 28" xfId="1596"/>
    <cellStyle name="常规 4 7 13" xfId="1597"/>
    <cellStyle name="常规 9 29" xfId="1598"/>
    <cellStyle name="常规 4 7 14" xfId="1599"/>
    <cellStyle name="常规 4 7 15" xfId="1600"/>
    <cellStyle name="常规 4 7 16" xfId="1601"/>
    <cellStyle name="常规 4 7 17" xfId="1602"/>
    <cellStyle name="常规 4 7 18" xfId="1603"/>
    <cellStyle name="常规 4 7 19" xfId="1604"/>
    <cellStyle name="常规 4 7 9" xfId="1605"/>
    <cellStyle name="千位分隔 2 5 6 9" xfId="1606"/>
    <cellStyle name="常规 4 8 17" xfId="1607"/>
    <cellStyle name="常规 4 8 18" xfId="1608"/>
    <cellStyle name="常规 4 8 19" xfId="1609"/>
    <cellStyle name="常规 4 8 6" xfId="1610"/>
    <cellStyle name="常规 4 8 7" xfId="1611"/>
    <cellStyle name="常规 4 8 8" xfId="1612"/>
    <cellStyle name="常规 4 8 9" xfId="1613"/>
    <cellStyle name="常规 4 9 17" xfId="1614"/>
    <cellStyle name="常规 4 9 18" xfId="1615"/>
    <cellStyle name="常规 4 9 19" xfId="1616"/>
    <cellStyle name="常规 4 9 2" xfId="1617"/>
    <cellStyle name="常规 4 9 3" xfId="1618"/>
    <cellStyle name="常规 4 9 4" xfId="1619"/>
    <cellStyle name="常规 4 9 5" xfId="1620"/>
    <cellStyle name="常规 4 9 6" xfId="1621"/>
    <cellStyle name="常规 4 9 7" xfId="1622"/>
    <cellStyle name="常规 4 9 8" xfId="1623"/>
    <cellStyle name="常规 4 9 9" xfId="1624"/>
    <cellStyle name="千位分隔 4 7 4" xfId="1625"/>
    <cellStyle name="常规 50" xfId="1626"/>
    <cellStyle name="常规 45" xfId="1627"/>
    <cellStyle name="千位分隔 4 7 5" xfId="1628"/>
    <cellStyle name="常规 51" xfId="1629"/>
    <cellStyle name="常规 46" xfId="1630"/>
    <cellStyle name="千位分隔 4 7 6" xfId="1631"/>
    <cellStyle name="常规 52" xfId="1632"/>
    <cellStyle name="常规 47" xfId="1633"/>
    <cellStyle name="千位分隔 4 7 7" xfId="1634"/>
    <cellStyle name="常规 53" xfId="1635"/>
    <cellStyle name="常规 48" xfId="1636"/>
    <cellStyle name="千位分隔 4 7 8" xfId="1637"/>
    <cellStyle name="常规 54" xfId="1638"/>
    <cellStyle name="常规 49" xfId="1639"/>
    <cellStyle name="常规 5 10" xfId="1640"/>
    <cellStyle name="常规 70" xfId="1641"/>
    <cellStyle name="常规 65" xfId="1642"/>
    <cellStyle name="常规 5 10 10" xfId="1643"/>
    <cellStyle name="常规 71" xfId="1644"/>
    <cellStyle name="常规 66" xfId="1645"/>
    <cellStyle name="常规 5 10 11" xfId="1646"/>
    <cellStyle name="常规 72" xfId="1647"/>
    <cellStyle name="常规 67" xfId="1648"/>
    <cellStyle name="常规 5 10 12" xfId="1649"/>
    <cellStyle name="常规 73" xfId="1650"/>
    <cellStyle name="常规 68" xfId="1651"/>
    <cellStyle name="常规 5 10 13" xfId="1652"/>
    <cellStyle name="常规 74" xfId="1653"/>
    <cellStyle name="常规 69" xfId="1654"/>
    <cellStyle name="常规 5 10 14" xfId="1655"/>
    <cellStyle name="常规 80" xfId="1656"/>
    <cellStyle name="常规 75" xfId="1657"/>
    <cellStyle name="常规 5 10 15" xfId="1658"/>
    <cellStyle name="常规 81" xfId="1659"/>
    <cellStyle name="常规 76" xfId="1660"/>
    <cellStyle name="常规 5 10 16" xfId="1661"/>
    <cellStyle name="常规 82" xfId="1662"/>
    <cellStyle name="常规 77" xfId="1663"/>
    <cellStyle name="常规 5 10 17" xfId="1664"/>
    <cellStyle name="常规 83" xfId="1665"/>
    <cellStyle name="常规 78" xfId="1666"/>
    <cellStyle name="常规 5 10 18" xfId="1667"/>
    <cellStyle name="常规 84" xfId="1668"/>
    <cellStyle name="常规 79" xfId="1669"/>
    <cellStyle name="常规 5 10 19" xfId="1670"/>
    <cellStyle name="常规 5 10 4" xfId="1671"/>
    <cellStyle name="常规 5 10 5" xfId="1672"/>
    <cellStyle name="常规 5 10 6" xfId="1673"/>
    <cellStyle name="常规 5 10 7" xfId="1674"/>
    <cellStyle name="常规 5 10 8" xfId="1675"/>
    <cellStyle name="常规 5 10 9" xfId="1676"/>
    <cellStyle name="常规 5 11" xfId="1677"/>
    <cellStyle name="常规 5 11 10" xfId="1678"/>
    <cellStyle name="常规 5 11 11" xfId="1679"/>
    <cellStyle name="常规 5 11 12" xfId="1680"/>
    <cellStyle name="常规 5 11 13" xfId="1681"/>
    <cellStyle name="常规 5 11 14" xfId="1682"/>
    <cellStyle name="常规 5 11 15" xfId="1683"/>
    <cellStyle name="常规 5 11 16" xfId="1684"/>
    <cellStyle name="常规 5 11 17" xfId="1685"/>
    <cellStyle name="常规 5 11 18" xfId="1686"/>
    <cellStyle name="常规 5 11 19" xfId="1687"/>
    <cellStyle name="常规 5 11 4" xfId="1688"/>
    <cellStyle name="常规 5 12" xfId="1689"/>
    <cellStyle name="常规 5 12 4" xfId="1690"/>
    <cellStyle name="常规 5 13" xfId="1691"/>
    <cellStyle name="常规 5 14" xfId="1692"/>
    <cellStyle name="常规 5 20" xfId="1693"/>
    <cellStyle name="常规 5 15" xfId="1694"/>
    <cellStyle name="常规 5 21" xfId="1695"/>
    <cellStyle name="常规 5 16" xfId="1696"/>
    <cellStyle name="千位分隔 2 15 3 5" xfId="1697"/>
    <cellStyle name="常规 5 21 2" xfId="1698"/>
    <cellStyle name="常规 5 16 2" xfId="1699"/>
    <cellStyle name="千位分隔 2 15 3 6" xfId="1700"/>
    <cellStyle name="常规 5 21 3" xfId="1701"/>
    <cellStyle name="常规 5 16 3" xfId="1702"/>
    <cellStyle name="千位分隔 2 15 3 7" xfId="1703"/>
    <cellStyle name="常规 5 21 4" xfId="1704"/>
    <cellStyle name="常规 5 16 4" xfId="1705"/>
    <cellStyle name="常规 5 22" xfId="1706"/>
    <cellStyle name="常规 5 17" xfId="1707"/>
    <cellStyle name="千位分隔 2 15 4 5" xfId="1708"/>
    <cellStyle name="常规 5 22 2" xfId="1709"/>
    <cellStyle name="常规 5 17 2" xfId="1710"/>
    <cellStyle name="千位分隔 2 15 4 6" xfId="1711"/>
    <cellStyle name="常规 5 22 3" xfId="1712"/>
    <cellStyle name="常规 5 17 3" xfId="1713"/>
    <cellStyle name="千位分隔 2 15 4 7" xfId="1714"/>
    <cellStyle name="常规 5 22 4" xfId="1715"/>
    <cellStyle name="常规 5 17 4" xfId="1716"/>
    <cellStyle name="常规 5 23" xfId="1717"/>
    <cellStyle name="常规 5 18" xfId="1718"/>
    <cellStyle name="千位分隔 2 2 2 13" xfId="1719"/>
    <cellStyle name="常规 5 23 2" xfId="1720"/>
    <cellStyle name="常规 5 18 2" xfId="1721"/>
    <cellStyle name="千位分隔 2 2 2 14" xfId="1722"/>
    <cellStyle name="常规 5 23 3" xfId="1723"/>
    <cellStyle name="常规 5 18 3" xfId="1724"/>
    <cellStyle name="千位分隔 2 17 8" xfId="1725"/>
    <cellStyle name="常规 5 2 10" xfId="1726"/>
    <cellStyle name="常规 5 2 10 2" xfId="1727"/>
    <cellStyle name="常规 5 2 10 3" xfId="1728"/>
    <cellStyle name="常规 5 2 10 4" xfId="1729"/>
    <cellStyle name="千位分隔 2 17 9" xfId="1730"/>
    <cellStyle name="常规 5 2 11" xfId="1731"/>
    <cellStyle name="常规 5 2 11 2" xfId="1732"/>
    <cellStyle name="常规 5 2 11 3" xfId="1733"/>
    <cellStyle name="常规 5 2 11 4" xfId="1734"/>
    <cellStyle name="千位分隔 2 5 10" xfId="1735"/>
    <cellStyle name="常规 5 2 12" xfId="1736"/>
    <cellStyle name="千位分隔 2 5 10 4" xfId="1737"/>
    <cellStyle name="常规 5 2 12 4" xfId="1738"/>
    <cellStyle name="千位分隔 2 5 11" xfId="1739"/>
    <cellStyle name="常规 5 2 13" xfId="1740"/>
    <cellStyle name="千位分隔 2 9 2 17" xfId="1741"/>
    <cellStyle name="千位分隔 2 5 11 4" xfId="1742"/>
    <cellStyle name="常规 5 2 13 4" xfId="1743"/>
    <cellStyle name="千位分隔 2 5 12" xfId="1744"/>
    <cellStyle name="常规 5 2 14" xfId="1745"/>
    <cellStyle name="千位分隔 2 5 12 2" xfId="1746"/>
    <cellStyle name="常规 5 2 14 2" xfId="1747"/>
    <cellStyle name="千位分隔 2 5 12 3" xfId="1748"/>
    <cellStyle name="常规 5 2 14 3" xfId="1749"/>
    <cellStyle name="千位分隔 2 5 12 4" xfId="1750"/>
    <cellStyle name="常规 5 2 14 4" xfId="1751"/>
    <cellStyle name="千位分隔 2 5 13" xfId="1752"/>
    <cellStyle name="常规 5 2 20" xfId="1753"/>
    <cellStyle name="常规 5 2 15" xfId="1754"/>
    <cellStyle name="千位分隔 2 5 13 2" xfId="1755"/>
    <cellStyle name="常规 5 2 15 2" xfId="1756"/>
    <cellStyle name="千位分隔 2 5 13 3" xfId="1757"/>
    <cellStyle name="常规 5 2 15 3" xfId="1758"/>
    <cellStyle name="千位分隔 2 5 13 4" xfId="1759"/>
    <cellStyle name="常规 5 2 15 4" xfId="1760"/>
    <cellStyle name="千位分隔 2 5 14" xfId="1761"/>
    <cellStyle name="常规 5 2 21" xfId="1762"/>
    <cellStyle name="常规 5 2 16" xfId="1763"/>
    <cellStyle name="千位分隔 2 5 14 2" xfId="1764"/>
    <cellStyle name="常规 5 2 16 2" xfId="1765"/>
    <cellStyle name="千位分隔 2 5 14 3" xfId="1766"/>
    <cellStyle name="常规 5 2 16 3" xfId="1767"/>
    <cellStyle name="千位分隔 2 5 14 4" xfId="1768"/>
    <cellStyle name="常规 5 2 16 4" xfId="1769"/>
    <cellStyle name="千位分隔 2 5 20" xfId="1770"/>
    <cellStyle name="千位分隔 2 5 15" xfId="1771"/>
    <cellStyle name="常规 5 2 22" xfId="1772"/>
    <cellStyle name="常规 5 2 17" xfId="1773"/>
    <cellStyle name="千位分隔 2 5 21" xfId="1774"/>
    <cellStyle name="千位分隔 2 5 16" xfId="1775"/>
    <cellStyle name="常规 5 2 23" xfId="1776"/>
    <cellStyle name="常规 5 2 18" xfId="1777"/>
    <cellStyle name="千位分隔 2 5 22" xfId="1778"/>
    <cellStyle name="千位分隔 2 5 17" xfId="1779"/>
    <cellStyle name="常规 5 2 24" xfId="1780"/>
    <cellStyle name="常规 5 2 19" xfId="1781"/>
    <cellStyle name="常规 5 2 2" xfId="1782"/>
    <cellStyle name="常规 5 2 2 2" xfId="1783"/>
    <cellStyle name="常规 5 2 2 3" xfId="1784"/>
    <cellStyle name="常规 5 2 2 4" xfId="1785"/>
    <cellStyle name="常规 5 2 2 5" xfId="1786"/>
    <cellStyle name="常规 5 2 2 6" xfId="1787"/>
    <cellStyle name="千位分隔 2 5 24" xfId="1788"/>
    <cellStyle name="千位分隔 2 5 19" xfId="1789"/>
    <cellStyle name="常规 5 2 31" xfId="1790"/>
    <cellStyle name="常规 5 2 26" xfId="1791"/>
    <cellStyle name="千位分隔 2 5 30" xfId="1792"/>
    <cellStyle name="千位分隔 2 5 25" xfId="1793"/>
    <cellStyle name="常规 5 2 32" xfId="1794"/>
    <cellStyle name="常规 5 2 27" xfId="1795"/>
    <cellStyle name="千位分隔 2 5 31" xfId="1796"/>
    <cellStyle name="千位分隔 2 5 26" xfId="1797"/>
    <cellStyle name="常规 5 2 33" xfId="1798"/>
    <cellStyle name="常规 5 2 28" xfId="1799"/>
    <cellStyle name="千位分隔 2 5 32" xfId="1800"/>
    <cellStyle name="千位分隔 2 5 27" xfId="1801"/>
    <cellStyle name="常规 5 2 34" xfId="1802"/>
    <cellStyle name="常规 5 2 29" xfId="1803"/>
    <cellStyle name="常规 5 2 3" xfId="1804"/>
    <cellStyle name="千位分隔 2 17 17" xfId="1805"/>
    <cellStyle name="常规 5 2 3 2" xfId="1806"/>
    <cellStyle name="千位分隔 2 17 18" xfId="1807"/>
    <cellStyle name="常规 5 2 3 3" xfId="1808"/>
    <cellStyle name="千位分隔 2 17 19" xfId="1809"/>
    <cellStyle name="常规 5 2 3 4" xfId="1810"/>
    <cellStyle name="千位分隔 2 5 33" xfId="1811"/>
    <cellStyle name="千位分隔 2 5 28" xfId="1812"/>
    <cellStyle name="常规 5 2 35" xfId="1813"/>
    <cellStyle name="常规 5 2 4" xfId="1814"/>
    <cellStyle name="常规 5 2 4 2" xfId="1815"/>
    <cellStyle name="常规 5 2 4 3" xfId="1816"/>
    <cellStyle name="常规 5 2 4 4" xfId="1817"/>
    <cellStyle name="常规 5 2 5" xfId="1818"/>
    <cellStyle name="常规 5 2 5 2" xfId="1819"/>
    <cellStyle name="常规 5 2 5 3" xfId="1820"/>
    <cellStyle name="常规 5 2 5 4" xfId="1821"/>
    <cellStyle name="常规 5 2 6" xfId="1822"/>
    <cellStyle name="常规 5 2 6 2" xfId="1823"/>
    <cellStyle name="常规 5 2 6 3" xfId="1824"/>
    <cellStyle name="常规 5 2 6 4" xfId="1825"/>
    <cellStyle name="常规 5 2 7" xfId="1826"/>
    <cellStyle name="常规 5 2 7 2" xfId="1827"/>
    <cellStyle name="常规 5 2 7 3" xfId="1828"/>
    <cellStyle name="常规 5 2 7 4" xfId="1829"/>
    <cellStyle name="常规 5 25 4" xfId="1830"/>
    <cellStyle name="常规 5 3 10" xfId="1831"/>
    <cellStyle name="常规 5 3 11" xfId="1832"/>
    <cellStyle name="千位分隔 2 6 10" xfId="1833"/>
    <cellStyle name="常规 5 3 12" xfId="1834"/>
    <cellStyle name="千位分隔 2 6 11" xfId="1835"/>
    <cellStyle name="常规 5 3 13" xfId="1836"/>
    <cellStyle name="千位分隔 2 6 12" xfId="1837"/>
    <cellStyle name="常规 5 3 14" xfId="1838"/>
    <cellStyle name="千位分隔 2 6 13" xfId="1839"/>
    <cellStyle name="常规 5 3 15" xfId="1840"/>
    <cellStyle name="千位分隔 2 6 14" xfId="1841"/>
    <cellStyle name="常规 5 3 16" xfId="1842"/>
    <cellStyle name="千位分隔 2 6 20" xfId="1843"/>
    <cellStyle name="千位分隔 2 6 15" xfId="1844"/>
    <cellStyle name="常规 5 3 17" xfId="1845"/>
    <cellStyle name="千位分隔 2 6 21" xfId="1846"/>
    <cellStyle name="千位分隔 2 6 16" xfId="1847"/>
    <cellStyle name="常规 5 3 18" xfId="1848"/>
    <cellStyle name="千位分隔 2 6 22" xfId="1849"/>
    <cellStyle name="千位分隔 2 6 17" xfId="1850"/>
    <cellStyle name="常规 5 3 19" xfId="1851"/>
    <cellStyle name="常规 5 3 6" xfId="1852"/>
    <cellStyle name="常规 5 3 7" xfId="1853"/>
    <cellStyle name="常规 5 3 8" xfId="1854"/>
    <cellStyle name="常规 5 3 9" xfId="1855"/>
    <cellStyle name="千位分隔 2 7 11" xfId="1856"/>
    <cellStyle name="常规 5 4 13" xfId="1857"/>
    <cellStyle name="千位分隔 2 7 12" xfId="1858"/>
    <cellStyle name="常规 5 4 14" xfId="1859"/>
    <cellStyle name="千位分隔 2 7 13" xfId="1860"/>
    <cellStyle name="常规 5 4 15" xfId="1861"/>
    <cellStyle name="千位分隔 2 7 14" xfId="1862"/>
    <cellStyle name="常规 5 4 16" xfId="1863"/>
    <cellStyle name="千位分隔 2 7 20" xfId="1864"/>
    <cellStyle name="千位分隔 2 7 15" xfId="1865"/>
    <cellStyle name="常规 5 4 17" xfId="1866"/>
    <cellStyle name="千位分隔 2 7 21" xfId="1867"/>
    <cellStyle name="千位分隔 2 7 16" xfId="1868"/>
    <cellStyle name="常规 5 4 18" xfId="1869"/>
    <cellStyle name="千位分隔 2 7 22" xfId="1870"/>
    <cellStyle name="千位分隔 2 7 17" xfId="1871"/>
    <cellStyle name="常规 5 4 19" xfId="1872"/>
    <cellStyle name="常规 5 4 2" xfId="1873"/>
    <cellStyle name="常规 5 4 3" xfId="1874"/>
    <cellStyle name="常规 5 4 4" xfId="1875"/>
    <cellStyle name="常规 5 4 5" xfId="1876"/>
    <cellStyle name="常规 5 4 6" xfId="1877"/>
    <cellStyle name="常规 5 4 7" xfId="1878"/>
    <cellStyle name="常规 5 4 8" xfId="1879"/>
    <cellStyle name="千位分隔 2 8 13" xfId="1880"/>
    <cellStyle name="常规 5 5 15" xfId="1881"/>
    <cellStyle name="千位分隔 2 8 14" xfId="1882"/>
    <cellStyle name="常规 5 5 16" xfId="1883"/>
    <cellStyle name="千位分隔 2 8 20" xfId="1884"/>
    <cellStyle name="千位分隔 2 8 15" xfId="1885"/>
    <cellStyle name="常规 5 5 17" xfId="1886"/>
    <cellStyle name="千位分隔 2 8 21" xfId="1887"/>
    <cellStyle name="千位分隔 2 8 16" xfId="1888"/>
    <cellStyle name="常规 5 5 18" xfId="1889"/>
    <cellStyle name="千位分隔 2 8 22" xfId="1890"/>
    <cellStyle name="千位分隔 2 8 17" xfId="1891"/>
    <cellStyle name="常规 5 5 19" xfId="1892"/>
    <cellStyle name="千位分隔 2 3 7 6" xfId="1893"/>
    <cellStyle name="常规 5 6 10" xfId="1894"/>
    <cellStyle name="千位分隔 2 3 7 7" xfId="1895"/>
    <cellStyle name="常规 5 6 11" xfId="1896"/>
    <cellStyle name="千位分隔 2 9 10" xfId="1897"/>
    <cellStyle name="千位分隔 2 3 7 8" xfId="1898"/>
    <cellStyle name="常规 5 6 12" xfId="1899"/>
    <cellStyle name="千位分隔 2 9 11" xfId="1900"/>
    <cellStyle name="千位分隔 2 3 7 9" xfId="1901"/>
    <cellStyle name="常规 5 6 13" xfId="1902"/>
    <cellStyle name="千位分隔 2 9 12" xfId="1903"/>
    <cellStyle name="常规 9 14 2" xfId="1904"/>
    <cellStyle name="常规 5 6 14" xfId="1905"/>
    <cellStyle name="千位分隔 2 9 13" xfId="1906"/>
    <cellStyle name="常规 9 14 3" xfId="1907"/>
    <cellStyle name="常规 5 6 15" xfId="1908"/>
    <cellStyle name="千位分隔 2 9 14" xfId="1909"/>
    <cellStyle name="常规 9 14 4" xfId="1910"/>
    <cellStyle name="常规 5 6 16" xfId="1911"/>
    <cellStyle name="千位分隔 2 9 20" xfId="1912"/>
    <cellStyle name="千位分隔 2 9 15" xfId="1913"/>
    <cellStyle name="常规 5 6 17" xfId="1914"/>
    <cellStyle name="千位分隔 2 9 21" xfId="1915"/>
    <cellStyle name="千位分隔 2 9 16" xfId="1916"/>
    <cellStyle name="常规 5 6 18" xfId="1917"/>
    <cellStyle name="千位分隔 2 9 22" xfId="1918"/>
    <cellStyle name="千位分隔 2 9 17" xfId="1919"/>
    <cellStyle name="常规 5 6 19" xfId="1920"/>
    <cellStyle name="千位分隔 2 4 6 12" xfId="1921"/>
    <cellStyle name="常规 5 6 2" xfId="1922"/>
    <cellStyle name="千位分隔 2 4 6 13" xfId="1923"/>
    <cellStyle name="常规 5 6 3" xfId="1924"/>
    <cellStyle name="千位分隔 2 4 6 14" xfId="1925"/>
    <cellStyle name="常规 5 6 4" xfId="1926"/>
    <cellStyle name="千位分隔 2 4 6 15" xfId="1927"/>
    <cellStyle name="常规 5 6 5" xfId="1928"/>
    <cellStyle name="千位分隔 2 4 6 17" xfId="1929"/>
    <cellStyle name="常规 5 6 7" xfId="1930"/>
    <cellStyle name="常规 5 7 10" xfId="1931"/>
    <cellStyle name="常规 5 7 11" xfId="1932"/>
    <cellStyle name="常规 5 7 12" xfId="1933"/>
    <cellStyle name="常规 5 7 13" xfId="1934"/>
    <cellStyle name="常规 5 7 14" xfId="1935"/>
    <cellStyle name="常规 5 7 15" xfId="1936"/>
    <cellStyle name="千位分隔 2 2 12 2" xfId="1937"/>
    <cellStyle name="常规 5 7 16" xfId="1938"/>
    <cellStyle name="千位分隔 2 2 12 3" xfId="1939"/>
    <cellStyle name="常规 5 7 17" xfId="1940"/>
    <cellStyle name="千位分隔 2 2 12 4" xfId="1941"/>
    <cellStyle name="常规 5 7 18" xfId="1942"/>
    <cellStyle name="常规 5 7 19" xfId="1943"/>
    <cellStyle name="常规 5 7 2" xfId="1944"/>
    <cellStyle name="常规 5 7 3" xfId="1945"/>
    <cellStyle name="常规 5 7 4" xfId="1946"/>
    <cellStyle name="常规 5 7 5" xfId="1947"/>
    <cellStyle name="常规 5 7 6" xfId="1948"/>
    <cellStyle name="常规 5 7 7" xfId="1949"/>
    <cellStyle name="常规 8 3 3" xfId="1950"/>
    <cellStyle name="常规 5 8 10" xfId="1951"/>
    <cellStyle name="常规 8 3 4" xfId="1952"/>
    <cellStyle name="常规 5 8 11" xfId="1953"/>
    <cellStyle name="常规 5 8 12" xfId="1954"/>
    <cellStyle name="常规 5 8 13" xfId="1955"/>
    <cellStyle name="千位分隔 2 10 10" xfId="1956"/>
    <cellStyle name="常规 5 8 14" xfId="1957"/>
    <cellStyle name="千位分隔 2 10 11" xfId="1958"/>
    <cellStyle name="常规 5 8 15" xfId="1959"/>
    <cellStyle name="千位分隔 2 2 22 2" xfId="1960"/>
    <cellStyle name="千位分隔 2 2 17 2" xfId="1961"/>
    <cellStyle name="千位分隔 2 10 12" xfId="1962"/>
    <cellStyle name="常规 5 8 16" xfId="1963"/>
    <cellStyle name="千位分隔 2 2 22 3" xfId="1964"/>
    <cellStyle name="千位分隔 2 2 17 3" xfId="1965"/>
    <cellStyle name="千位分隔 2 10 13" xfId="1966"/>
    <cellStyle name="常规 5 8 17" xfId="1967"/>
    <cellStyle name="千位分隔 2 2 22 4" xfId="1968"/>
    <cellStyle name="千位分隔 2 2 17 4" xfId="1969"/>
    <cellStyle name="千位分隔 2 10 14" xfId="1970"/>
    <cellStyle name="常规 5 8 18" xfId="1971"/>
    <cellStyle name="千位分隔 2 10 20" xfId="1972"/>
    <cellStyle name="千位分隔 2 10 15" xfId="1973"/>
    <cellStyle name="常规 5 8 19" xfId="1974"/>
    <cellStyle name="常规 5 8 2" xfId="1975"/>
    <cellStyle name="常规 5 8 3" xfId="1976"/>
    <cellStyle name="常规 5 8 4" xfId="1977"/>
    <cellStyle name="常规 5 8 5" xfId="1978"/>
    <cellStyle name="常规 5 8 6" xfId="1979"/>
    <cellStyle name="常规 5 8 7" xfId="1980"/>
    <cellStyle name="常规 8 8 3" xfId="1981"/>
    <cellStyle name="常规 5 9 10" xfId="1982"/>
    <cellStyle name="常规 8 8 4" xfId="1983"/>
    <cellStyle name="常规 5 9 11" xfId="1984"/>
    <cellStyle name="常规 5 9 12" xfId="1985"/>
    <cellStyle name="常规 5 9 13" xfId="1986"/>
    <cellStyle name="千位分隔 2 11 10" xfId="1987"/>
    <cellStyle name="常规 5 9 14" xfId="1988"/>
    <cellStyle name="千位分隔 2 11 11" xfId="1989"/>
    <cellStyle name="常规 5 9 15" xfId="1990"/>
    <cellStyle name="千位分隔 2 11 12" xfId="1991"/>
    <cellStyle name="常规 5 9 16" xfId="1992"/>
    <cellStyle name="千位分隔 2 11 13" xfId="1993"/>
    <cellStyle name="常规 5 9 17" xfId="1994"/>
    <cellStyle name="千位分隔 2 11 14" xfId="1995"/>
    <cellStyle name="常规 5 9 18" xfId="1996"/>
    <cellStyle name="千位分隔 2 11 20" xfId="1997"/>
    <cellStyle name="千位分隔 2 11 15" xfId="1998"/>
    <cellStyle name="常规 5 9 19" xfId="1999"/>
    <cellStyle name="常规 5 9 5" xfId="2000"/>
    <cellStyle name="常规 5 9 6" xfId="2001"/>
    <cellStyle name="常规 5 9 7" xfId="2002"/>
    <cellStyle name="常规 63" xfId="2003"/>
    <cellStyle name="常规 58" xfId="2004"/>
    <cellStyle name="常规 64" xfId="2005"/>
    <cellStyle name="常规 59" xfId="2006"/>
    <cellStyle name="常规 6 10" xfId="2007"/>
    <cellStyle name="常规 6 10 2" xfId="2008"/>
    <cellStyle name="常规 6 10 3" xfId="2009"/>
    <cellStyle name="常规 6 10 4" xfId="2010"/>
    <cellStyle name="常规 6 11 2" xfId="2011"/>
    <cellStyle name="常规 6 11 3" xfId="2012"/>
    <cellStyle name="常规 6 11 4" xfId="2013"/>
    <cellStyle name="常规 6 12 2" xfId="2014"/>
    <cellStyle name="常规 6 12 3" xfId="2015"/>
    <cellStyle name="常规 6 12 4" xfId="2016"/>
    <cellStyle name="常规 6 13 2" xfId="2017"/>
    <cellStyle name="常规 6 13 3" xfId="2018"/>
    <cellStyle name="常规 6 14" xfId="2019"/>
    <cellStyle name="常规 6 14 2" xfId="2020"/>
    <cellStyle name="常规 6 14 3" xfId="2021"/>
    <cellStyle name="常规 6 14 4" xfId="2022"/>
    <cellStyle name="常规 6 20" xfId="2023"/>
    <cellStyle name="常规 6 15" xfId="2024"/>
    <cellStyle name="常规 6 15 4" xfId="2025"/>
    <cellStyle name="常规 6 21" xfId="2026"/>
    <cellStyle name="常规 6 16" xfId="2027"/>
    <cellStyle name="常规 6 16 2" xfId="2028"/>
    <cellStyle name="常规 6 16 3" xfId="2029"/>
    <cellStyle name="常规 6 16 4" xfId="2030"/>
    <cellStyle name="常规 6 22" xfId="2031"/>
    <cellStyle name="常规 6 17" xfId="2032"/>
    <cellStyle name="常规 6 23" xfId="2033"/>
    <cellStyle name="常规 6 18" xfId="2034"/>
    <cellStyle name="常规 6 2 2" xfId="2035"/>
    <cellStyle name="常规 6 2 3" xfId="2036"/>
    <cellStyle name="常规 6 2 4" xfId="2037"/>
    <cellStyle name="常规 6 2 5" xfId="2038"/>
    <cellStyle name="常规 6 2 6" xfId="2039"/>
    <cellStyle name="常规 6 3 2" xfId="2040"/>
    <cellStyle name="常规 6 3 3" xfId="2041"/>
    <cellStyle name="常规 6 3 4" xfId="2042"/>
    <cellStyle name="常规 6 4 2" xfId="2043"/>
    <cellStyle name="常规 6 4 3" xfId="2044"/>
    <cellStyle name="常规 6 4 4" xfId="2045"/>
    <cellStyle name="常规 6 6 2" xfId="2046"/>
    <cellStyle name="常规 6 6 3" xfId="2047"/>
    <cellStyle name="常规 6 6 4" xfId="2048"/>
    <cellStyle name="常规 6 7 2" xfId="2049"/>
    <cellStyle name="常规 6 7 3" xfId="2050"/>
    <cellStyle name="常规 6 7 4" xfId="2051"/>
    <cellStyle name="常规 6 8 2" xfId="2052"/>
    <cellStyle name="常规 6 8 3" xfId="2053"/>
    <cellStyle name="常规 6 8 4" xfId="2054"/>
    <cellStyle name="常规 6 9 2" xfId="2055"/>
    <cellStyle name="常规 6 9 3" xfId="2056"/>
    <cellStyle name="常规 6 9 4" xfId="2057"/>
    <cellStyle name="常规 7" xfId="2058"/>
    <cellStyle name="常规 8 10" xfId="2059"/>
    <cellStyle name="常规 8 10 2" xfId="2060"/>
    <cellStyle name="常规 9 3 3" xfId="2061"/>
    <cellStyle name="常规 8 10 3" xfId="2062"/>
    <cellStyle name="常规 9 3 4" xfId="2063"/>
    <cellStyle name="常规 8 10 4" xfId="2064"/>
    <cellStyle name="常规 8 11" xfId="2065"/>
    <cellStyle name="常规 8 11 2" xfId="2066"/>
    <cellStyle name="常规 9 4 3" xfId="2067"/>
    <cellStyle name="常规 8 11 3" xfId="2068"/>
    <cellStyle name="常规 9 4 4" xfId="2069"/>
    <cellStyle name="常规 8 11 4" xfId="2070"/>
    <cellStyle name="常规 8 12" xfId="2071"/>
    <cellStyle name="常规 8 12 2" xfId="2072"/>
    <cellStyle name="常规 9 5 3" xfId="2073"/>
    <cellStyle name="常规 8 12 3" xfId="2074"/>
    <cellStyle name="常规 9 5 4" xfId="2075"/>
    <cellStyle name="常规 8 12 4" xfId="2076"/>
    <cellStyle name="常规 8 13" xfId="2077"/>
    <cellStyle name="常规 8 13 2" xfId="2078"/>
    <cellStyle name="常规 9 6 3" xfId="2079"/>
    <cellStyle name="常规 8 13 3" xfId="2080"/>
    <cellStyle name="常规 9 6 4" xfId="2081"/>
    <cellStyle name="常规 8 13 4" xfId="2082"/>
    <cellStyle name="常规 8 14" xfId="2083"/>
    <cellStyle name="常规 8 15" xfId="2084"/>
    <cellStyle name="常规 8 20" xfId="2085"/>
    <cellStyle name="常规 8 15 2" xfId="2086"/>
    <cellStyle name="常规 9 8 3" xfId="2087"/>
    <cellStyle name="常规 8 15 3" xfId="2088"/>
    <cellStyle name="常规 9 8 4" xfId="2089"/>
    <cellStyle name="常规 8 15 4" xfId="2090"/>
    <cellStyle name="常规 8 16" xfId="2091"/>
    <cellStyle name="常规 8 21" xfId="2092"/>
    <cellStyle name="常规 8 16 2" xfId="2093"/>
    <cellStyle name="常规 9 9 3" xfId="2094"/>
    <cellStyle name="常规 8 16 3" xfId="2095"/>
    <cellStyle name="常规 9 9 4" xfId="2096"/>
    <cellStyle name="常规 8 16 4" xfId="2097"/>
    <cellStyle name="常规 8 17" xfId="2098"/>
    <cellStyle name="常规 8 22" xfId="2099"/>
    <cellStyle name="常规 8 18" xfId="2100"/>
    <cellStyle name="常规 8 23" xfId="2101"/>
    <cellStyle name="常规 8 19" xfId="2102"/>
    <cellStyle name="常规 8 24" xfId="2103"/>
    <cellStyle name="常规 8 2" xfId="2104"/>
    <cellStyle name="常规 8 2 4" xfId="2105"/>
    <cellStyle name="千位分隔 2 6 3 10" xfId="2106"/>
    <cellStyle name="常规 8 3" xfId="2107"/>
    <cellStyle name="常规 8 3 2" xfId="2108"/>
    <cellStyle name="常规 8 4 2" xfId="2109"/>
    <cellStyle name="常规 8 4 3" xfId="2110"/>
    <cellStyle name="常规 8 4 4" xfId="2111"/>
    <cellStyle name="常规 8 5 4" xfId="2112"/>
    <cellStyle name="常规 8 6 2" xfId="2113"/>
    <cellStyle name="常规 8 6 3" xfId="2114"/>
    <cellStyle name="常规 8 6 4" xfId="2115"/>
    <cellStyle name="常规 8 8 2" xfId="2116"/>
    <cellStyle name="常规 8 9 2" xfId="2117"/>
    <cellStyle name="常规 8 9 3" xfId="2118"/>
    <cellStyle name="常规 8 9 4" xfId="2119"/>
    <cellStyle name="常规 86" xfId="2120"/>
    <cellStyle name="常规 91" xfId="2121"/>
    <cellStyle name="常规 87" xfId="2122"/>
    <cellStyle name="常规 92" xfId="2123"/>
    <cellStyle name="常规 88" xfId="2124"/>
    <cellStyle name="常规 93" xfId="2125"/>
    <cellStyle name="千位分隔 4 8 2" xfId="2126"/>
    <cellStyle name="常规 89" xfId="2127"/>
    <cellStyle name="常规 94" xfId="2128"/>
    <cellStyle name="千位分隔 4 8 3" xfId="2129"/>
    <cellStyle name="常规 9 10" xfId="2130"/>
    <cellStyle name="常规 9 10 2" xfId="2131"/>
    <cellStyle name="常规 9 10 3" xfId="2132"/>
    <cellStyle name="常规 9 10 4" xfId="2133"/>
    <cellStyle name="常规 9 11" xfId="2134"/>
    <cellStyle name="常规 9 11 2" xfId="2135"/>
    <cellStyle name="常规 9 11 3" xfId="2136"/>
    <cellStyle name="常规 9 11 4" xfId="2137"/>
    <cellStyle name="常规 9 12" xfId="2138"/>
    <cellStyle name="常规 9 12 2" xfId="2139"/>
    <cellStyle name="常规 9 12 3" xfId="2140"/>
    <cellStyle name="常规 9 12 4" xfId="2141"/>
    <cellStyle name="常规 9 13" xfId="2142"/>
    <cellStyle name="常规 9 13 2" xfId="2143"/>
    <cellStyle name="常规 9 13 3" xfId="2144"/>
    <cellStyle name="常规 9 13 4" xfId="2145"/>
    <cellStyle name="常规 9 14" xfId="2146"/>
    <cellStyle name="常规 9 15" xfId="2147"/>
    <cellStyle name="常规 9 20" xfId="2148"/>
    <cellStyle name="常规 9 15 2" xfId="2149"/>
    <cellStyle name="常规 9 15 3" xfId="2150"/>
    <cellStyle name="常规 9 15 4" xfId="2151"/>
    <cellStyle name="常规 9 16" xfId="2152"/>
    <cellStyle name="常规 9 21" xfId="2153"/>
    <cellStyle name="常规 9 16 2" xfId="2154"/>
    <cellStyle name="常规 9 16 3" xfId="2155"/>
    <cellStyle name="常规 9 16 4" xfId="2156"/>
    <cellStyle name="常规 9 17" xfId="2157"/>
    <cellStyle name="常规 9 22" xfId="2158"/>
    <cellStyle name="常规 9 18" xfId="2159"/>
    <cellStyle name="常规 9 23" xfId="2160"/>
    <cellStyle name="常规 9 19" xfId="2161"/>
    <cellStyle name="常规 9 24" xfId="2162"/>
    <cellStyle name="常规 9 3 2" xfId="2163"/>
    <cellStyle name="常规 9 4 2" xfId="2164"/>
    <cellStyle name="常规 9 5 2" xfId="2165"/>
    <cellStyle name="常规 9 6 2" xfId="2166"/>
    <cellStyle name="常规 9 8 2" xfId="2167"/>
    <cellStyle name="常规 9 9 2" xfId="2168"/>
    <cellStyle name="常规 95" xfId="2169"/>
    <cellStyle name="千位分隔 4 8 4" xfId="2170"/>
    <cellStyle name="常规 96" xfId="2171"/>
    <cellStyle name="千位分隔 4 8 5" xfId="2172"/>
    <cellStyle name="常规 97" xfId="2173"/>
    <cellStyle name="千位分隔 4 8 6" xfId="2174"/>
    <cellStyle name="常规 98" xfId="2175"/>
    <cellStyle name="千位分隔 4 8 7" xfId="2176"/>
    <cellStyle name="常规 99" xfId="2177"/>
    <cellStyle name="千位分隔 4 8 8" xfId="2178"/>
    <cellStyle name="常规_2006区级预算追加情况表" xfId="2179"/>
    <cellStyle name="千位分隔 2 13 11" xfId="2180"/>
    <cellStyle name="千位分隔 15" xfId="2181"/>
    <cellStyle name="千位分隔 2 14 3 17" xfId="2182"/>
    <cellStyle name="千位分隔 15 10" xfId="2183"/>
    <cellStyle name="千位分隔 15 11" xfId="2184"/>
    <cellStyle name="千位分隔 15 12" xfId="2185"/>
    <cellStyle name="千位分隔 15 13" xfId="2186"/>
    <cellStyle name="千位分隔 15 14" xfId="2187"/>
    <cellStyle name="千位分隔 15 15" xfId="2188"/>
    <cellStyle name="千位分隔 15 16" xfId="2189"/>
    <cellStyle name="千位分隔 2 7 2 2" xfId="2190"/>
    <cellStyle name="千位分隔 15 17" xfId="2191"/>
    <cellStyle name="千位分隔 2 7 2 3" xfId="2192"/>
    <cellStyle name="千位分隔 15 18" xfId="2193"/>
    <cellStyle name="千位分隔 2 7 2 4" xfId="2194"/>
    <cellStyle name="千位分隔 15 19" xfId="2195"/>
    <cellStyle name="千位分隔 2 7 2 5" xfId="2196"/>
    <cellStyle name="千位分隔 15 2" xfId="2197"/>
    <cellStyle name="千位分隔 2 3 2 14" xfId="2198"/>
    <cellStyle name="千位分隔 15 3" xfId="2199"/>
    <cellStyle name="千位分隔 2 3 2 15" xfId="2200"/>
    <cellStyle name="千位分隔 15 4" xfId="2201"/>
    <cellStyle name="千位分隔 2 3 2 16" xfId="2202"/>
    <cellStyle name="千位分隔 15 5" xfId="2203"/>
    <cellStyle name="千位分隔 2 3 2 17" xfId="2204"/>
    <cellStyle name="千位分隔 2 8 3 2" xfId="2205"/>
    <cellStyle name="千位分隔 15 6" xfId="2206"/>
    <cellStyle name="千位分隔 2 3 2 18" xfId="2207"/>
    <cellStyle name="千位分隔 2 8 3 3" xfId="2208"/>
    <cellStyle name="千位分隔 15 7" xfId="2209"/>
    <cellStyle name="千位分隔 2 3 2 19" xfId="2210"/>
    <cellStyle name="千位分隔 2 8 3 4" xfId="2211"/>
    <cellStyle name="千位分隔 15 8" xfId="2212"/>
    <cellStyle name="千位分隔 2 8 3 5" xfId="2213"/>
    <cellStyle name="千位分隔 15 9" xfId="2214"/>
    <cellStyle name="千位分隔 2 8 3 6" xfId="2215"/>
    <cellStyle name="千位分隔 2" xfId="2216"/>
    <cellStyle name="千位分隔 2 12 3 11" xfId="2217"/>
    <cellStyle name="千位分隔 2 10" xfId="2218"/>
    <cellStyle name="千位分隔 2 10 16" xfId="2219"/>
    <cellStyle name="千位分隔 2 10 21" xfId="2220"/>
    <cellStyle name="千位分隔 2 10 17" xfId="2221"/>
    <cellStyle name="千位分隔 2 10 22" xfId="2222"/>
    <cellStyle name="千位分隔 2 10 18" xfId="2223"/>
    <cellStyle name="千位分隔 2 10 19" xfId="2224"/>
    <cellStyle name="千位分隔 2 10 2" xfId="2225"/>
    <cellStyle name="千位分隔 2 10 2 10" xfId="2226"/>
    <cellStyle name="千位分隔 2 4 35" xfId="2227"/>
    <cellStyle name="千位分隔 2 4 40" xfId="2228"/>
    <cellStyle name="千位分隔 2 10 2 11" xfId="2229"/>
    <cellStyle name="千位分隔 2 4 36" xfId="2230"/>
    <cellStyle name="千位分隔 2 10 2 12" xfId="2231"/>
    <cellStyle name="千位分隔 2 13 2" xfId="2232"/>
    <cellStyle name="千位分隔 2 4 37" xfId="2233"/>
    <cellStyle name="千位分隔 2 10 2 13" xfId="2234"/>
    <cellStyle name="千位分隔 2 13 3" xfId="2235"/>
    <cellStyle name="千位分隔 2 4 38" xfId="2236"/>
    <cellStyle name="千位分隔 2 10 2 14" xfId="2237"/>
    <cellStyle name="千位分隔 2 13 4" xfId="2238"/>
    <cellStyle name="千位分隔 2 2 8 2" xfId="2239"/>
    <cellStyle name="千位分隔 2 4 39" xfId="2240"/>
    <cellStyle name="千位分隔 2 10 2 15" xfId="2241"/>
    <cellStyle name="千位分隔 2 13 5" xfId="2242"/>
    <cellStyle name="千位分隔 2 2 8 3" xfId="2243"/>
    <cellStyle name="千位分隔 2 10 2 16" xfId="2244"/>
    <cellStyle name="千位分隔 2 13 6" xfId="2245"/>
    <cellStyle name="千位分隔 2 2 8 4" xfId="2246"/>
    <cellStyle name="千位分隔 2 10 2 17" xfId="2247"/>
    <cellStyle name="千位分隔 2 13 7" xfId="2248"/>
    <cellStyle name="千位分隔 2 2 8 5" xfId="2249"/>
    <cellStyle name="千位分隔 2 10 2 18" xfId="2250"/>
    <cellStyle name="千位分隔 2 13 8" xfId="2251"/>
    <cellStyle name="千位分隔 2 2 8 6" xfId="2252"/>
    <cellStyle name="千位分隔 2 10 2 19" xfId="2253"/>
    <cellStyle name="千位分隔 2 13 9" xfId="2254"/>
    <cellStyle name="千位分隔 2 2 8 7" xfId="2255"/>
    <cellStyle name="千位分隔 2 10 2 2" xfId="2256"/>
    <cellStyle name="千位分隔 2 4 5" xfId="2257"/>
    <cellStyle name="千位分隔 2 10 2 3" xfId="2258"/>
    <cellStyle name="千位分隔 2 4 6" xfId="2259"/>
    <cellStyle name="千位分隔 2 10 2 4" xfId="2260"/>
    <cellStyle name="千位分隔 2 4 7" xfId="2261"/>
    <cellStyle name="千位分隔 2 10 2 5" xfId="2262"/>
    <cellStyle name="千位分隔 2 4 8" xfId="2263"/>
    <cellStyle name="千位分隔 2 10 2 6" xfId="2264"/>
    <cellStyle name="千位分隔 2 4 9" xfId="2265"/>
    <cellStyle name="千位分隔 2 10 2 7" xfId="2266"/>
    <cellStyle name="千位分隔 2 10 2 8" xfId="2267"/>
    <cellStyle name="千位分隔 2 10 2 9" xfId="2268"/>
    <cellStyle name="千位分隔 2 10 3" xfId="2269"/>
    <cellStyle name="千位分隔 2 10 3 10" xfId="2270"/>
    <cellStyle name="千位分隔 2 5 35" xfId="2271"/>
    <cellStyle name="千位分隔 2 5 40" xfId="2272"/>
    <cellStyle name="千位分隔 2 10 3 11" xfId="2273"/>
    <cellStyle name="千位分隔 2 5 36" xfId="2274"/>
    <cellStyle name="千位分隔 2 10 3 12" xfId="2275"/>
    <cellStyle name="千位分隔 2 18 2" xfId="2276"/>
    <cellStyle name="千位分隔 2 5 37" xfId="2277"/>
    <cellStyle name="千位分隔 2 10 3 13" xfId="2278"/>
    <cellStyle name="千位分隔 2 18 3" xfId="2279"/>
    <cellStyle name="千位分隔 2 5 38" xfId="2280"/>
    <cellStyle name="千位分隔 2 10 3 14" xfId="2281"/>
    <cellStyle name="千位分隔 2 18 4" xfId="2282"/>
    <cellStyle name="千位分隔 2 5 39" xfId="2283"/>
    <cellStyle name="千位分隔 2 10 3 15" xfId="2284"/>
    <cellStyle name="千位分隔 2 18 5" xfId="2285"/>
    <cellStyle name="千位分隔 2 10 3 16" xfId="2286"/>
    <cellStyle name="千位分隔 2 18 6" xfId="2287"/>
    <cellStyle name="千位分隔 2 10 3 17" xfId="2288"/>
    <cellStyle name="千位分隔 2 18 7" xfId="2289"/>
    <cellStyle name="千位分隔 2 10 3 18" xfId="2290"/>
    <cellStyle name="千位分隔 2 18 8" xfId="2291"/>
    <cellStyle name="千位分隔 2 9 2 2" xfId="2292"/>
    <cellStyle name="千位分隔 2 10 3 19" xfId="2293"/>
    <cellStyle name="千位分隔 2 18 9" xfId="2294"/>
    <cellStyle name="千位分隔 2 9 2 3" xfId="2295"/>
    <cellStyle name="千位分隔 2 10 3 2" xfId="2296"/>
    <cellStyle name="千位分隔 2 5 5" xfId="2297"/>
    <cellStyle name="千位分隔 2 10 3 3" xfId="2298"/>
    <cellStyle name="千位分隔 2 5 6" xfId="2299"/>
    <cellStyle name="千位分隔 2 10 3 4" xfId="2300"/>
    <cellStyle name="千位分隔 2 5 7" xfId="2301"/>
    <cellStyle name="千位分隔 2 10 3 5" xfId="2302"/>
    <cellStyle name="千位分隔 2 5 8" xfId="2303"/>
    <cellStyle name="千位分隔 2 10 3 6" xfId="2304"/>
    <cellStyle name="千位分隔 2 5 9" xfId="2305"/>
    <cellStyle name="千位分隔 2 10 3 7" xfId="2306"/>
    <cellStyle name="千位分隔 2 10 3 8" xfId="2307"/>
    <cellStyle name="千位分隔 2 10 3 9" xfId="2308"/>
    <cellStyle name="千位分隔 2 10 4" xfId="2309"/>
    <cellStyle name="千位分隔 2 2 5 2" xfId="2310"/>
    <cellStyle name="千位分隔 2 10 4 10" xfId="2311"/>
    <cellStyle name="千位分隔 2 10 4 11" xfId="2312"/>
    <cellStyle name="千位分隔 2 10 4 12" xfId="2313"/>
    <cellStyle name="千位分隔 2 10 4 13" xfId="2314"/>
    <cellStyle name="千位分隔 2 10 4 14" xfId="2315"/>
    <cellStyle name="千位分隔 2 10 4 15" xfId="2316"/>
    <cellStyle name="千位分隔 2 10 4 16" xfId="2317"/>
    <cellStyle name="千位分隔 2 10 4 17" xfId="2318"/>
    <cellStyle name="千位分隔 2 10 4 18" xfId="2319"/>
    <cellStyle name="千位分隔 2 10 4 19" xfId="2320"/>
    <cellStyle name="千位分隔 2 10 4 2" xfId="2321"/>
    <cellStyle name="千位分隔 2 6 5" xfId="2322"/>
    <cellStyle name="千位分隔 2 10 4 3" xfId="2323"/>
    <cellStyle name="千位分隔 2 6 6" xfId="2324"/>
    <cellStyle name="千位分隔 2 10 4 4" xfId="2325"/>
    <cellStyle name="千位分隔 2 6 7" xfId="2326"/>
    <cellStyle name="千位分隔 2 10 4 5" xfId="2327"/>
    <cellStyle name="千位分隔 2 6 8" xfId="2328"/>
    <cellStyle name="千位分隔 2 10 4 6" xfId="2329"/>
    <cellStyle name="千位分隔 2 6 9" xfId="2330"/>
    <cellStyle name="千位分隔 2 10 4 7" xfId="2331"/>
    <cellStyle name="千位分隔 2 10 4 8" xfId="2332"/>
    <cellStyle name="千位分隔 2 10 4 9" xfId="2333"/>
    <cellStyle name="千位分隔 2 10 5" xfId="2334"/>
    <cellStyle name="千位分隔 2 2 5 3" xfId="2335"/>
    <cellStyle name="千位分隔 2 10 6" xfId="2336"/>
    <cellStyle name="千位分隔 2 2 5 4" xfId="2337"/>
    <cellStyle name="千位分隔 2 10 7" xfId="2338"/>
    <cellStyle name="千位分隔 2 2 5 5" xfId="2339"/>
    <cellStyle name="千位分隔 2 10 8" xfId="2340"/>
    <cellStyle name="千位分隔 2 2 5 6" xfId="2341"/>
    <cellStyle name="千位分隔 2 10 9" xfId="2342"/>
    <cellStyle name="千位分隔 2 2 5 7" xfId="2343"/>
    <cellStyle name="千位分隔 2 11" xfId="2344"/>
    <cellStyle name="千位分隔 2 11 16" xfId="2345"/>
    <cellStyle name="千位分隔 2 11 21" xfId="2346"/>
    <cellStyle name="千位分隔 2 11 17" xfId="2347"/>
    <cellStyle name="千位分隔 2 11 22" xfId="2348"/>
    <cellStyle name="千位分隔 2 11 18" xfId="2349"/>
    <cellStyle name="千位分隔 2 11 19" xfId="2350"/>
    <cellStyle name="千位分隔 2 11 2" xfId="2351"/>
    <cellStyle name="千位分隔 2 11 2 10" xfId="2352"/>
    <cellStyle name="千位分隔 2 11 2 11" xfId="2353"/>
    <cellStyle name="千位分隔 2 11 2 12" xfId="2354"/>
    <cellStyle name="千位分隔 2 11 2 2" xfId="2355"/>
    <cellStyle name="千位分隔 2 9 3 11" xfId="2356"/>
    <cellStyle name="千位分隔 4 3 14" xfId="2357"/>
    <cellStyle name="千位分隔 2 11 2 3" xfId="2358"/>
    <cellStyle name="千位分隔 2 9 3 12" xfId="2359"/>
    <cellStyle name="千位分隔 4 3 15" xfId="2360"/>
    <cellStyle name="千位分隔 2 11 2 4" xfId="2361"/>
    <cellStyle name="千位分隔 2 9 3 13" xfId="2362"/>
    <cellStyle name="千位分隔 4 3 16" xfId="2363"/>
    <cellStyle name="千位分隔 2 11 2 5" xfId="2364"/>
    <cellStyle name="千位分隔 2 9 3 14" xfId="2365"/>
    <cellStyle name="千位分隔 4 3 17" xfId="2366"/>
    <cellStyle name="千位分隔 2 11 2 6" xfId="2367"/>
    <cellStyle name="千位分隔 2 5 16 2" xfId="2368"/>
    <cellStyle name="千位分隔 2 5 21 2" xfId="2369"/>
    <cellStyle name="千位分隔 2 9 3 15" xfId="2370"/>
    <cellStyle name="千位分隔 4 3 18" xfId="2371"/>
    <cellStyle name="千位分隔 2 11 2 7" xfId="2372"/>
    <cellStyle name="千位分隔 2 5 16 3" xfId="2373"/>
    <cellStyle name="千位分隔 2 5 21 3" xfId="2374"/>
    <cellStyle name="千位分隔 2 9 3 16" xfId="2375"/>
    <cellStyle name="千位分隔 4 3 19" xfId="2376"/>
    <cellStyle name="千位分隔 2 11 2 8" xfId="2377"/>
    <cellStyle name="千位分隔 2 5 16 4" xfId="2378"/>
    <cellStyle name="千位分隔 2 5 21 4" xfId="2379"/>
    <cellStyle name="千位分隔 2 9 3 17" xfId="2380"/>
    <cellStyle name="千位分隔 2 11 2 9" xfId="2381"/>
    <cellStyle name="千位分隔 2 9 3 18" xfId="2382"/>
    <cellStyle name="千位分隔 2 11 3" xfId="2383"/>
    <cellStyle name="千位分隔 2 11 3 10" xfId="2384"/>
    <cellStyle name="千位分隔 2 11 3 11" xfId="2385"/>
    <cellStyle name="千位分隔 2 11 3 12" xfId="2386"/>
    <cellStyle name="千位分隔 2 11 3 13" xfId="2387"/>
    <cellStyle name="千位分隔 2 11 3 14" xfId="2388"/>
    <cellStyle name="千位分隔 2 11 3 15" xfId="2389"/>
    <cellStyle name="千位分隔 2 11 3 16" xfId="2390"/>
    <cellStyle name="千位分隔 2 11 3 17" xfId="2391"/>
    <cellStyle name="千位分隔 2 11 3 18" xfId="2392"/>
    <cellStyle name="千位分隔 2 11 3 19" xfId="2393"/>
    <cellStyle name="千位分隔 2 11 3 2" xfId="2394"/>
    <cellStyle name="千位分隔 2 11 3 3" xfId="2395"/>
    <cellStyle name="千位分隔 2 11 3 4" xfId="2396"/>
    <cellStyle name="千位分隔 2 11 3 5" xfId="2397"/>
    <cellStyle name="千位分隔 2 11 3 6" xfId="2398"/>
    <cellStyle name="千位分隔 2 5 17 2" xfId="2399"/>
    <cellStyle name="千位分隔 2 5 22 2" xfId="2400"/>
    <cellStyle name="千位分隔 2 11 3 7" xfId="2401"/>
    <cellStyle name="千位分隔 2 5 17 3" xfId="2402"/>
    <cellStyle name="千位分隔 2 5 22 3" xfId="2403"/>
    <cellStyle name="千位分隔 2 11 3 8" xfId="2404"/>
    <cellStyle name="千位分隔 2 5 17 4" xfId="2405"/>
    <cellStyle name="千位分隔 2 5 22 4" xfId="2406"/>
    <cellStyle name="千位分隔 2 11 4" xfId="2407"/>
    <cellStyle name="千位分隔 2 2 6 2" xfId="2408"/>
    <cellStyle name="千位分隔 2 11 4 10" xfId="2409"/>
    <cellStyle name="千位分隔 2 11 4 11" xfId="2410"/>
    <cellStyle name="千位分隔 2 11 4 12" xfId="2411"/>
    <cellStyle name="千位分隔 2 11 4 13" xfId="2412"/>
    <cellStyle name="千位分隔 2 11 4 14" xfId="2413"/>
    <cellStyle name="千位分隔 2 11 4 15" xfId="2414"/>
    <cellStyle name="千位分隔 2 11 4 16" xfId="2415"/>
    <cellStyle name="千位分隔 2 11 4 17" xfId="2416"/>
    <cellStyle name="千位分隔 2 11 4 18" xfId="2417"/>
    <cellStyle name="千位分隔 2 11 4 19" xfId="2418"/>
    <cellStyle name="千位分隔 2 11 4 2" xfId="2419"/>
    <cellStyle name="千位分隔 2 11 4 3" xfId="2420"/>
    <cellStyle name="千位分隔 2 11 4 4" xfId="2421"/>
    <cellStyle name="千位分隔 2 11 4 5" xfId="2422"/>
    <cellStyle name="千位分隔 2 11 4 6" xfId="2423"/>
    <cellStyle name="千位分隔 2 5 18 2" xfId="2424"/>
    <cellStyle name="千位分隔 2 11 4 7" xfId="2425"/>
    <cellStyle name="千位分隔 2 5 18 3" xfId="2426"/>
    <cellStyle name="千位分隔 2 11 4 8" xfId="2427"/>
    <cellStyle name="千位分隔 2 5 18 4" xfId="2428"/>
    <cellStyle name="千位分隔 2 11 4 9" xfId="2429"/>
    <cellStyle name="千位分隔 2 11 5" xfId="2430"/>
    <cellStyle name="千位分隔 2 2 6 3" xfId="2431"/>
    <cellStyle name="千位分隔 2 11 6" xfId="2432"/>
    <cellStyle name="千位分隔 2 2 6 4" xfId="2433"/>
    <cellStyle name="千位分隔 2 11 7" xfId="2434"/>
    <cellStyle name="千位分隔 2 2 6 5" xfId="2435"/>
    <cellStyle name="千位分隔 2 11 8" xfId="2436"/>
    <cellStyle name="千位分隔 2 2 6 6" xfId="2437"/>
    <cellStyle name="千位分隔 2 11 9" xfId="2438"/>
    <cellStyle name="千位分隔 2 2 6 7" xfId="2439"/>
    <cellStyle name="千位分隔 2 12" xfId="2440"/>
    <cellStyle name="千位分隔 2 12 18" xfId="2441"/>
    <cellStyle name="千位分隔 2 12 19" xfId="2442"/>
    <cellStyle name="千位分隔 2 12 2" xfId="2443"/>
    <cellStyle name="千位分隔 2 12 2 10" xfId="2444"/>
    <cellStyle name="千位分隔 2 12 2 11" xfId="2445"/>
    <cellStyle name="千位分隔 2 12 2 12" xfId="2446"/>
    <cellStyle name="千位分隔 2 12 2 13" xfId="2447"/>
    <cellStyle name="千位分隔 2 12 2 14" xfId="2448"/>
    <cellStyle name="千位分隔 2 12 2 15" xfId="2449"/>
    <cellStyle name="千位分隔 2 12 2 16" xfId="2450"/>
    <cellStyle name="千位分隔 2 12 2 17" xfId="2451"/>
    <cellStyle name="千位分隔 2 12 2 18" xfId="2452"/>
    <cellStyle name="千位分隔 2 12 2 19" xfId="2453"/>
    <cellStyle name="千位分隔 2 12 2 2" xfId="2454"/>
    <cellStyle name="千位分隔 4 4 5" xfId="2455"/>
    <cellStyle name="千位分隔 4 8 14" xfId="2456"/>
    <cellStyle name="千位分隔 2 12 2 3" xfId="2457"/>
    <cellStyle name="千位分隔 4 4 6" xfId="2458"/>
    <cellStyle name="千位分隔 4 8 15" xfId="2459"/>
    <cellStyle name="千位分隔 2 12 2 4" xfId="2460"/>
    <cellStyle name="千位分隔 4 4 7" xfId="2461"/>
    <cellStyle name="千位分隔 4 8 16" xfId="2462"/>
    <cellStyle name="千位分隔 2 12 2 5" xfId="2463"/>
    <cellStyle name="千位分隔 4 4 8" xfId="2464"/>
    <cellStyle name="千位分隔 4 8 17" xfId="2465"/>
    <cellStyle name="千位分隔 2 12 2 6" xfId="2466"/>
    <cellStyle name="千位分隔 4 4 9" xfId="2467"/>
    <cellStyle name="千位分隔 4 8 18" xfId="2468"/>
    <cellStyle name="千位分隔 2 12 2 7" xfId="2469"/>
    <cellStyle name="千位分隔 4 8 19" xfId="2470"/>
    <cellStyle name="千位分隔 2 12 2 8" xfId="2471"/>
    <cellStyle name="千位分隔 2 12 2 9" xfId="2472"/>
    <cellStyle name="千位分隔 2 12 3" xfId="2473"/>
    <cellStyle name="千位分隔 2 12 3 10" xfId="2474"/>
    <cellStyle name="千位分隔 2 12 3 12" xfId="2475"/>
    <cellStyle name="千位分隔 3" xfId="2476"/>
    <cellStyle name="千位分隔 2 12 3 13" xfId="2477"/>
    <cellStyle name="千位分隔 4" xfId="2478"/>
    <cellStyle name="千位分隔 2 12 3 14" xfId="2479"/>
    <cellStyle name="千位分隔 5" xfId="2480"/>
    <cellStyle name="千位分隔 2 12 3 15" xfId="2481"/>
    <cellStyle name="千位分隔 6" xfId="2482"/>
    <cellStyle name="千位分隔 2 12 3 16" xfId="2483"/>
    <cellStyle name="千位分隔 7" xfId="2484"/>
    <cellStyle name="千位分隔 2 12 3 17" xfId="2485"/>
    <cellStyle name="千位分隔 8" xfId="2486"/>
    <cellStyle name="千位分隔 2 12 3 18" xfId="2487"/>
    <cellStyle name="千位分隔 2 12 3 19" xfId="2488"/>
    <cellStyle name="千位分隔 2 12 3 2" xfId="2489"/>
    <cellStyle name="千位分隔 4 5 5" xfId="2490"/>
    <cellStyle name="千位分隔 2 12 3 3" xfId="2491"/>
    <cellStyle name="千位分隔 4 5 6" xfId="2492"/>
    <cellStyle name="千位分隔 2 12 3 4" xfId="2493"/>
    <cellStyle name="千位分隔 4 5 7" xfId="2494"/>
    <cellStyle name="千位分隔 2 12 3 5" xfId="2495"/>
    <cellStyle name="千位分隔 4 5 8" xfId="2496"/>
    <cellStyle name="千位分隔 2 12 3 6" xfId="2497"/>
    <cellStyle name="千位分隔 4 5 9" xfId="2498"/>
    <cellStyle name="千位分隔 2 12 3 7" xfId="2499"/>
    <cellStyle name="千位分隔 2 12 3 8" xfId="2500"/>
    <cellStyle name="千位分隔 2 12 4" xfId="2501"/>
    <cellStyle name="千位分隔 2 2 7 2" xfId="2502"/>
    <cellStyle name="千位分隔 2 12 4 15" xfId="2503"/>
    <cellStyle name="千位分隔 2 6 4 7" xfId="2504"/>
    <cellStyle name="千位分隔 2 12 4 16" xfId="2505"/>
    <cellStyle name="千位分隔 2 6 4 8" xfId="2506"/>
    <cellStyle name="千位分隔 2 12 4 17" xfId="2507"/>
    <cellStyle name="千位分隔 2 6 4 9" xfId="2508"/>
    <cellStyle name="千位分隔 2 12 4 18" xfId="2509"/>
    <cellStyle name="千位分隔 2 12 4 19" xfId="2510"/>
    <cellStyle name="千位分隔 2 12 4 5" xfId="2511"/>
    <cellStyle name="千位分隔 4 6 8" xfId="2512"/>
    <cellStyle name="千位分隔 2 12 5" xfId="2513"/>
    <cellStyle name="千位分隔 2 2 7 3" xfId="2514"/>
    <cellStyle name="千位分隔 2 12 6" xfId="2515"/>
    <cellStyle name="千位分隔 2 2 7 4" xfId="2516"/>
    <cellStyle name="千位分隔 2 12 7" xfId="2517"/>
    <cellStyle name="千位分隔 2 2 7 5" xfId="2518"/>
    <cellStyle name="千位分隔 2 12 8" xfId="2519"/>
    <cellStyle name="千位分隔 2 2 7 6" xfId="2520"/>
    <cellStyle name="千位分隔 2 12 9" xfId="2521"/>
    <cellStyle name="千位分隔 2 2 7 7" xfId="2522"/>
    <cellStyle name="千位分隔 2 13 10" xfId="2523"/>
    <cellStyle name="千位分隔 2 13 12" xfId="2524"/>
    <cellStyle name="千位分隔 2 13 13" xfId="2525"/>
    <cellStyle name="千位分隔 2 13 14" xfId="2526"/>
    <cellStyle name="千位分隔 2 13 15" xfId="2527"/>
    <cellStyle name="千位分隔 2 13 20" xfId="2528"/>
    <cellStyle name="千位分隔 2 13 16" xfId="2529"/>
    <cellStyle name="千位分隔 2 13 21" xfId="2530"/>
    <cellStyle name="千位分隔 2 13 17" xfId="2531"/>
    <cellStyle name="千位分隔 2 13 22" xfId="2532"/>
    <cellStyle name="千位分隔 2 13 2 10" xfId="2533"/>
    <cellStyle name="千位分隔 2 4 5 6" xfId="2534"/>
    <cellStyle name="千位分隔 2 13 2 11" xfId="2535"/>
    <cellStyle name="千位分隔 2 4 5 7" xfId="2536"/>
    <cellStyle name="千位分隔 2 13 2 12" xfId="2537"/>
    <cellStyle name="千位分隔 2 4 5 8" xfId="2538"/>
    <cellStyle name="千位分隔 2 13 2 2" xfId="2539"/>
    <cellStyle name="千位分隔 2 13 2 3" xfId="2540"/>
    <cellStyle name="千位分隔 2 13 2 4" xfId="2541"/>
    <cellStyle name="千位分隔 2 13 2 5" xfId="2542"/>
    <cellStyle name="千位分隔 2 13 2 6" xfId="2543"/>
    <cellStyle name="千位分隔 2 13 2 7" xfId="2544"/>
    <cellStyle name="千位分隔 2 13 2 8" xfId="2545"/>
    <cellStyle name="千位分隔 2 13 2 9" xfId="2546"/>
    <cellStyle name="千位分隔 2 13 3 10" xfId="2547"/>
    <cellStyle name="千位分隔 2 13 3 11" xfId="2548"/>
    <cellStyle name="千位分隔 2 13 3 12" xfId="2549"/>
    <cellStyle name="千位分隔 2 13 3 14" xfId="2550"/>
    <cellStyle name="千位分隔 2 13 3 15" xfId="2551"/>
    <cellStyle name="千位分隔 2 13 3 16" xfId="2552"/>
    <cellStyle name="千位分隔 2 13 3 17" xfId="2553"/>
    <cellStyle name="千位分隔 2 13 3 18" xfId="2554"/>
    <cellStyle name="千位分隔 2 13 3 19" xfId="2555"/>
    <cellStyle name="千位分隔 2 13 3 2" xfId="2556"/>
    <cellStyle name="千位分隔 2 13 3 3" xfId="2557"/>
    <cellStyle name="千位分隔 2 13 3 4" xfId="2558"/>
    <cellStyle name="千位分隔 2 13 3 5" xfId="2559"/>
    <cellStyle name="千位分隔 2 13 3 6" xfId="2560"/>
    <cellStyle name="千位分隔 2 13 3 7" xfId="2561"/>
    <cellStyle name="千位分隔 2 13 3 8" xfId="2562"/>
    <cellStyle name="千位分隔 2 13 3 9" xfId="2563"/>
    <cellStyle name="千位分隔 2 13 4 10" xfId="2564"/>
    <cellStyle name="千位分隔 2 13 4 11" xfId="2565"/>
    <cellStyle name="千位分隔 2 13 4 12" xfId="2566"/>
    <cellStyle name="千位分隔 2 13 4 13" xfId="2567"/>
    <cellStyle name="千位分隔 2 13 4 14" xfId="2568"/>
    <cellStyle name="千位分隔 2 13 4 15" xfId="2569"/>
    <cellStyle name="千位分隔 2 13 4 16" xfId="2570"/>
    <cellStyle name="千位分隔 2 13 4 17" xfId="2571"/>
    <cellStyle name="千位分隔 2 6 2" xfId="2572"/>
    <cellStyle name="千位分隔 2 13 4 18" xfId="2573"/>
    <cellStyle name="千位分隔 2 6 3" xfId="2574"/>
    <cellStyle name="千位分隔 2 13 4 19" xfId="2575"/>
    <cellStyle name="千位分隔 2 6 4" xfId="2576"/>
    <cellStyle name="千位分隔 2 13 4 2" xfId="2577"/>
    <cellStyle name="千位分隔 2 19" xfId="2578"/>
    <cellStyle name="千位分隔 2 24" xfId="2579"/>
    <cellStyle name="千位分隔 2 13 4 3" xfId="2580"/>
    <cellStyle name="千位分隔 2 13 4 4" xfId="2581"/>
    <cellStyle name="千位分隔 2 13 4 5" xfId="2582"/>
    <cellStyle name="千位分隔 2 13 4 6" xfId="2583"/>
    <cellStyle name="千位分隔 2 13 4 7" xfId="2584"/>
    <cellStyle name="千位分隔 2 13 4 8" xfId="2585"/>
    <cellStyle name="千位分隔 2 13 4 9" xfId="2586"/>
    <cellStyle name="千位分隔 2 14 10" xfId="2587"/>
    <cellStyle name="千位分隔 2 14 11" xfId="2588"/>
    <cellStyle name="千位分隔 2 14 12" xfId="2589"/>
    <cellStyle name="千位分隔 2 14 13" xfId="2590"/>
    <cellStyle name="千位分隔 2 3 2" xfId="2591"/>
    <cellStyle name="千位分隔 2 14 14" xfId="2592"/>
    <cellStyle name="千位分隔 2 3 3" xfId="2593"/>
    <cellStyle name="千位分隔 2 14 15" xfId="2594"/>
    <cellStyle name="千位分隔 2 14 20" xfId="2595"/>
    <cellStyle name="千位分隔 2 3 4" xfId="2596"/>
    <cellStyle name="千位分隔 2 14 16" xfId="2597"/>
    <cellStyle name="千位分隔 2 14 21" xfId="2598"/>
    <cellStyle name="千位分隔 2 3 5" xfId="2599"/>
    <cellStyle name="千位分隔 2 14 17" xfId="2600"/>
    <cellStyle name="千位分隔 2 14 22" xfId="2601"/>
    <cellStyle name="千位分隔 2 3 6" xfId="2602"/>
    <cellStyle name="千位分隔 2 14 2" xfId="2603"/>
    <cellStyle name="千位分隔 2 3 6 11" xfId="2604"/>
    <cellStyle name="千位分隔 2 14 2 10" xfId="2605"/>
    <cellStyle name="千位分隔 2 14 2 11" xfId="2606"/>
    <cellStyle name="千位分隔 2 14 2 12" xfId="2607"/>
    <cellStyle name="千位分隔 2 14 2 13" xfId="2608"/>
    <cellStyle name="千位分隔 2 14 2 14" xfId="2609"/>
    <cellStyle name="千位分隔 2 14 2 15" xfId="2610"/>
    <cellStyle name="千位分隔 2 14 2 16" xfId="2611"/>
    <cellStyle name="千位分隔 2 14 2 17" xfId="2612"/>
    <cellStyle name="千位分隔 2 14 2 18" xfId="2613"/>
    <cellStyle name="千位分隔 2 14 2 19" xfId="2614"/>
    <cellStyle name="千位分隔 2 14 2 2" xfId="2615"/>
    <cellStyle name="千位分隔 2 14 2 3" xfId="2616"/>
    <cellStyle name="千位分隔 2 14 2 4" xfId="2617"/>
    <cellStyle name="千位分隔 2 14 2 5" xfId="2618"/>
    <cellStyle name="千位分隔 2 14 2 6" xfId="2619"/>
    <cellStyle name="千位分隔 2 14 2 7" xfId="2620"/>
    <cellStyle name="千位分隔 2 14 2 8" xfId="2621"/>
    <cellStyle name="千位分隔 2 14 2 9" xfId="2622"/>
    <cellStyle name="千位分隔 2 14 3" xfId="2623"/>
    <cellStyle name="千位分隔 2 3 6 12" xfId="2624"/>
    <cellStyle name="千位分隔 2 14 3 10" xfId="2625"/>
    <cellStyle name="千位分隔 2 14 3 11" xfId="2626"/>
    <cellStyle name="千位分隔 2 14 3 12" xfId="2627"/>
    <cellStyle name="千位分隔 2 14 3 13" xfId="2628"/>
    <cellStyle name="千位分隔 2 14 3 14" xfId="2629"/>
    <cellStyle name="千位分隔 2 14 3 15" xfId="2630"/>
    <cellStyle name="千位分隔 2 14 3 16" xfId="2631"/>
    <cellStyle name="千位分隔 2 14 3 18" xfId="2632"/>
    <cellStyle name="千位分隔 2 14 3 19" xfId="2633"/>
    <cellStyle name="千位分隔 2 14 3 6" xfId="2634"/>
    <cellStyle name="千位分隔 2 14 3 7" xfId="2635"/>
    <cellStyle name="千位分隔 2 14 3 8" xfId="2636"/>
    <cellStyle name="千位分隔 2 14 3 9" xfId="2637"/>
    <cellStyle name="千位分隔 2 14 4" xfId="2638"/>
    <cellStyle name="千位分隔 2 2 9 2" xfId="2639"/>
    <cellStyle name="千位分隔 2 3 6 13" xfId="2640"/>
    <cellStyle name="千位分隔 2 14 4 10" xfId="2641"/>
    <cellStyle name="千位分隔 2 14 4 11" xfId="2642"/>
    <cellStyle name="千位分隔 2 14 4 12" xfId="2643"/>
    <cellStyle name="千位分隔 2 14 4 13" xfId="2644"/>
    <cellStyle name="千位分隔 2 14 4 14" xfId="2645"/>
    <cellStyle name="千位分隔 2 14 4 15" xfId="2646"/>
    <cellStyle name="千位分隔 2 14 4 16" xfId="2647"/>
    <cellStyle name="千位分隔 2 14 4 17" xfId="2648"/>
    <cellStyle name="千位分隔 2 14 4 18" xfId="2649"/>
    <cellStyle name="千位分隔 2 14 4 19" xfId="2650"/>
    <cellStyle name="千位分隔 2 14 4 6" xfId="2651"/>
    <cellStyle name="千位分隔 2 14 4 7" xfId="2652"/>
    <cellStyle name="千位分隔 2 14 4 8" xfId="2653"/>
    <cellStyle name="千位分隔 2 14 4 9" xfId="2654"/>
    <cellStyle name="千位分隔 2 2 2 2" xfId="2655"/>
    <cellStyle name="千位分隔 2 14 5" xfId="2656"/>
    <cellStyle name="千位分隔 2 2 9 3" xfId="2657"/>
    <cellStyle name="千位分隔 2 3 6 14" xfId="2658"/>
    <cellStyle name="千位分隔 2 14 6" xfId="2659"/>
    <cellStyle name="千位分隔 2 2 9 4" xfId="2660"/>
    <cellStyle name="千位分隔 2 3 6 15" xfId="2661"/>
    <cellStyle name="千位分隔 2 14 7" xfId="2662"/>
    <cellStyle name="千位分隔 2 3 6 16" xfId="2663"/>
    <cellStyle name="千位分隔 2 14 8" xfId="2664"/>
    <cellStyle name="千位分隔 2 3 6 17" xfId="2665"/>
    <cellStyle name="千位分隔 2 14 9" xfId="2666"/>
    <cellStyle name="千位分隔 2 3 6 18" xfId="2667"/>
    <cellStyle name="千位分隔 2 15 10" xfId="2668"/>
    <cellStyle name="千位分隔 2 20 10" xfId="2669"/>
    <cellStyle name="千位分隔 2 15 11" xfId="2670"/>
    <cellStyle name="千位分隔 2 20 11" xfId="2671"/>
    <cellStyle name="千位分隔 2 15 12" xfId="2672"/>
    <cellStyle name="千位分隔 2 20 12" xfId="2673"/>
    <cellStyle name="千位分隔 2 15 13" xfId="2674"/>
    <cellStyle name="千位分隔 2 20 13" xfId="2675"/>
    <cellStyle name="千位分隔 2 8 2" xfId="2676"/>
    <cellStyle name="千位分隔 2 15 14" xfId="2677"/>
    <cellStyle name="千位分隔 2 20 14" xfId="2678"/>
    <cellStyle name="千位分隔 2 8 3" xfId="2679"/>
    <cellStyle name="千位分隔 2 15 15" xfId="2680"/>
    <cellStyle name="千位分隔 2 15 20" xfId="2681"/>
    <cellStyle name="千位分隔 2 20 15" xfId="2682"/>
    <cellStyle name="千位分隔 2 8 4" xfId="2683"/>
    <cellStyle name="千位分隔 2 15 16" xfId="2684"/>
    <cellStyle name="千位分隔 2 15 21" xfId="2685"/>
    <cellStyle name="千位分隔 2 20 16" xfId="2686"/>
    <cellStyle name="千位分隔 2 8 5" xfId="2687"/>
    <cellStyle name="千位分隔 2 15 17" xfId="2688"/>
    <cellStyle name="千位分隔 2 15 22" xfId="2689"/>
    <cellStyle name="千位分隔 2 20 17" xfId="2690"/>
    <cellStyle name="千位分隔 2 8 6" xfId="2691"/>
    <cellStyle name="千位分隔 2 15 18" xfId="2692"/>
    <cellStyle name="千位分隔 2 20 18" xfId="2693"/>
    <cellStyle name="千位分隔 2 8 7" xfId="2694"/>
    <cellStyle name="千位分隔 2 15 19" xfId="2695"/>
    <cellStyle name="千位分隔 2 20 19" xfId="2696"/>
    <cellStyle name="千位分隔 2 8 8" xfId="2697"/>
    <cellStyle name="千位分隔 2 15 2" xfId="2698"/>
    <cellStyle name="千位分隔 2 20 2" xfId="2699"/>
    <cellStyle name="千位分隔 2 15 2 14" xfId="2700"/>
    <cellStyle name="千位分隔 2 15 2 15" xfId="2701"/>
    <cellStyle name="千位分隔 2 15 2 16" xfId="2702"/>
    <cellStyle name="千位分隔 2 15 2 17" xfId="2703"/>
    <cellStyle name="千位分隔 2 15 2 18" xfId="2704"/>
    <cellStyle name="千位分隔 2 15 2 19" xfId="2705"/>
    <cellStyle name="千位分隔 2 15 2 2" xfId="2706"/>
    <cellStyle name="千位分隔 2 15 2 3" xfId="2707"/>
    <cellStyle name="千位分隔 2 15 2 4" xfId="2708"/>
    <cellStyle name="千位分隔 2 15 2 8" xfId="2709"/>
    <cellStyle name="千位分隔 2 15 2 9" xfId="2710"/>
    <cellStyle name="千位分隔 2 15 3" xfId="2711"/>
    <cellStyle name="千位分隔 2 20 3" xfId="2712"/>
    <cellStyle name="千位分隔 2 15 3 10" xfId="2713"/>
    <cellStyle name="千位分隔 2 15 3 11" xfId="2714"/>
    <cellStyle name="千位分隔 2 15 3 12" xfId="2715"/>
    <cellStyle name="千位分隔 2 15 3 13" xfId="2716"/>
    <cellStyle name="千位分隔 2 15 3 14" xfId="2717"/>
    <cellStyle name="千位分隔 2 15 3 15" xfId="2718"/>
    <cellStyle name="千位分隔 2 15 3 16" xfId="2719"/>
    <cellStyle name="千位分隔 2 15 3 17" xfId="2720"/>
    <cellStyle name="千位分隔 2 15 3 18" xfId="2721"/>
    <cellStyle name="千位分隔 2 15 3 19" xfId="2722"/>
    <cellStyle name="千位分隔 2 15 3 2" xfId="2723"/>
    <cellStyle name="千位分隔 2 15 3 3" xfId="2724"/>
    <cellStyle name="千位分隔 2 15 3 4" xfId="2725"/>
    <cellStyle name="千位分隔 2 15 3 8" xfId="2726"/>
    <cellStyle name="千位分隔 2 15 4" xfId="2727"/>
    <cellStyle name="千位分隔 2 20 4" xfId="2728"/>
    <cellStyle name="千位分隔 2 15 4 10" xfId="2729"/>
    <cellStyle name="千位分隔 2 15 4 11" xfId="2730"/>
    <cellStyle name="千位分隔 2 15 4 12" xfId="2731"/>
    <cellStyle name="千位分隔 2 15 4 13" xfId="2732"/>
    <cellStyle name="千位分隔 2 15 4 14" xfId="2733"/>
    <cellStyle name="千位分隔 2 15 4 15" xfId="2734"/>
    <cellStyle name="千位分隔 2 15 4 16" xfId="2735"/>
    <cellStyle name="千位分隔 2 15 4 17" xfId="2736"/>
    <cellStyle name="千位分隔 2 15 4 18" xfId="2737"/>
    <cellStyle name="千位分隔 2 15 4 19" xfId="2738"/>
    <cellStyle name="千位分隔 2 15 4 2" xfId="2739"/>
    <cellStyle name="千位分隔 2 15 4 3" xfId="2740"/>
    <cellStyle name="千位分隔 2 15 4 4" xfId="2741"/>
    <cellStyle name="千位分隔 2 15 4 8" xfId="2742"/>
    <cellStyle name="千位分隔 2 15 4 9" xfId="2743"/>
    <cellStyle name="千位分隔 2 3 2 2" xfId="2744"/>
    <cellStyle name="千位分隔 2 15 5" xfId="2745"/>
    <cellStyle name="千位分隔 2 20 5" xfId="2746"/>
    <cellStyle name="千位分隔 2 15 6" xfId="2747"/>
    <cellStyle name="千位分隔 2 20 6" xfId="2748"/>
    <cellStyle name="千位分隔 2 15 7" xfId="2749"/>
    <cellStyle name="千位分隔 2 20 7" xfId="2750"/>
    <cellStyle name="千位分隔 2 15 8" xfId="2751"/>
    <cellStyle name="千位分隔 2 20 8" xfId="2752"/>
    <cellStyle name="千位分隔 2 15 9" xfId="2753"/>
    <cellStyle name="千位分隔 2 20 9" xfId="2754"/>
    <cellStyle name="千位分隔 2 16 10" xfId="2755"/>
    <cellStyle name="千位分隔 2 16 11" xfId="2756"/>
    <cellStyle name="千位分隔 2 16 12" xfId="2757"/>
    <cellStyle name="千位分隔 2 16 13" xfId="2758"/>
    <cellStyle name="千位分隔 2 16 14" xfId="2759"/>
    <cellStyle name="千位分隔 2 16 15" xfId="2760"/>
    <cellStyle name="千位分隔 2 16 20" xfId="2761"/>
    <cellStyle name="千位分隔 2 16 16" xfId="2762"/>
    <cellStyle name="千位分隔 2 16 21" xfId="2763"/>
    <cellStyle name="千位分隔 2 16 17" xfId="2764"/>
    <cellStyle name="千位分隔 2 16 22" xfId="2765"/>
    <cellStyle name="千位分隔 2 16 18" xfId="2766"/>
    <cellStyle name="千位分隔 2 16 19" xfId="2767"/>
    <cellStyle name="千位分隔 2 16 2" xfId="2768"/>
    <cellStyle name="千位分隔 2 16 2 10" xfId="2769"/>
    <cellStyle name="千位分隔 2 16 2 19" xfId="2770"/>
    <cellStyle name="千位分隔 2 16 2 2" xfId="2771"/>
    <cellStyle name="千位分隔 2 16 2 3" xfId="2772"/>
    <cellStyle name="千位分隔 2 16 2 4" xfId="2773"/>
    <cellStyle name="千位分隔 2 16 2 5" xfId="2774"/>
    <cellStyle name="千位分隔 2 16 2 6" xfId="2775"/>
    <cellStyle name="千位分隔 2 16 2 7" xfId="2776"/>
    <cellStyle name="千位分隔 2 16 2 8" xfId="2777"/>
    <cellStyle name="千位分隔 2 16 2 9" xfId="2778"/>
    <cellStyle name="千位分隔 2 16 3" xfId="2779"/>
    <cellStyle name="千位分隔 2 16 3 10" xfId="2780"/>
    <cellStyle name="千位分隔 2 16 3 14" xfId="2781"/>
    <cellStyle name="千位分隔 2 16 3 15" xfId="2782"/>
    <cellStyle name="千位分隔 2 16 3 16" xfId="2783"/>
    <cellStyle name="千位分隔 2 16 3 17" xfId="2784"/>
    <cellStyle name="千位分隔 2 16 3 18" xfId="2785"/>
    <cellStyle name="千位分隔 2 16 3 19" xfId="2786"/>
    <cellStyle name="千位分隔 2 16 3 6" xfId="2787"/>
    <cellStyle name="千位分隔 2 16 3 7" xfId="2788"/>
    <cellStyle name="千位分隔 2 16 3 8" xfId="2789"/>
    <cellStyle name="千位分隔 2 16 4" xfId="2790"/>
    <cellStyle name="千位分隔 2 16 4 10" xfId="2791"/>
    <cellStyle name="千位分隔 4 3 3" xfId="2792"/>
    <cellStyle name="千位分隔 2 16 4 11" xfId="2793"/>
    <cellStyle name="千位分隔 4 3 4" xfId="2794"/>
    <cellStyle name="千位分隔 2 16 4 12" xfId="2795"/>
    <cellStyle name="千位分隔 4 3 5" xfId="2796"/>
    <cellStyle name="千位分隔 2 16 4 13" xfId="2797"/>
    <cellStyle name="千位分隔 4 3 6" xfId="2798"/>
    <cellStyle name="千位分隔 2 16 4 14" xfId="2799"/>
    <cellStyle name="千位分隔 4 3 7" xfId="2800"/>
    <cellStyle name="千位分隔 2 16 4 15" xfId="2801"/>
    <cellStyle name="千位分隔 4 3 8" xfId="2802"/>
    <cellStyle name="千位分隔 2 16 4 16" xfId="2803"/>
    <cellStyle name="千位分隔 4 3 9" xfId="2804"/>
    <cellStyle name="千位分隔 2 16 4 17" xfId="2805"/>
    <cellStyle name="千位分隔 2 16 4 18" xfId="2806"/>
    <cellStyle name="千位分隔 2 16 4 19" xfId="2807"/>
    <cellStyle name="千位分隔 2 16 4 2" xfId="2808"/>
    <cellStyle name="千位分隔 2 16 4 3" xfId="2809"/>
    <cellStyle name="千位分隔 2 16 4 5" xfId="2810"/>
    <cellStyle name="千位分隔 2 16 4 6" xfId="2811"/>
    <cellStyle name="千位分隔 2 16 4 7" xfId="2812"/>
    <cellStyle name="千位分隔 2 16 4 8" xfId="2813"/>
    <cellStyle name="千位分隔 2 16 4 9" xfId="2814"/>
    <cellStyle name="千位分隔 2 4 2 2" xfId="2815"/>
    <cellStyle name="千位分隔 2 16 5" xfId="2816"/>
    <cellStyle name="千位分隔 2 16 6" xfId="2817"/>
    <cellStyle name="千位分隔 2 16 7" xfId="2818"/>
    <cellStyle name="千位分隔 2 16 8" xfId="2819"/>
    <cellStyle name="千位分隔 2 16 9" xfId="2820"/>
    <cellStyle name="千位分隔 2 17" xfId="2821"/>
    <cellStyle name="千位分隔 2 22" xfId="2822"/>
    <cellStyle name="千位分隔 2 17 10" xfId="2823"/>
    <cellStyle name="千位分隔 2 17 11" xfId="2824"/>
    <cellStyle name="千位分隔 2 17 12" xfId="2825"/>
    <cellStyle name="千位分隔 2 17 13" xfId="2826"/>
    <cellStyle name="千位分隔 2 17 14" xfId="2827"/>
    <cellStyle name="千位分隔 2 17 15" xfId="2828"/>
    <cellStyle name="千位分隔 2 17 16" xfId="2829"/>
    <cellStyle name="千位分隔 2 17 2" xfId="2830"/>
    <cellStyle name="千位分隔 2 17 3" xfId="2831"/>
    <cellStyle name="千位分隔 2 17 4" xfId="2832"/>
    <cellStyle name="千位分隔 2 17 5" xfId="2833"/>
    <cellStyle name="千位分隔 2 17 6" xfId="2834"/>
    <cellStyle name="千位分隔 2 17 7" xfId="2835"/>
    <cellStyle name="千位分隔 2 18" xfId="2836"/>
    <cellStyle name="千位分隔 2 23" xfId="2837"/>
    <cellStyle name="千位分隔 2 18 10" xfId="2838"/>
    <cellStyle name="千位分隔 2 18 11" xfId="2839"/>
    <cellStyle name="千位分隔 2 18 12" xfId="2840"/>
    <cellStyle name="千位分隔 2 18 13" xfId="2841"/>
    <cellStyle name="千位分隔 2 18 14" xfId="2842"/>
    <cellStyle name="千位分隔 2 18 15" xfId="2843"/>
    <cellStyle name="千位分隔 2 18 16" xfId="2844"/>
    <cellStyle name="千位分隔 2 19 10" xfId="2845"/>
    <cellStyle name="千位分隔 2 19 11" xfId="2846"/>
    <cellStyle name="千位分隔 2 19 12" xfId="2847"/>
    <cellStyle name="千位分隔 2 19 13" xfId="2848"/>
    <cellStyle name="千位分隔 2 19 14" xfId="2849"/>
    <cellStyle name="千位分隔 2 19 15" xfId="2850"/>
    <cellStyle name="千位分隔 2 19 16" xfId="2851"/>
    <cellStyle name="千位分隔 2 19 17" xfId="2852"/>
    <cellStyle name="千位分隔 2 19 18" xfId="2853"/>
    <cellStyle name="千位分隔 2 19 19" xfId="2854"/>
    <cellStyle name="千位分隔 2 19 9" xfId="2855"/>
    <cellStyle name="千位分隔 2 3 7 18" xfId="2856"/>
    <cellStyle name="千位分隔 2 9 3 3" xfId="2857"/>
    <cellStyle name="千位分隔 2 2" xfId="2858"/>
    <cellStyle name="千位分隔 2 2 10" xfId="2859"/>
    <cellStyle name="千位分隔 2 2 10 2" xfId="2860"/>
    <cellStyle name="千位分隔 2 2 10 3" xfId="2861"/>
    <cellStyle name="千位分隔 2 2 10 4" xfId="2862"/>
    <cellStyle name="千位分隔 2 2 11" xfId="2863"/>
    <cellStyle name="千位分隔 2 2 11 2" xfId="2864"/>
    <cellStyle name="千位分隔 2 6 2 15" xfId="2865"/>
    <cellStyle name="千位分隔 2 2 11 3" xfId="2866"/>
    <cellStyle name="千位分隔 2 6 2 16" xfId="2867"/>
    <cellStyle name="千位分隔 2 2 11 4" xfId="2868"/>
    <cellStyle name="千位分隔 2 6 2 17" xfId="2869"/>
    <cellStyle name="千位分隔 2 2 12" xfId="2870"/>
    <cellStyle name="千位分隔 2 2 13" xfId="2871"/>
    <cellStyle name="千位分隔 2 7 2 10" xfId="2872"/>
    <cellStyle name="千位分隔 2 2 13 2" xfId="2873"/>
    <cellStyle name="千位分隔 2 2 13 3" xfId="2874"/>
    <cellStyle name="千位分隔 2 2 13 4" xfId="2875"/>
    <cellStyle name="千位分隔 2 2 14" xfId="2876"/>
    <cellStyle name="千位分隔 2 7 2 11" xfId="2877"/>
    <cellStyle name="千位分隔 2 2 14 2" xfId="2878"/>
    <cellStyle name="千位分隔 2 2 14 3" xfId="2879"/>
    <cellStyle name="千位分隔 2 2 14 4" xfId="2880"/>
    <cellStyle name="千位分隔 2 2 15" xfId="2881"/>
    <cellStyle name="千位分隔 2 2 20" xfId="2882"/>
    <cellStyle name="千位分隔 2 7 2 12" xfId="2883"/>
    <cellStyle name="千位分隔 2 2 15 2" xfId="2884"/>
    <cellStyle name="千位分隔 2 2 20 2" xfId="2885"/>
    <cellStyle name="千位分隔 2 2 15 3" xfId="2886"/>
    <cellStyle name="千位分隔 2 2 20 3" xfId="2887"/>
    <cellStyle name="千位分隔 2 2 15 4" xfId="2888"/>
    <cellStyle name="千位分隔 2 2 20 4" xfId="2889"/>
    <cellStyle name="千位分隔 2 2 16" xfId="2890"/>
    <cellStyle name="千位分隔 2 2 21" xfId="2891"/>
    <cellStyle name="千位分隔 2 7 2 13" xfId="2892"/>
    <cellStyle name="千位分隔 2 2 16 2" xfId="2893"/>
    <cellStyle name="千位分隔 2 2 21 2" xfId="2894"/>
    <cellStyle name="千位分隔 2 6 3 15" xfId="2895"/>
    <cellStyle name="千位分隔 2 2 16 3" xfId="2896"/>
    <cellStyle name="千位分隔 2 2 21 3" xfId="2897"/>
    <cellStyle name="千位分隔 2 6 3 16" xfId="2898"/>
    <cellStyle name="千位分隔 2 2 16 4" xfId="2899"/>
    <cellStyle name="千位分隔 2 2 21 4" xfId="2900"/>
    <cellStyle name="千位分隔 2 6 3 17" xfId="2901"/>
    <cellStyle name="千位分隔 2 2 17" xfId="2902"/>
    <cellStyle name="千位分隔 2 2 22" xfId="2903"/>
    <cellStyle name="千位分隔 2 7 2 14" xfId="2904"/>
    <cellStyle name="千位分隔 2 2 18" xfId="2905"/>
    <cellStyle name="千位分隔 2 2 23" xfId="2906"/>
    <cellStyle name="千位分隔 2 3 11 2" xfId="2907"/>
    <cellStyle name="千位分隔 2 7 2 15" xfId="2908"/>
    <cellStyle name="千位分隔 2 2 18 2" xfId="2909"/>
    <cellStyle name="千位分隔 2 2 18 3" xfId="2910"/>
    <cellStyle name="千位分隔 2 2 18 4" xfId="2911"/>
    <cellStyle name="千位分隔 2 2 19" xfId="2912"/>
    <cellStyle name="千位分隔 2 2 24" xfId="2913"/>
    <cellStyle name="千位分隔 2 3 11 3" xfId="2914"/>
    <cellStyle name="千位分隔 2 7 2 16" xfId="2915"/>
    <cellStyle name="千位分隔 2 2 19 2" xfId="2916"/>
    <cellStyle name="千位分隔 2 2 19 3" xfId="2917"/>
    <cellStyle name="千位分隔 2 2 19 4" xfId="2918"/>
    <cellStyle name="千位分隔 2 2 2" xfId="2919"/>
    <cellStyle name="千位分隔 2 2 2 10" xfId="2920"/>
    <cellStyle name="千位分隔 2 2 2 11" xfId="2921"/>
    <cellStyle name="千位分隔 2 2 2 12" xfId="2922"/>
    <cellStyle name="千位分隔 2 2 2 16" xfId="2923"/>
    <cellStyle name="千位分隔 2 2 2 17" xfId="2924"/>
    <cellStyle name="千位分隔 2 3 3 2" xfId="2925"/>
    <cellStyle name="千位分隔 2 2 2 18" xfId="2926"/>
    <cellStyle name="千位分隔 2 3 3 3" xfId="2927"/>
    <cellStyle name="千位分隔 2 2 2 19" xfId="2928"/>
    <cellStyle name="千位分隔 2 3 3 4" xfId="2929"/>
    <cellStyle name="千位分隔 2 2 2 3" xfId="2930"/>
    <cellStyle name="千位分隔 2 2 2 4" xfId="2931"/>
    <cellStyle name="千位分隔 2 2 2 5" xfId="2932"/>
    <cellStyle name="千位分隔 2 2 2 6" xfId="2933"/>
    <cellStyle name="千位分隔 2 2 2 7" xfId="2934"/>
    <cellStyle name="千位分隔 2 2 2 8" xfId="2935"/>
    <cellStyle name="千位分隔 2 3 10" xfId="2936"/>
    <cellStyle name="千位分隔 2 2 2 9" xfId="2937"/>
    <cellStyle name="千位分隔 2 3 11" xfId="2938"/>
    <cellStyle name="千位分隔 2 2 25" xfId="2939"/>
    <cellStyle name="千位分隔 2 2 30" xfId="2940"/>
    <cellStyle name="千位分隔 2 3 11 4" xfId="2941"/>
    <cellStyle name="千位分隔 2 7 2 17" xfId="2942"/>
    <cellStyle name="千位分隔 2 2 26" xfId="2943"/>
    <cellStyle name="千位分隔 2 2 31" xfId="2944"/>
    <cellStyle name="千位分隔 2 7 2 18" xfId="2945"/>
    <cellStyle name="千位分隔 2 2 27" xfId="2946"/>
    <cellStyle name="千位分隔 2 2 32" xfId="2947"/>
    <cellStyle name="千位分隔 2 7 2 19" xfId="2948"/>
    <cellStyle name="千位分隔 2 2 28" xfId="2949"/>
    <cellStyle name="千位分隔 2 2 33" xfId="2950"/>
    <cellStyle name="千位分隔 2 2 29" xfId="2951"/>
    <cellStyle name="千位分隔 2 2 34" xfId="2952"/>
    <cellStyle name="千位分隔 2 2 3" xfId="2953"/>
    <cellStyle name="千位分隔 2 2 3 10" xfId="2954"/>
    <cellStyle name="千位分隔 2 2 3 11" xfId="2955"/>
    <cellStyle name="千位分隔 2 2 3 15" xfId="2956"/>
    <cellStyle name="千位分隔 2 2 3 16" xfId="2957"/>
    <cellStyle name="千位分隔 2 2 3 17" xfId="2958"/>
    <cellStyle name="千位分隔 2 3 8 2" xfId="2959"/>
    <cellStyle name="千位分隔 2 2 3 18" xfId="2960"/>
    <cellStyle name="千位分隔 2 3 8 3" xfId="2961"/>
    <cellStyle name="千位分隔 2 2 3 19" xfId="2962"/>
    <cellStyle name="千位分隔 2 3 8 4" xfId="2963"/>
    <cellStyle name="千位分隔 2 2 3 2" xfId="2964"/>
    <cellStyle name="千位分隔 2 3 39" xfId="2965"/>
    <cellStyle name="千位分隔 2 2 3 3" xfId="2966"/>
    <cellStyle name="千位分隔 2 2 3 4" xfId="2967"/>
    <cellStyle name="千位分隔 2 2 3 5" xfId="2968"/>
    <cellStyle name="千位分隔 2 2 3 6" xfId="2969"/>
    <cellStyle name="千位分隔 2 2 3 7" xfId="2970"/>
    <cellStyle name="千位分隔 2 2 3 8" xfId="2971"/>
    <cellStyle name="千位分隔 2 2 3 9" xfId="2972"/>
    <cellStyle name="千位分隔 2 2 35" xfId="2973"/>
    <cellStyle name="千位分隔 2 2 40" xfId="2974"/>
    <cellStyle name="千位分隔 2 2 36" xfId="2975"/>
    <cellStyle name="千位分隔 2 2 37" xfId="2976"/>
    <cellStyle name="千位分隔 2 2 38" xfId="2977"/>
    <cellStyle name="千位分隔 2 2 39" xfId="2978"/>
    <cellStyle name="千位分隔 2 2 4" xfId="2979"/>
    <cellStyle name="千位分隔 2 2 4 10" xfId="2980"/>
    <cellStyle name="千位分隔 2 2 4 11" xfId="2981"/>
    <cellStyle name="千位分隔 2 2 4 12" xfId="2982"/>
    <cellStyle name="千位分隔 2 2 4 13" xfId="2983"/>
    <cellStyle name="千位分隔 2 2 4 14" xfId="2984"/>
    <cellStyle name="千位分隔 2 2 4 15" xfId="2985"/>
    <cellStyle name="千位分隔 2 2 4 16" xfId="2986"/>
    <cellStyle name="千位分隔 2 2 4 17" xfId="2987"/>
    <cellStyle name="千位分隔 2 2 4 18" xfId="2988"/>
    <cellStyle name="千位分隔 2 2 4 19" xfId="2989"/>
    <cellStyle name="千位分隔 2 2 4 6" xfId="2990"/>
    <cellStyle name="千位分隔 2 3 5 17" xfId="2991"/>
    <cellStyle name="千位分隔 2 2 4 7" xfId="2992"/>
    <cellStyle name="千位分隔 2 3 5 18" xfId="2993"/>
    <cellStyle name="千位分隔 2 2 4 8" xfId="2994"/>
    <cellStyle name="千位分隔 2 3 5 19" xfId="2995"/>
    <cellStyle name="千位分隔 2 2 4 9" xfId="2996"/>
    <cellStyle name="千位分隔 2 2 5" xfId="2997"/>
    <cellStyle name="千位分隔 2 2 5 10" xfId="2998"/>
    <cellStyle name="千位分隔 2 2 5 11" xfId="2999"/>
    <cellStyle name="千位分隔 2 2 5 12" xfId="3000"/>
    <cellStyle name="千位分隔 2 2 5 13" xfId="3001"/>
    <cellStyle name="千位分隔 2 2 5 14" xfId="3002"/>
    <cellStyle name="千位分隔 2 2 5 15" xfId="3003"/>
    <cellStyle name="千位分隔 2 2 5 16" xfId="3004"/>
    <cellStyle name="千位分隔 2 2 5 17" xfId="3005"/>
    <cellStyle name="千位分隔 2 2 5 18" xfId="3006"/>
    <cellStyle name="千位分隔 2 2 5 19" xfId="3007"/>
    <cellStyle name="千位分隔 2 2 5 8" xfId="3008"/>
    <cellStyle name="千位分隔 2 2 5 9" xfId="3009"/>
    <cellStyle name="千位分隔 2 2 6" xfId="3010"/>
    <cellStyle name="千位分隔 2 2 6 10" xfId="3011"/>
    <cellStyle name="千位分隔 2 2 6 11" xfId="3012"/>
    <cellStyle name="千位分隔 2 2 6 12" xfId="3013"/>
    <cellStyle name="千位分隔 2 2 6 13" xfId="3014"/>
    <cellStyle name="千位分隔 2 2 6 14" xfId="3015"/>
    <cellStyle name="千位分隔 2 2 6 15" xfId="3016"/>
    <cellStyle name="千位分隔 2 2 6 16" xfId="3017"/>
    <cellStyle name="千位分隔 2 2 6 17" xfId="3018"/>
    <cellStyle name="千位分隔 2 2 6 18" xfId="3019"/>
    <cellStyle name="千位分隔 2 2 6 19" xfId="3020"/>
    <cellStyle name="千位分隔 2 2 6 8" xfId="3021"/>
    <cellStyle name="千位分隔 2 2 6 9" xfId="3022"/>
    <cellStyle name="千位分隔 2 2 7 10" xfId="3023"/>
    <cellStyle name="千位分隔 2 2 7 11" xfId="3024"/>
    <cellStyle name="千位分隔 2 2 7 12" xfId="3025"/>
    <cellStyle name="千位分隔 2 2 7 13" xfId="3026"/>
    <cellStyle name="千位分隔 2 2 7 14" xfId="3027"/>
    <cellStyle name="千位分隔 2 2 7 15" xfId="3028"/>
    <cellStyle name="千位分隔 2 2 7 16" xfId="3029"/>
    <cellStyle name="千位分隔 2 2 7 17" xfId="3030"/>
    <cellStyle name="千位分隔 2 4 3 2" xfId="3031"/>
    <cellStyle name="千位分隔 2 2 7 18" xfId="3032"/>
    <cellStyle name="千位分隔 2 4 3 3" xfId="3033"/>
    <cellStyle name="千位分隔 2 2 7 19" xfId="3034"/>
    <cellStyle name="千位分隔 2 4 3 4" xfId="3035"/>
    <cellStyle name="千位分隔 2 2 7 8" xfId="3036"/>
    <cellStyle name="千位分隔 2 4 10" xfId="3037"/>
    <cellStyle name="千位分隔 2 2 7 9" xfId="3038"/>
    <cellStyle name="千位分隔 2 4 11" xfId="3039"/>
    <cellStyle name="千位分隔 2 2 8 11" xfId="3040"/>
    <cellStyle name="千位分隔 2 2 8 12" xfId="3041"/>
    <cellStyle name="千位分隔 2 2 8 13" xfId="3042"/>
    <cellStyle name="千位分隔 2 2 8 14" xfId="3043"/>
    <cellStyle name="千位分隔 2 2 8 15" xfId="3044"/>
    <cellStyle name="千位分隔 2 2 8 19" xfId="3045"/>
    <cellStyle name="千位分隔 2 4 8 4" xfId="3046"/>
    <cellStyle name="千位分隔 2 2 8 8" xfId="3047"/>
    <cellStyle name="千位分隔 2 2 8 9" xfId="3048"/>
    <cellStyle name="千位分隔 2 3" xfId="3049"/>
    <cellStyle name="千位分隔 2 3 10 2" xfId="3050"/>
    <cellStyle name="千位分隔 2 3 10 3" xfId="3051"/>
    <cellStyle name="千位分隔 2 3 10 4" xfId="3052"/>
    <cellStyle name="千位分隔 2 3 12" xfId="3053"/>
    <cellStyle name="千位分隔 2 3 13" xfId="3054"/>
    <cellStyle name="千位分隔 2 7 3 10" xfId="3055"/>
    <cellStyle name="千位分隔 2 3 13 2" xfId="3056"/>
    <cellStyle name="千位分隔 2 3 13 3" xfId="3057"/>
    <cellStyle name="千位分隔 2 3 13 4" xfId="3058"/>
    <cellStyle name="千位分隔 2 3 14" xfId="3059"/>
    <cellStyle name="千位分隔 2 7 3 11" xfId="3060"/>
    <cellStyle name="千位分隔 2 3 14 2" xfId="3061"/>
    <cellStyle name="千位分隔 2 3 14 3" xfId="3062"/>
    <cellStyle name="千位分隔 2 3 14 4" xfId="3063"/>
    <cellStyle name="千位分隔 2 3 15" xfId="3064"/>
    <cellStyle name="千位分隔 2 3 20" xfId="3065"/>
    <cellStyle name="千位分隔 2 7 3 12" xfId="3066"/>
    <cellStyle name="千位分隔 2 3 15 2" xfId="3067"/>
    <cellStyle name="千位分隔 2 3 20 2" xfId="3068"/>
    <cellStyle name="千位分隔 2 3 15 3" xfId="3069"/>
    <cellStyle name="千位分隔 2 3 20 3" xfId="3070"/>
    <cellStyle name="千位分隔 2 3 15 4" xfId="3071"/>
    <cellStyle name="千位分隔 2 3 20 4" xfId="3072"/>
    <cellStyle name="千位分隔 2 3 16" xfId="3073"/>
    <cellStyle name="千位分隔 2 3 21" xfId="3074"/>
    <cellStyle name="千位分隔 2 7 3 13" xfId="3075"/>
    <cellStyle name="千位分隔 2 3 16 2" xfId="3076"/>
    <cellStyle name="千位分隔 2 3 18" xfId="3077"/>
    <cellStyle name="千位分隔 2 3 21 2" xfId="3078"/>
    <cellStyle name="千位分隔 2 3 23" xfId="3079"/>
    <cellStyle name="千位分隔 2 7 3 15" xfId="3080"/>
    <cellStyle name="千位分隔 2 3 16 3" xfId="3081"/>
    <cellStyle name="千位分隔 2 3 19" xfId="3082"/>
    <cellStyle name="千位分隔 2 3 21 3" xfId="3083"/>
    <cellStyle name="千位分隔 2 3 24" xfId="3084"/>
    <cellStyle name="千位分隔 2 7 3 16" xfId="3085"/>
    <cellStyle name="千位分隔 2 3 16 4" xfId="3086"/>
    <cellStyle name="千位分隔 2 3 21 4" xfId="3087"/>
    <cellStyle name="千位分隔 2 3 25" xfId="3088"/>
    <cellStyle name="千位分隔 2 3 30" xfId="3089"/>
    <cellStyle name="千位分隔 2 7 3 17" xfId="3090"/>
    <cellStyle name="千位分隔 2 3 17" xfId="3091"/>
    <cellStyle name="千位分隔 2 3 22" xfId="3092"/>
    <cellStyle name="千位分隔 2 7 3 14" xfId="3093"/>
    <cellStyle name="千位分隔 2 3 17 2" xfId="3094"/>
    <cellStyle name="千位分隔 2 3 22 2" xfId="3095"/>
    <cellStyle name="千位分隔 2 3 17 3" xfId="3096"/>
    <cellStyle name="千位分隔 2 3 22 3" xfId="3097"/>
    <cellStyle name="千位分隔 2 3 17 4" xfId="3098"/>
    <cellStyle name="千位分隔 2 3 22 4" xfId="3099"/>
    <cellStyle name="千位分隔 2 3 18 2" xfId="3100"/>
    <cellStyle name="千位分隔 2 3 18 3" xfId="3101"/>
    <cellStyle name="千位分隔 2 3 18 4" xfId="3102"/>
    <cellStyle name="千位分隔 2 3 19 2" xfId="3103"/>
    <cellStyle name="千位分隔 2 3 19 3" xfId="3104"/>
    <cellStyle name="千位分隔 2 3 19 4" xfId="3105"/>
    <cellStyle name="千位分隔 2 3 2 10" xfId="3106"/>
    <cellStyle name="千位分隔 2 3 2 11" xfId="3107"/>
    <cellStyle name="千位分隔 2 3 2 12" xfId="3108"/>
    <cellStyle name="千位分隔 2 3 2 13" xfId="3109"/>
    <cellStyle name="千位分隔 2 3 2 3" xfId="3110"/>
    <cellStyle name="千位分隔 2 3 2 4" xfId="3111"/>
    <cellStyle name="千位分隔 2 3 2 5" xfId="3112"/>
    <cellStyle name="千位分隔 2 3 29" xfId="3113"/>
    <cellStyle name="千位分隔 2 3 34" xfId="3114"/>
    <cellStyle name="千位分隔 2 3 3 10" xfId="3115"/>
    <cellStyle name="千位分隔 2 3 3 11" xfId="3116"/>
    <cellStyle name="千位分隔 2 3 3 12" xfId="3117"/>
    <cellStyle name="千位分隔 2 3 3 13" xfId="3118"/>
    <cellStyle name="千位分隔 2 3 3 14" xfId="3119"/>
    <cellStyle name="千位分隔 2 3 3 15" xfId="3120"/>
    <cellStyle name="千位分隔 2 3 3 19" xfId="3121"/>
    <cellStyle name="千位分隔 2 3 3 5" xfId="3122"/>
    <cellStyle name="千位分隔 2 3 3 6" xfId="3123"/>
    <cellStyle name="千位分隔 2 3 3 7" xfId="3124"/>
    <cellStyle name="千位分隔 2 3 3 8" xfId="3125"/>
    <cellStyle name="千位分隔 2 3 3 9" xfId="3126"/>
    <cellStyle name="千位分隔 2 3 35" xfId="3127"/>
    <cellStyle name="千位分隔 2 3 40" xfId="3128"/>
    <cellStyle name="千位分隔 2 3 36" xfId="3129"/>
    <cellStyle name="千位分隔 2 3 37" xfId="3130"/>
    <cellStyle name="千位分隔 2 3 38" xfId="3131"/>
    <cellStyle name="千位分隔 2 3 4 10" xfId="3132"/>
    <cellStyle name="千位分隔 2 3 4 11" xfId="3133"/>
    <cellStyle name="千位分隔 2 3 4 12" xfId="3134"/>
    <cellStyle name="千位分隔 2 3 4 13" xfId="3135"/>
    <cellStyle name="千位分隔 2 3 4 14" xfId="3136"/>
    <cellStyle name="千位分隔 2 3 4 15" xfId="3137"/>
    <cellStyle name="千位分隔 2 3 4 16" xfId="3138"/>
    <cellStyle name="千位分隔 2 3 4 17" xfId="3139"/>
    <cellStyle name="千位分隔 2 3 4 18" xfId="3140"/>
    <cellStyle name="千位分隔 2 3 4 19" xfId="3141"/>
    <cellStyle name="千位分隔 2 3 4 7" xfId="3142"/>
    <cellStyle name="千位分隔 2 3 4 8" xfId="3143"/>
    <cellStyle name="千位分隔 2 3 4 9" xfId="3144"/>
    <cellStyle name="千位分隔 2 3 5 10" xfId="3145"/>
    <cellStyle name="千位分隔 2 3 5 2" xfId="3146"/>
    <cellStyle name="千位分隔 2 3 5 3" xfId="3147"/>
    <cellStyle name="千位分隔 2 3 5 4" xfId="3148"/>
    <cellStyle name="千位分隔 2 3 5 5" xfId="3149"/>
    <cellStyle name="千位分隔 2 3 5 6" xfId="3150"/>
    <cellStyle name="千位分隔 2 3 5 7" xfId="3151"/>
    <cellStyle name="千位分隔 2 3 5 8" xfId="3152"/>
    <cellStyle name="千位分隔 2 3 5 9" xfId="3153"/>
    <cellStyle name="千位分隔 2 3 6 10" xfId="3154"/>
    <cellStyle name="千位分隔 2 3 6 19" xfId="3155"/>
    <cellStyle name="千位分隔 2 3 6 2" xfId="3156"/>
    <cellStyle name="千位分隔 2 3 6 3" xfId="3157"/>
    <cellStyle name="千位分隔 2 3 6 4" xfId="3158"/>
    <cellStyle name="千位分隔 2 3 6 5" xfId="3159"/>
    <cellStyle name="千位分隔 2 3 6 6" xfId="3160"/>
    <cellStyle name="千位分隔 2 3 6 7" xfId="3161"/>
    <cellStyle name="千位分隔 2 3 6 8" xfId="3162"/>
    <cellStyle name="千位分隔 2 3 6 9" xfId="3163"/>
    <cellStyle name="千位分隔 2 3 7 19" xfId="3164"/>
    <cellStyle name="千位分隔 2 9 3 4" xfId="3165"/>
    <cellStyle name="千位分隔 2 3 7 2" xfId="3166"/>
    <cellStyle name="千位分隔 2 3 7 3" xfId="3167"/>
    <cellStyle name="千位分隔 2 3 7 4" xfId="3168"/>
    <cellStyle name="千位分隔 2 3 7 5" xfId="3169"/>
    <cellStyle name="千位分隔 2 3 8 18" xfId="3170"/>
    <cellStyle name="千位分隔 2 3 8 19" xfId="3171"/>
    <cellStyle name="千位分隔 2 3 8 5" xfId="3172"/>
    <cellStyle name="千位分隔 2 3 8 6" xfId="3173"/>
    <cellStyle name="千位分隔 2 3 8 7" xfId="3174"/>
    <cellStyle name="千位分隔 2 3 8 8" xfId="3175"/>
    <cellStyle name="千位分隔 2 3 8 9" xfId="3176"/>
    <cellStyle name="千位分隔 2 4" xfId="3177"/>
    <cellStyle name="千位分隔 2 4 10 2" xfId="3178"/>
    <cellStyle name="千位分隔 2 4 10 3" xfId="3179"/>
    <cellStyle name="千位分隔 2 4 10 4" xfId="3180"/>
    <cellStyle name="千位分隔 2 4 11 2" xfId="3181"/>
    <cellStyle name="千位分隔 2 8 2 15" xfId="3182"/>
    <cellStyle name="千位分隔 2 4 11 3" xfId="3183"/>
    <cellStyle name="千位分隔 2 8 2 16" xfId="3184"/>
    <cellStyle name="千位分隔 2 4 11 4" xfId="3185"/>
    <cellStyle name="千位分隔 2 8 2 17" xfId="3186"/>
    <cellStyle name="常规_Sheet2" xfId="3187"/>
    <cellStyle name="千位分隔 2 4 12" xfId="3188"/>
    <cellStyle name="千位分隔 2 4 12 2" xfId="3189"/>
    <cellStyle name="千位分隔 2 4 12 3" xfId="3190"/>
    <cellStyle name="千位分隔 2 4 12 4" xfId="3191"/>
    <cellStyle name="千位分隔 2 4 13" xfId="3192"/>
    <cellStyle name="千位分隔 2 7 4 10" xfId="3193"/>
    <cellStyle name="千位分隔 2 4 13 2" xfId="3194"/>
    <cellStyle name="千位分隔 2 4 13 3" xfId="3195"/>
    <cellStyle name="千位分隔 2 4 13 4" xfId="3196"/>
    <cellStyle name="千位分隔 2 4 14" xfId="3197"/>
    <cellStyle name="千位分隔 2 7 4 11" xfId="3198"/>
    <cellStyle name="千位分隔 2 4 15" xfId="3199"/>
    <cellStyle name="千位分隔 2 4 20" xfId="3200"/>
    <cellStyle name="千位分隔 2 7 4 12" xfId="3201"/>
    <cellStyle name="千位分隔 2 4 15 2" xfId="3202"/>
    <cellStyle name="千位分隔 2 4 20 2" xfId="3203"/>
    <cellStyle name="千位分隔 2 4 15 3" xfId="3204"/>
    <cellStyle name="千位分隔 2 4 20 3" xfId="3205"/>
    <cellStyle name="千位分隔 2 4 15 4" xfId="3206"/>
    <cellStyle name="千位分隔 2 4 20 4" xfId="3207"/>
    <cellStyle name="千位分隔 2 4 16" xfId="3208"/>
    <cellStyle name="千位分隔 2 4 21" xfId="3209"/>
    <cellStyle name="千位分隔 2 7 4 13" xfId="3210"/>
    <cellStyle name="千位分隔 2 4 16 2" xfId="3211"/>
    <cellStyle name="千位分隔 2 4 21 2" xfId="3212"/>
    <cellStyle name="千位分隔 2 8 3 15" xfId="3213"/>
    <cellStyle name="千位分隔 2 4 16 3" xfId="3214"/>
    <cellStyle name="千位分隔 2 4 21 3" xfId="3215"/>
    <cellStyle name="千位分隔 2 8 3 16" xfId="3216"/>
    <cellStyle name="千位分隔 2 4 16 4" xfId="3217"/>
    <cellStyle name="千位分隔 2 4 21 4" xfId="3218"/>
    <cellStyle name="千位分隔 2 8 3 17" xfId="3219"/>
    <cellStyle name="千位分隔 2 4 17" xfId="3220"/>
    <cellStyle name="千位分隔 2 4 22" xfId="3221"/>
    <cellStyle name="千位分隔 2 7 4 14" xfId="3222"/>
    <cellStyle name="千位分隔 2 4 17 2" xfId="3223"/>
    <cellStyle name="千位分隔 2 4 22 2" xfId="3224"/>
    <cellStyle name="千位分隔 2 4 17 3" xfId="3225"/>
    <cellStyle name="千位分隔 2 4 22 3" xfId="3226"/>
    <cellStyle name="千位分隔 2 4 17 4" xfId="3227"/>
    <cellStyle name="千位分隔 2 4 22 4" xfId="3228"/>
    <cellStyle name="千位分隔 2 4 18" xfId="3229"/>
    <cellStyle name="千位分隔 2 4 23" xfId="3230"/>
    <cellStyle name="千位分隔 2 7 4 15" xfId="3231"/>
    <cellStyle name="千位分隔 2 4 18 2" xfId="3232"/>
    <cellStyle name="千位分隔 2 4 18 3" xfId="3233"/>
    <cellStyle name="千位分隔 2 4 18 4" xfId="3234"/>
    <cellStyle name="千位分隔 2 4 19" xfId="3235"/>
    <cellStyle name="千位分隔 2 4 24" xfId="3236"/>
    <cellStyle name="千位分隔 2 7 4 16" xfId="3237"/>
    <cellStyle name="千位分隔 2 4 2" xfId="3238"/>
    <cellStyle name="千位分隔 2 4 2 10" xfId="3239"/>
    <cellStyle name="千位分隔 2 4 2 11" xfId="3240"/>
    <cellStyle name="千位分隔 2 4 2 12" xfId="3241"/>
    <cellStyle name="千位分隔 2 4 2 13" xfId="3242"/>
    <cellStyle name="千位分隔 2 4 2 14" xfId="3243"/>
    <cellStyle name="千位分隔 2 4 2 15" xfId="3244"/>
    <cellStyle name="千位分隔 2 4 2 16" xfId="3245"/>
    <cellStyle name="千位分隔 2 4 2 17" xfId="3246"/>
    <cellStyle name="千位分隔 2 4 2 18" xfId="3247"/>
    <cellStyle name="千位分隔 2 4 2 19" xfId="3248"/>
    <cellStyle name="千位分隔 2 4 2 3" xfId="3249"/>
    <cellStyle name="千位分隔 2 4 2 4" xfId="3250"/>
    <cellStyle name="千位分隔 2 4 2 5" xfId="3251"/>
    <cellStyle name="千位分隔 2 4 2 6" xfId="3252"/>
    <cellStyle name="千位分隔 2 4 2 8" xfId="3253"/>
    <cellStyle name="千位分隔 2 4 25" xfId="3254"/>
    <cellStyle name="千位分隔 2 4 30" xfId="3255"/>
    <cellStyle name="千位分隔 2 7 4 17" xfId="3256"/>
    <cellStyle name="千位分隔 2 4 29" xfId="3257"/>
    <cellStyle name="千位分隔 2 4 34" xfId="3258"/>
    <cellStyle name="千位分隔 2 4 3" xfId="3259"/>
    <cellStyle name="千位分隔 2 4 3 10" xfId="3260"/>
    <cellStyle name="千位分隔 2 4 3 11" xfId="3261"/>
    <cellStyle name="千位分隔 2 4 3 12" xfId="3262"/>
    <cellStyle name="千位分隔 2 4 3 13" xfId="3263"/>
    <cellStyle name="千位分隔 2 4 3 14" xfId="3264"/>
    <cellStyle name="千位分隔 2 4 3 15" xfId="3265"/>
    <cellStyle name="千位分隔 2 4 3 16" xfId="3266"/>
    <cellStyle name="千位分隔 2 4 3 17" xfId="3267"/>
    <cellStyle name="千位分隔 2 4 3 18" xfId="3268"/>
    <cellStyle name="千位分隔 2 4 3 19" xfId="3269"/>
    <cellStyle name="千位分隔 2 4 3 5" xfId="3270"/>
    <cellStyle name="千位分隔 2 4 3 6" xfId="3271"/>
    <cellStyle name="千位分隔 2 4 3 7" xfId="3272"/>
    <cellStyle name="千位分隔 2 4 3 8" xfId="3273"/>
    <cellStyle name="千位分隔 2 4 4" xfId="3274"/>
    <cellStyle name="千位分隔 2 4 4 10" xfId="3275"/>
    <cellStyle name="千位分隔 2 4 4 11" xfId="3276"/>
    <cellStyle name="千位分隔 2 4 4 12" xfId="3277"/>
    <cellStyle name="千位分隔 2 4 4 13" xfId="3278"/>
    <cellStyle name="千位分隔 2 4 4 14" xfId="3279"/>
    <cellStyle name="千位分隔 2 4 4 15" xfId="3280"/>
    <cellStyle name="千位分隔 2 4 4 16" xfId="3281"/>
    <cellStyle name="千位分隔 2 4 4 17" xfId="3282"/>
    <cellStyle name="千位分隔 2 4 4 18" xfId="3283"/>
    <cellStyle name="千位分隔 2 4 4 19" xfId="3284"/>
    <cellStyle name="千位分隔 2 4 4 2" xfId="3285"/>
    <cellStyle name="千位分隔 2 4 4 3" xfId="3286"/>
    <cellStyle name="千位分隔 2 4 4 4" xfId="3287"/>
    <cellStyle name="千位分隔 2 4 4 5" xfId="3288"/>
    <cellStyle name="千位分隔 2 4 4 6" xfId="3289"/>
    <cellStyle name="千位分隔 2 4 4 7" xfId="3290"/>
    <cellStyle name="千位分隔 2 4 4 8" xfId="3291"/>
    <cellStyle name="千位分隔 2 4 5 10" xfId="3292"/>
    <cellStyle name="千位分隔 2 4 5 11" xfId="3293"/>
    <cellStyle name="千位分隔 2 4 5 12" xfId="3294"/>
    <cellStyle name="千位分隔 2 4 5 13" xfId="3295"/>
    <cellStyle name="千位分隔 2 7 4 2" xfId="3296"/>
    <cellStyle name="千位分隔 2 4 5 14" xfId="3297"/>
    <cellStyle name="千位分隔 2 7 4 3" xfId="3298"/>
    <cellStyle name="千位分隔 2 4 5 15" xfId="3299"/>
    <cellStyle name="千位分隔 2 7 4 4" xfId="3300"/>
    <cellStyle name="千位分隔 2 4 5 16" xfId="3301"/>
    <cellStyle name="千位分隔 2 7 4 5" xfId="3302"/>
    <cellStyle name="千位分隔 2 4 5 17" xfId="3303"/>
    <cellStyle name="千位分隔 2 7 4 6" xfId="3304"/>
    <cellStyle name="千位分隔 2 4 5 18" xfId="3305"/>
    <cellStyle name="千位分隔 2 7 4 7" xfId="3306"/>
    <cellStyle name="千位分隔 2 4 5 19" xfId="3307"/>
    <cellStyle name="千位分隔 2 7 4 8" xfId="3308"/>
    <cellStyle name="千位分隔 2 4 6 10" xfId="3309"/>
    <cellStyle name="千位分隔 2 4 6 11" xfId="3310"/>
    <cellStyle name="千位分隔 2 4 7 10" xfId="3311"/>
    <cellStyle name="千位分隔 2 4 7 11" xfId="3312"/>
    <cellStyle name="千位分隔 2 4 7 12" xfId="3313"/>
    <cellStyle name="千位分隔 2 4 7 13" xfId="3314"/>
    <cellStyle name="千位分隔 2 4 7 14" xfId="3315"/>
    <cellStyle name="千位分隔 2 4 7 15" xfId="3316"/>
    <cellStyle name="千位分隔 2 4 7 16" xfId="3317"/>
    <cellStyle name="千位分隔 2 4 7 17" xfId="3318"/>
    <cellStyle name="千位分隔 2 4 7 18" xfId="3319"/>
    <cellStyle name="千位分隔 2 4 7 19" xfId="3320"/>
    <cellStyle name="千位分隔 2 4 7 4" xfId="3321"/>
    <cellStyle name="千位分隔 2 4 7 5" xfId="3322"/>
    <cellStyle name="千位分隔 2 4 7 6" xfId="3323"/>
    <cellStyle name="千位分隔 2 4 7 7" xfId="3324"/>
    <cellStyle name="千位分隔 2 4 7 8" xfId="3325"/>
    <cellStyle name="千位分隔 2 4 7 9" xfId="3326"/>
    <cellStyle name="千位分隔 2 4 8 10" xfId="3327"/>
    <cellStyle name="千位分隔 2 4 8 11" xfId="3328"/>
    <cellStyle name="千位分隔 2 4 8 12" xfId="3329"/>
    <cellStyle name="千位分隔 2 4 8 13" xfId="3330"/>
    <cellStyle name="千位分隔 2 4 8 14" xfId="3331"/>
    <cellStyle name="千位分隔 2 4 8 15" xfId="3332"/>
    <cellStyle name="千位分隔 2 4 8 16" xfId="3333"/>
    <cellStyle name="千位分隔 2 4 8 17" xfId="3334"/>
    <cellStyle name="千位分隔 2 4 8 18" xfId="3335"/>
    <cellStyle name="千位分隔 2 4 8 19" xfId="3336"/>
    <cellStyle name="千位分隔 2 4 8 5" xfId="3337"/>
    <cellStyle name="千位分隔 2 4 8 7" xfId="3338"/>
    <cellStyle name="千位分隔 2 4 8 8" xfId="3339"/>
    <cellStyle name="千位分隔 2 4 8 9" xfId="3340"/>
    <cellStyle name="千位分隔 2 4 9 4" xfId="3341"/>
    <cellStyle name="千位分隔 2 5" xfId="3342"/>
    <cellStyle name="千位分隔 2 5 15 2" xfId="3343"/>
    <cellStyle name="千位分隔 2 5 20 2" xfId="3344"/>
    <cellStyle name="千位分隔 2 5 15 3" xfId="3345"/>
    <cellStyle name="千位分隔 2 5 20 3" xfId="3346"/>
    <cellStyle name="千位分隔 2 5 15 4" xfId="3347"/>
    <cellStyle name="千位分隔 2 5 20 4" xfId="3348"/>
    <cellStyle name="千位分隔 2 5 19 2" xfId="3349"/>
    <cellStyle name="千位分隔 2 5 19 3" xfId="3350"/>
    <cellStyle name="千位分隔 2 5 19 4" xfId="3351"/>
    <cellStyle name="千位分隔 2 5 2" xfId="3352"/>
    <cellStyle name="千位分隔 2 5 2 10" xfId="3353"/>
    <cellStyle name="千位分隔 2 5 2 11" xfId="3354"/>
    <cellStyle name="千位分隔 2 5 2 12" xfId="3355"/>
    <cellStyle name="千位分隔 2 5 2 13" xfId="3356"/>
    <cellStyle name="千位分隔 2 5 2 14" xfId="3357"/>
    <cellStyle name="千位分隔 2 5 2 15" xfId="3358"/>
    <cellStyle name="千位分隔 2 5 2 16" xfId="3359"/>
    <cellStyle name="千位分隔 2 5 2 17" xfId="3360"/>
    <cellStyle name="千位分隔 2 5 2 18" xfId="3361"/>
    <cellStyle name="千位分隔 2 5 2 2" xfId="3362"/>
    <cellStyle name="千位分隔 2 5 2 3" xfId="3363"/>
    <cellStyle name="千位分隔 2 5 2 4" xfId="3364"/>
    <cellStyle name="千位分隔 2 5 2 5" xfId="3365"/>
    <cellStyle name="千位分隔 2 5 2 6" xfId="3366"/>
    <cellStyle name="千位分隔 2 5 2 7" xfId="3367"/>
    <cellStyle name="千位分隔 2 5 2 8" xfId="3368"/>
    <cellStyle name="千位分隔 2 5 2 9" xfId="3369"/>
    <cellStyle name="千位分隔 2 5 29" xfId="3370"/>
    <cellStyle name="千位分隔 2 5 34" xfId="3371"/>
    <cellStyle name="千位分隔 2 5 3" xfId="3372"/>
    <cellStyle name="千位分隔 2 5 3 16" xfId="3373"/>
    <cellStyle name="千位分隔 2 5 5 9" xfId="3374"/>
    <cellStyle name="千位分隔 2 5 3 17" xfId="3375"/>
    <cellStyle name="千位分隔 2 5 3 18" xfId="3376"/>
    <cellStyle name="千位分隔 2 5 3 19" xfId="3377"/>
    <cellStyle name="千位分隔 2 5 3 2" xfId="3378"/>
    <cellStyle name="千位分隔 2 5 3 3" xfId="3379"/>
    <cellStyle name="千位分隔 2 5 3 4" xfId="3380"/>
    <cellStyle name="千位分隔 2 5 3 5" xfId="3381"/>
    <cellStyle name="千位分隔 2 5 3 6" xfId="3382"/>
    <cellStyle name="千位分隔 2 5 3 7" xfId="3383"/>
    <cellStyle name="千位分隔 2 5 3 8" xfId="3384"/>
    <cellStyle name="千位分隔 2 5 3 9" xfId="3385"/>
    <cellStyle name="千位分隔 2 5 4" xfId="3386"/>
    <cellStyle name="千位分隔 2 5 4 16" xfId="3387"/>
    <cellStyle name="千位分隔 2 5 4 17" xfId="3388"/>
    <cellStyle name="千位分隔 2 5 4 18" xfId="3389"/>
    <cellStyle name="千位分隔 2 5 4 19" xfId="3390"/>
    <cellStyle name="千位分隔 2 5 4 2" xfId="3391"/>
    <cellStyle name="千位分隔 2 5 4 3" xfId="3392"/>
    <cellStyle name="千位分隔 2 5 4 4" xfId="3393"/>
    <cellStyle name="千位分隔 2 5 4 5" xfId="3394"/>
    <cellStyle name="千位分隔 2 5 4 6" xfId="3395"/>
    <cellStyle name="千位分隔 2 5 4 7" xfId="3396"/>
    <cellStyle name="千位分隔 2 5 4 8" xfId="3397"/>
    <cellStyle name="千位分隔 2 5 4 9" xfId="3398"/>
    <cellStyle name="千位分隔 2 5 6 15" xfId="3399"/>
    <cellStyle name="千位分隔 2 5 7 15" xfId="3400"/>
    <cellStyle name="千位分隔 2 5 7 16" xfId="3401"/>
    <cellStyle name="千位分隔 2 5 7 17" xfId="3402"/>
    <cellStyle name="千位分隔 2 5 7 18" xfId="3403"/>
    <cellStyle name="千位分隔 2 5 7 19" xfId="3404"/>
    <cellStyle name="千位分隔 2 5 7 9" xfId="3405"/>
    <cellStyle name="千位分隔 2 5 8 9" xfId="3406"/>
    <cellStyle name="千位分隔 2 6" xfId="3407"/>
    <cellStyle name="千位分隔 2 6 18" xfId="3408"/>
    <cellStyle name="千位分隔 2 6 19" xfId="3409"/>
    <cellStyle name="千位分隔 2 6 2 10" xfId="3410"/>
    <cellStyle name="千位分隔 2 6 2 11" xfId="3411"/>
    <cellStyle name="千位分隔 2 6 2 12" xfId="3412"/>
    <cellStyle name="千位分隔 2 6 2 13" xfId="3413"/>
    <cellStyle name="千位分隔 2 6 2 14" xfId="3414"/>
    <cellStyle name="千位分隔 2 6 2 18" xfId="3415"/>
    <cellStyle name="千位分隔 2 6 2 19" xfId="3416"/>
    <cellStyle name="千位分隔 2 6 2 2" xfId="3417"/>
    <cellStyle name="千位分隔 2 6 2 3" xfId="3418"/>
    <cellStyle name="千位分隔 2 6 2 4" xfId="3419"/>
    <cellStyle name="千位分隔 2 6 2 5" xfId="3420"/>
    <cellStyle name="千位分隔 2 6 2 6" xfId="3421"/>
    <cellStyle name="千位分隔 2 6 2 7" xfId="3422"/>
    <cellStyle name="千位分隔 2 6 2 8" xfId="3423"/>
    <cellStyle name="千位分隔 2 6 2 9" xfId="3424"/>
    <cellStyle name="千位分隔 2 6 3 11" xfId="3425"/>
    <cellStyle name="千位分隔 2 6 3 12" xfId="3426"/>
    <cellStyle name="千位分隔 2 6 3 13" xfId="3427"/>
    <cellStyle name="千位分隔 2 6 3 14" xfId="3428"/>
    <cellStyle name="千位分隔 2 6 3 18" xfId="3429"/>
    <cellStyle name="千位分隔 2 6 3 19" xfId="3430"/>
    <cellStyle name="千位分隔 2 6 3 7" xfId="3431"/>
    <cellStyle name="千位分隔 2 6 3 8" xfId="3432"/>
    <cellStyle name="千位分隔 2 6 3 9" xfId="3433"/>
    <cellStyle name="千位分隔 2 7" xfId="3434"/>
    <cellStyle name="千位分隔 2 7 18" xfId="3435"/>
    <cellStyle name="千位分隔 2 7 19" xfId="3436"/>
    <cellStyle name="千位分隔 2 7 2" xfId="3437"/>
    <cellStyle name="千位分隔 2 7 2 6" xfId="3438"/>
    <cellStyle name="千位分隔 2 7 2 7" xfId="3439"/>
    <cellStyle name="千位分隔 2 7 2 8" xfId="3440"/>
    <cellStyle name="千位分隔 2 7 2 9" xfId="3441"/>
    <cellStyle name="千位分隔 2 7 3" xfId="3442"/>
    <cellStyle name="千位分隔 2 7 3 2" xfId="3443"/>
    <cellStyle name="千位分隔 2 7 3 3" xfId="3444"/>
    <cellStyle name="千位分隔 2 7 3 4" xfId="3445"/>
    <cellStyle name="千位分隔 2 7 3 5" xfId="3446"/>
    <cellStyle name="千位分隔 2 7 3 6" xfId="3447"/>
    <cellStyle name="千位分隔 2 7 3 7" xfId="3448"/>
    <cellStyle name="千位分隔 2 7 3 8" xfId="3449"/>
    <cellStyle name="千位分隔 2 7 3 9" xfId="3450"/>
    <cellStyle name="千位分隔 2 7 4" xfId="3451"/>
    <cellStyle name="千位分隔 2 7 4 9" xfId="3452"/>
    <cellStyle name="千位分隔 2 7 5" xfId="3453"/>
    <cellStyle name="千位分隔 2 7 6" xfId="3454"/>
    <cellStyle name="千位分隔 2 7 7" xfId="3455"/>
    <cellStyle name="千位分隔 2 7 8" xfId="3456"/>
    <cellStyle name="千位分隔 2 7 9" xfId="3457"/>
    <cellStyle name="千位分隔 2 8" xfId="3458"/>
    <cellStyle name="千位分隔 2 8 18" xfId="3459"/>
    <cellStyle name="千位分隔 2 8 19" xfId="3460"/>
    <cellStyle name="千位分隔 2 8 2 10" xfId="3461"/>
    <cellStyle name="千位分隔 2 8 2 11" xfId="3462"/>
    <cellStyle name="千位分隔 2 8 2 12" xfId="3463"/>
    <cellStyle name="千位分隔 2 8 2 13" xfId="3464"/>
    <cellStyle name="千位分隔 2 8 2 14" xfId="3465"/>
    <cellStyle name="千位分隔 2 8 2 18" xfId="3466"/>
    <cellStyle name="千位分隔 2 8 2 19" xfId="3467"/>
    <cellStyle name="千位分隔 2 8 2 2" xfId="3468"/>
    <cellStyle name="千位分隔 2 8 2 3" xfId="3469"/>
    <cellStyle name="千位分隔 2 8 2 4" xfId="3470"/>
    <cellStyle name="千位分隔 2 8 2 5" xfId="3471"/>
    <cellStyle name="千位分隔 2 8 2 6" xfId="3472"/>
    <cellStyle name="千位分隔 2 8 2 7" xfId="3473"/>
    <cellStyle name="千位分隔 2 8 2 8" xfId="3474"/>
    <cellStyle name="千位分隔 2 8 3 10" xfId="3475"/>
    <cellStyle name="千位分隔 2 8 3 11" xfId="3476"/>
    <cellStyle name="千位分隔 2 8 3 12" xfId="3477"/>
    <cellStyle name="千位分隔 2 8 3 13" xfId="3478"/>
    <cellStyle name="千位分隔 2 8 3 14" xfId="3479"/>
    <cellStyle name="千位分隔 2 8 3 19" xfId="3480"/>
    <cellStyle name="千位分隔 2 8 3 7" xfId="3481"/>
    <cellStyle name="千位分隔 2 8 3 8" xfId="3482"/>
    <cellStyle name="千位分隔 2 8 3 9" xfId="3483"/>
    <cellStyle name="千位分隔 2 8 4 10" xfId="3484"/>
    <cellStyle name="千位分隔 2 8 4 11" xfId="3485"/>
    <cellStyle name="千位分隔 2 8 4 12" xfId="3486"/>
    <cellStyle name="千位分隔 2 8 4 13" xfId="3487"/>
    <cellStyle name="千位分隔 2 8 4 14" xfId="3488"/>
    <cellStyle name="千位分隔 2 8 4 2" xfId="3489"/>
    <cellStyle name="千位分隔 2 8 4 3" xfId="3490"/>
    <cellStyle name="千位分隔 2 8 4 4" xfId="3491"/>
    <cellStyle name="千位分隔 2 8 4 5" xfId="3492"/>
    <cellStyle name="千位分隔 2 8 4 6" xfId="3493"/>
    <cellStyle name="千位分隔 2 8 4 7" xfId="3494"/>
    <cellStyle name="千位分隔 2 8 4 8" xfId="3495"/>
    <cellStyle name="千位分隔 2 8 4 9" xfId="3496"/>
    <cellStyle name="千位分隔 2 8 9" xfId="3497"/>
    <cellStyle name="千位分隔 2 9" xfId="3498"/>
    <cellStyle name="千位分隔 2 9 18" xfId="3499"/>
    <cellStyle name="千位分隔 2 9 19" xfId="3500"/>
    <cellStyle name="千位分隔 2 9 2" xfId="3501"/>
    <cellStyle name="千位分隔 2 9 2 10" xfId="3502"/>
    <cellStyle name="千位分隔 4 2 13" xfId="3503"/>
    <cellStyle name="千位分隔 2 9 2 11" xfId="3504"/>
    <cellStyle name="千位分隔 4 2 14" xfId="3505"/>
    <cellStyle name="千位分隔 2 9 2 18" xfId="3506"/>
    <cellStyle name="千位分隔 2 9 2 19" xfId="3507"/>
    <cellStyle name="千位分隔 2 9 2 4" xfId="3508"/>
    <cellStyle name="千位分隔 2 9 2 5" xfId="3509"/>
    <cellStyle name="千位分隔 2 9 2 6" xfId="3510"/>
    <cellStyle name="千位分隔 2 9 2 7" xfId="3511"/>
    <cellStyle name="千位分隔 2 9 2 8" xfId="3512"/>
    <cellStyle name="千位分隔 2 9 2 9" xfId="3513"/>
    <cellStyle name="千位分隔 2 9 3" xfId="3514"/>
    <cellStyle name="千位分隔 2 9 3 10" xfId="3515"/>
    <cellStyle name="千位分隔 4 3 13" xfId="3516"/>
    <cellStyle name="千位分隔 2 9 3 19" xfId="3517"/>
    <cellStyle name="千位分隔 2 9 3 5" xfId="3518"/>
    <cellStyle name="千位分隔 2 9 3 6" xfId="3519"/>
    <cellStyle name="千位分隔 2 9 3 7" xfId="3520"/>
    <cellStyle name="千位分隔 2 9 3 8" xfId="3521"/>
    <cellStyle name="千位分隔 2 9 3 9" xfId="3522"/>
    <cellStyle name="千位分隔 2 9 4" xfId="3523"/>
    <cellStyle name="千位分隔 2 9 4 10" xfId="3524"/>
    <cellStyle name="千位分隔 4 4 13" xfId="3525"/>
    <cellStyle name="千位分隔 2 9 4 11" xfId="3526"/>
    <cellStyle name="千位分隔 4 4 14" xfId="3527"/>
    <cellStyle name="千位分隔 2 9 4 12" xfId="3528"/>
    <cellStyle name="千位分隔 4 4 15" xfId="3529"/>
    <cellStyle name="千位分隔 2 9 4 13" xfId="3530"/>
    <cellStyle name="千位分隔 4 4 16" xfId="3531"/>
    <cellStyle name="千位分隔 2 9 4 14" xfId="3532"/>
    <cellStyle name="千位分隔 4 4 17" xfId="3533"/>
    <cellStyle name="千位分隔 2 9 4 15" xfId="3534"/>
    <cellStyle name="千位分隔 4 4 18" xfId="3535"/>
    <cellStyle name="千位分隔 2 9 4 16" xfId="3536"/>
    <cellStyle name="千位分隔 4 4 19" xfId="3537"/>
    <cellStyle name="千位分隔 2 9 4 17" xfId="3538"/>
    <cellStyle name="千位分隔 2 9 4 18" xfId="3539"/>
    <cellStyle name="千位分隔 2 9 4 19" xfId="3540"/>
    <cellStyle name="千位分隔 2 9 4 2" xfId="3541"/>
    <cellStyle name="千位分隔 2 9 4 3" xfId="3542"/>
    <cellStyle name="千位分隔 2 9 4 4" xfId="3543"/>
    <cellStyle name="千位分隔 2 9 4 5" xfId="3544"/>
    <cellStyle name="千位分隔 2 9 4 6" xfId="3545"/>
    <cellStyle name="千位分隔 2 9 4 7" xfId="3546"/>
    <cellStyle name="千位分隔 2 9 4 8" xfId="3547"/>
    <cellStyle name="千位分隔 2 9 4 9" xfId="3548"/>
    <cellStyle name="千位分隔 2 9 5" xfId="3549"/>
    <cellStyle name="千位分隔 2 9 6" xfId="3550"/>
    <cellStyle name="千位分隔 2 9 7" xfId="3551"/>
    <cellStyle name="千位分隔 2 9 8" xfId="3552"/>
    <cellStyle name="千位分隔 2 9 9" xfId="3553"/>
    <cellStyle name="千位分隔 4 10" xfId="3554"/>
    <cellStyle name="千位分隔 4 10 10" xfId="3555"/>
    <cellStyle name="千位分隔 4 10 11" xfId="3556"/>
    <cellStyle name="千位分隔 4 10 12" xfId="3557"/>
    <cellStyle name="千位分隔 4 10 13" xfId="3558"/>
    <cellStyle name="千位分隔 4 10 14" xfId="3559"/>
    <cellStyle name="千位分隔 4 10 15" xfId="3560"/>
    <cellStyle name="千位分隔 4 10 16" xfId="3561"/>
    <cellStyle name="千位分隔 4 10 17" xfId="3562"/>
    <cellStyle name="千位分隔 4 10 18" xfId="3563"/>
    <cellStyle name="千位分隔 4 10 19" xfId="3564"/>
    <cellStyle name="千位分隔 4 10 2" xfId="3565"/>
    <cellStyle name="千位分隔 4 10 3" xfId="3566"/>
    <cellStyle name="千位分隔 4 10 4" xfId="3567"/>
    <cellStyle name="千位分隔 4 10 5" xfId="3568"/>
    <cellStyle name="千位分隔 4 10 6" xfId="3569"/>
    <cellStyle name="千位分隔 4 10 7" xfId="3570"/>
    <cellStyle name="千位分隔 4 10 8" xfId="3571"/>
    <cellStyle name="千位分隔 4 10 9" xfId="3572"/>
    <cellStyle name="千位分隔 4 11" xfId="3573"/>
    <cellStyle name="千位分隔 4 11 13" xfId="3574"/>
    <cellStyle name="千位分隔 4 11 14" xfId="3575"/>
    <cellStyle name="千位分隔 4 11 15" xfId="3576"/>
    <cellStyle name="千位分隔 4 11 16" xfId="3577"/>
    <cellStyle name="千位分隔 4 11 17" xfId="3578"/>
    <cellStyle name="千位分隔 4 11 18" xfId="3579"/>
    <cellStyle name="千位分隔 4 11 19" xfId="3580"/>
    <cellStyle name="千位分隔 4 11 2" xfId="3581"/>
    <cellStyle name="千位分隔 4 11 3" xfId="3582"/>
    <cellStyle name="千位分隔 4 11 4" xfId="3583"/>
    <cellStyle name="千位分隔 4 11 5" xfId="3584"/>
    <cellStyle name="千位分隔 4 11 6" xfId="3585"/>
    <cellStyle name="千位分隔 4 11 7" xfId="3586"/>
    <cellStyle name="千位分隔 4 11 8" xfId="3587"/>
    <cellStyle name="千位分隔 4 11 9" xfId="3588"/>
    <cellStyle name="千位分隔 4 12" xfId="3589"/>
    <cellStyle name="千位分隔 4 13" xfId="3590"/>
    <cellStyle name="千位分隔 4 14" xfId="3591"/>
    <cellStyle name="千位分隔 4 2" xfId="3592"/>
    <cellStyle name="千位分隔 4 2 10" xfId="3593"/>
    <cellStyle name="千位分隔 4 2 11" xfId="3594"/>
    <cellStyle name="千位分隔 4 2 12" xfId="3595"/>
    <cellStyle name="千位分隔 4 2 2" xfId="3596"/>
    <cellStyle name="千位分隔 4 2 3" xfId="3597"/>
    <cellStyle name="千位分隔 4 2 7" xfId="3598"/>
    <cellStyle name="千位分隔 4 2 8" xfId="3599"/>
    <cellStyle name="千位分隔 4 2 9" xfId="3600"/>
    <cellStyle name="千位分隔 4 3 10" xfId="3601"/>
    <cellStyle name="千位分隔 4 3 11" xfId="3602"/>
    <cellStyle name="千位分隔 4 3 12" xfId="3603"/>
    <cellStyle name="千位分隔 4 3 2" xfId="3604"/>
    <cellStyle name="千位分隔 4 4 10" xfId="3605"/>
    <cellStyle name="千位分隔 4 4 11" xfId="3606"/>
    <cellStyle name="千位分隔 4 4 12" xfId="3607"/>
    <cellStyle name="千位分隔 4 4 2" xfId="3608"/>
    <cellStyle name="千位分隔 4 8 11" xfId="3609"/>
    <cellStyle name="千位分隔 4 4 3" xfId="3610"/>
    <cellStyle name="千位分隔 4 8 12" xfId="3611"/>
    <cellStyle name="千位分隔 4 4 4" xfId="3612"/>
    <cellStyle name="千位分隔 4 8 13" xfId="3613"/>
    <cellStyle name="千位分隔 4 5 10" xfId="3614"/>
    <cellStyle name="千位分隔 4 5 11" xfId="3615"/>
    <cellStyle name="千位分隔 4 5 12" xfId="3616"/>
    <cellStyle name="千位分隔 4 5 2" xfId="3617"/>
    <cellStyle name="千位分隔 4 5 3" xfId="3618"/>
    <cellStyle name="千位分隔 4 5 4" xfId="3619"/>
    <cellStyle name="千位分隔 4 6 10" xfId="3620"/>
    <cellStyle name="千位分隔 4 6 11" xfId="3621"/>
    <cellStyle name="千位分隔 4 6 12" xfId="3622"/>
    <cellStyle name="千位分隔 4 7 10" xfId="3623"/>
    <cellStyle name="千位分隔 4 7 11" xfId="3624"/>
    <cellStyle name="千位分隔 4 7 12" xfId="3625"/>
    <cellStyle name="千位分隔 4 7 16" xfId="3626"/>
    <cellStyle name="千位分隔 4 7 17" xfId="3627"/>
    <cellStyle name="千位分隔 4 7 18" xfId="3628"/>
    <cellStyle name="千位分隔 4 7 19" xfId="3629"/>
    <cellStyle name="千位分隔 4 8 10" xfId="3630"/>
    <cellStyle name="千位分隔 4 8 9" xfId="3631"/>
    <cellStyle name="千位分隔 4 9 10" xfId="3632"/>
    <cellStyle name="千位分隔 4 9 11" xfId="3633"/>
    <cellStyle name="千位分隔 4 9 2" xfId="3634"/>
    <cellStyle name="千位分隔 4 9 12" xfId="3635"/>
    <cellStyle name="千位分隔 4 9 3" xfId="3636"/>
    <cellStyle name="千位分隔 4 9 13" xfId="3637"/>
    <cellStyle name="千位分隔 4 9 4" xfId="3638"/>
    <cellStyle name="千位分隔 4 9 14" xfId="3639"/>
    <cellStyle name="千位分隔 4 9 5" xfId="3640"/>
    <cellStyle name="千位分隔 4 9 15" xfId="3641"/>
    <cellStyle name="千位分隔 4 9 6" xfId="3642"/>
    <cellStyle name="千位分隔 4 9 16" xfId="3643"/>
    <cellStyle name="千位分隔 4 9 7" xfId="3644"/>
    <cellStyle name="千位分隔 4 9 17" xfId="3645"/>
    <cellStyle name="千位分隔 4 9 8" xfId="3646"/>
    <cellStyle name="千位分隔 4 9 18" xfId="3647"/>
    <cellStyle name="千位分隔 4 9 9" xfId="3648"/>
    <cellStyle name="千位分隔 4 9 19" xfId="3649"/>
  </cellStyles>
  <tableStyles count="0" defaultTableStyle="TableStyleMedium9" defaultPivotStyle="PivotStyleLight16"/>
  <colors>
    <mruColors>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7" Type="http://schemas.openxmlformats.org/officeDocument/2006/relationships/sharedStrings" Target="sharedStrings.xml"/><Relationship Id="rId56" Type="http://schemas.openxmlformats.org/officeDocument/2006/relationships/styles" Target="styles.xml"/><Relationship Id="rId55" Type="http://schemas.openxmlformats.org/officeDocument/2006/relationships/theme" Target="theme/theme1.xml"/><Relationship Id="rId54" Type="http://schemas.openxmlformats.org/officeDocument/2006/relationships/externalLink" Target="externalLinks/externalLink41.xml"/><Relationship Id="rId53" Type="http://schemas.openxmlformats.org/officeDocument/2006/relationships/externalLink" Target="externalLinks/externalLink40.xml"/><Relationship Id="rId52" Type="http://schemas.openxmlformats.org/officeDocument/2006/relationships/externalLink" Target="externalLinks/externalLink39.xml"/><Relationship Id="rId51" Type="http://schemas.openxmlformats.org/officeDocument/2006/relationships/externalLink" Target="externalLinks/externalLink38.xml"/><Relationship Id="rId50" Type="http://schemas.openxmlformats.org/officeDocument/2006/relationships/externalLink" Target="externalLinks/externalLink37.xml"/><Relationship Id="rId5" Type="http://schemas.openxmlformats.org/officeDocument/2006/relationships/worksheet" Target="worksheets/sheet5.xml"/><Relationship Id="rId49" Type="http://schemas.openxmlformats.org/officeDocument/2006/relationships/externalLink" Target="externalLinks/externalLink36.xml"/><Relationship Id="rId48" Type="http://schemas.openxmlformats.org/officeDocument/2006/relationships/externalLink" Target="externalLinks/externalLink35.xml"/><Relationship Id="rId47" Type="http://schemas.openxmlformats.org/officeDocument/2006/relationships/externalLink" Target="externalLinks/externalLink34.xml"/><Relationship Id="rId46" Type="http://schemas.openxmlformats.org/officeDocument/2006/relationships/externalLink" Target="externalLinks/externalLink33.xml"/><Relationship Id="rId45" Type="http://schemas.openxmlformats.org/officeDocument/2006/relationships/externalLink" Target="externalLinks/externalLink32.xml"/><Relationship Id="rId44" Type="http://schemas.openxmlformats.org/officeDocument/2006/relationships/externalLink" Target="externalLinks/externalLink31.xml"/><Relationship Id="rId43" Type="http://schemas.openxmlformats.org/officeDocument/2006/relationships/externalLink" Target="externalLinks/externalLink30.xml"/><Relationship Id="rId42" Type="http://schemas.openxmlformats.org/officeDocument/2006/relationships/externalLink" Target="externalLinks/externalLink29.xml"/><Relationship Id="rId41" Type="http://schemas.openxmlformats.org/officeDocument/2006/relationships/externalLink" Target="externalLinks/externalLink28.xml"/><Relationship Id="rId40" Type="http://schemas.openxmlformats.org/officeDocument/2006/relationships/externalLink" Target="externalLinks/externalLink27.xml"/><Relationship Id="rId4" Type="http://schemas.openxmlformats.org/officeDocument/2006/relationships/worksheet" Target="worksheets/sheet4.xml"/><Relationship Id="rId39" Type="http://schemas.openxmlformats.org/officeDocument/2006/relationships/externalLink" Target="externalLinks/externalLink26.xml"/><Relationship Id="rId38" Type="http://schemas.openxmlformats.org/officeDocument/2006/relationships/externalLink" Target="externalLinks/externalLink25.xml"/><Relationship Id="rId37" Type="http://schemas.openxmlformats.org/officeDocument/2006/relationships/externalLink" Target="externalLinks/externalLink24.xml"/><Relationship Id="rId36" Type="http://schemas.openxmlformats.org/officeDocument/2006/relationships/externalLink" Target="externalLinks/externalLink23.xml"/><Relationship Id="rId35" Type="http://schemas.openxmlformats.org/officeDocument/2006/relationships/externalLink" Target="externalLinks/externalLink22.xml"/><Relationship Id="rId34" Type="http://schemas.openxmlformats.org/officeDocument/2006/relationships/externalLink" Target="externalLinks/externalLink21.xml"/><Relationship Id="rId33" Type="http://schemas.openxmlformats.org/officeDocument/2006/relationships/externalLink" Target="externalLinks/externalLink20.xml"/><Relationship Id="rId32" Type="http://schemas.openxmlformats.org/officeDocument/2006/relationships/externalLink" Target="externalLinks/externalLink19.xml"/><Relationship Id="rId31" Type="http://schemas.openxmlformats.org/officeDocument/2006/relationships/externalLink" Target="externalLinks/externalLink18.xml"/><Relationship Id="rId30" Type="http://schemas.openxmlformats.org/officeDocument/2006/relationships/externalLink" Target="externalLinks/externalLink17.xml"/><Relationship Id="rId3" Type="http://schemas.openxmlformats.org/officeDocument/2006/relationships/worksheet" Target="worksheets/sheet3.xml"/><Relationship Id="rId29" Type="http://schemas.openxmlformats.org/officeDocument/2006/relationships/externalLink" Target="externalLinks/externalLink16.xml"/><Relationship Id="rId28" Type="http://schemas.openxmlformats.org/officeDocument/2006/relationships/externalLink" Target="externalLinks/externalLink15.xml"/><Relationship Id="rId27" Type="http://schemas.openxmlformats.org/officeDocument/2006/relationships/externalLink" Target="externalLinks/externalLink14.xml"/><Relationship Id="rId26" Type="http://schemas.openxmlformats.org/officeDocument/2006/relationships/externalLink" Target="externalLinks/externalLink13.xml"/><Relationship Id="rId25" Type="http://schemas.openxmlformats.org/officeDocument/2006/relationships/externalLink" Target="externalLinks/externalLink12.xml"/><Relationship Id="rId24" Type="http://schemas.openxmlformats.org/officeDocument/2006/relationships/externalLink" Target="externalLinks/externalLink11.xml"/><Relationship Id="rId23" Type="http://schemas.openxmlformats.org/officeDocument/2006/relationships/externalLink" Target="externalLinks/externalLink10.xml"/><Relationship Id="rId22" Type="http://schemas.openxmlformats.org/officeDocument/2006/relationships/externalLink" Target="externalLinks/externalLink9.xml"/><Relationship Id="rId21" Type="http://schemas.openxmlformats.org/officeDocument/2006/relationships/externalLink" Target="externalLinks/externalLink8.xml"/><Relationship Id="rId20" Type="http://schemas.openxmlformats.org/officeDocument/2006/relationships/externalLink" Target="externalLinks/externalLink7.xml"/><Relationship Id="rId2" Type="http://schemas.openxmlformats.org/officeDocument/2006/relationships/worksheet" Target="worksheets/sheet2.xml"/><Relationship Id="rId19" Type="http://schemas.openxmlformats.org/officeDocument/2006/relationships/externalLink" Target="externalLinks/externalLink6.xml"/><Relationship Id="rId18" Type="http://schemas.openxmlformats.org/officeDocument/2006/relationships/externalLink" Target="externalLinks/externalLink5.xml"/><Relationship Id="rId17" Type="http://schemas.openxmlformats.org/officeDocument/2006/relationships/externalLink" Target="externalLinks/externalLink4.xml"/><Relationship Id="rId16" Type="http://schemas.openxmlformats.org/officeDocument/2006/relationships/externalLink" Target="externalLinks/externalLink3.xml"/><Relationship Id="rId15" Type="http://schemas.openxmlformats.org/officeDocument/2006/relationships/externalLink" Target="externalLinks/externalLink2.xml"/><Relationship Id="rId14" Type="http://schemas.openxmlformats.org/officeDocument/2006/relationships/externalLink" Target="externalLinks/externalLink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Documents%20and%20Settings\User\&#26700;&#38754;\&#35838;&#39064;\&#21382;&#24180;&#22269;&#23478;&#20915;&#31639;\1993-2002&#24180;&#22269;&#23478;&#25910;&#20837;&#27604;&#36739;&#3492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1.2.7\&#37329;&#34701;&#31185;\&#23384;&#26723;&#25991;&#20214;\04-&#22269;&#21153;&#38498;&#19987;&#39033;&#35843;&#30740;\05%205&#30465;&#19978;&#25253;&#25968;&#25454;\&#28246;&#21335;&#30465;&#38544;&#24615;&#20538;&#21153;&#32479;&#35745;&#22871;&#34920;&#65288;20170829&#65289;&#12304;&#36820;&#20113;&#21335;&#36130;&#25919;&#21381;&#34917;&#25968;&#12305;-&#34917;&#39033;&#30446;&#31867;&#224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1.2.7\&#37329;&#34701;&#31185;\AnyShare%20(2)\&#39044;&#31639;&#21496;\&#20538;&#21153;&#22788;\0.&#20013;&#36716;\&#19977;&#30465;&#25968;&#25454;%20(2)\&#27743;&#33487;&#12289;&#28246;&#21335;&#12289;&#20113;&#21335;&#25968;&#25454;&#65288;20170830&#65289;&#12304;&#20998;&#39033;&#30446;&#31867;&#22411;&#12305;\&#27743;&#33487;&#30465;&#25130;&#33267;2017&#24180;6&#26376;&#26411;&#26377;&#20851;&#24773;&#20917;&#27719;&#24635;&#32479;&#35745;&#34920;(20170829)&#12304;&#36820;&#27743;&#33487;&#36130;&#25919;&#21381;&#34917;&#25968;&#12305;-&#34917;&#39033;&#30446;&#31867;&#22411;&#65288;2017.8.30&#20013;&#21320;&#19978;&#25253;&#65289;&#12304;2&#31295;&#65292;&#25968;&#25454;&#24050;&#20998;&#31867;&#1230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1.2.7\&#37329;&#34701;&#31185;\&#25509;&#25910;&#25991;&#20214;\&#22320;&#26041;&#25919;&#24220;&#34701;&#36164;&#24179;&#21488;&#20844;&#21496;&#20538;&#21153;&#31561;&#24773;&#20917;&#34920;&#65288;&#26032;20170729&#6528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esktop\&#20648;&#22791;&#39033;&#30446;\&#65288;&#8730;&#65289;2020.03.21-2020&#24180;&#22320;&#26041;&#25919;&#24220;&#26032;&#22686;&#20538;&#21048;&#38656;&#27714;&#34920;&#65288;&#20840;&#37096;&#6528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23609;&#26446;&#23792;\02&#25919;&#24220;&#20538;&#21048;\01.&#19968;&#33324;&#20538;&#21048;\2011&#24180;&#22320;&#26041;&#25919;&#24220;&#20538;&#21048;\&#25353;&#27969;&#31243;\02&#35268;&#27169;&#27979;&#31639;\&#21608;&#23045;\03&#20538;&#21153;&#25253;&#34920;\&#27719;&#24635;\2009\2010&#24180;10&#26376;\2009&#24180;&#20538;&#21153;&#20998;&#26512;&#34920;&#65288;20101026&#25171;&#21360;&#31295;&#65289;\07&#26684;&#24335;\2009&#22522;&#26412;&#24773;&#20917;&#65288;1026&#25171;&#21360;&#6528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EXCEL\&#26412;&#20070;&#33539;&#20363;\chap5\chap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0.128.2.15\&#21508;&#22320;&#39044;&#31639;\2011&#24180;&#22320;&#26041;&#20538;&#21048;&#39033;&#30446;&#35843;&#25972;&#65288;06.15&#65289;\&#38468;&#20214;1&#65306;&#20538;&#21153;&#39069;&#24230;&#20998;&#37197;&#3492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010&#21439;&#32423;&#25104;&#26412;&#24046;&#24322;&#31995;&#25968;(0902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2522;&#30784;&#25968;&#25454;\&#22522;&#30784;&#25968;&#25454;&#34920;031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2522;&#30784;&#25968;&#25454;\08&#26449;&#324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22320;&#26041;&#22788;&#20027;&#26426;\&#22320;&#26041;&#22788;&#20027;&#26426;\Documents%20and%20Settings\User\&#26700;&#38754;\&#35838;&#39064;\&#21382;&#24180;&#22269;&#23478;&#20915;&#31639;\1993-2002&#24180;&#22269;&#23478;&#25910;&#20837;&#27604;&#36739;&#3492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Documents%20and%20Settings\Administrator\Application%20Data\Microsoft\Excel\2007&#24180;&#22320;&#26041;&#25919;&#24220;&#24615;&#20538;&#21153;&#25253;&#34920;&#27719;&#24635;&#65288;20080708&#65289;&#12304;&#23450;&#31295;&#12305;.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bugdet-server\&#22320;&#26041;&#22788;\05&#22320;&#26041;&#20915;&#31639;\&#20004;&#32423;&#32467;&#31639;\2014&#24180;&#32467;&#31639;\&#20004;&#32423;&#32467;&#31639;&#19982;&#22320;&#26041;&#23545;&#36134;\&#31532;&#19977;&#27425;&#23545;&#36134;\2014&#24180;&#23545;&#36134;&#21333;(20150408&#65289;-&#31532;&#19977;&#27425;&#23545;&#3613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Z:\DOCUME~1\ADMINI~1\LOCALS~1\Temp\Rar$DI00.407\01&#36130;&#25919;&#21381;&#36164;&#26009;\01&#25919;&#24220;&#24615;&#20538;&#21153;\21&#34701;&#36164;&#24179;&#21488;&#31649;&#29702;\05&#23545;&#36134;&#24037;&#20316;\&#21508;&#22320;&#19978;&#25253;\&#20309;&#26126;&#29113;\&#22791;&#26597;&#36164;&#26009;\2010&#24180;&#20538;&#21153;&#25253;&#34920;\&#34701;&#36164;&#24179;&#21488;&#20844;&#21496;&#20538;&#21153;&#28165;&#29702;&#26680;&#23454;&#25253;&#34920;\&#24405;&#20837;&#34920;\9&#26376;20&#26085;&#29256;&#26412;\&#34701;&#36164;&#24179;&#21488;&#20844;&#21496;&#20538;&#21153;&#28165;&#29702;&#26680;&#23454;&#24773;&#20917;&#24405;&#20837;&#34920;&#65288;20100920&#6528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H:\01&#27719;&#24635;&#34701;&#36164;&#24179;&#21488;&#21517;&#21333;&#21644;&#20313;&#39069;&#34920;&#26680;&#23545;&#34920;&#65288;&#27491;&#24335;&#34920;&#65292;&#21516;&#38134;&#30417;&#26680;&#23545;&#21069;&#6528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5104;&#26412;&#24046;&#24322;&#31995;&#25968;032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0998;&#32423;&#23454;&#38469;&#25903;&#20986;&#2596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2522;&#30784;&#25968;&#25454;\08&#21160;&#24577;&#26597;&#35810;&#25968;&#2545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Documents%20and%20Settings\sz005933\&#26700;&#38754;\&#28145;&#22323;&#25311;&#25253;&#38134;&#30417;&#20250;&#25919;&#24220;&#24179;&#21488;&#28165;&#29702;&#22522;&#30784;&#3492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BSERVER\&#39044;&#31639;&#21496;\&#20849;&#20139;&#25968;&#25454;\&#21382;&#24180;&#20915;&#31639;\1996&#24180;\1996&#24180;&#30465;&#25253;&#20915;&#31639;\2021&#28246;&#21271;&#30465;.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2522;&#30784;&#25968;&#25454;&#34920;03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Documents%20and%20Settings\User\&#26700;&#38754;\&#35838;&#39064;\&#26032;&#24314;&#25991;&#20214;&#22841;\&#35838;&#39064;&#3492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Z:\bugdet-server\&#20307;&#21046;&#31649;&#29702;&#22788;\02&#19968;&#33324;&#36716;&#31227;&#25903;&#20184;\2014&#24180;&#22343;&#34913;&#24615;&#36716;&#31227;&#25903;&#20184;\02-&#21021;&#27493;&#32467;&#26524;\0421\&#24635;&#34920;-&#21152;&#35268;&#27169;&#21152;&#25903;&#20986;.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Z:\DOCUME~1\ADMINI~1\LOCALS~1\Temp\Rar$DI00.407\01&#36130;&#25919;&#21381;&#36164;&#26009;\01&#25919;&#24220;&#24615;&#20538;&#21153;\21&#34701;&#36164;&#24179;&#21488;&#31649;&#29702;\05&#23545;&#36134;&#24037;&#20316;\&#21508;&#22320;&#19978;&#25253;\&#20998;&#21439;&#21306;&#25910;&#38598;&#34920;&#26684;\03&#25856;&#26525;&#33457;\&#25856;&#26525;&#33457;&#24066;&#24066;&#26412;&#32423;&#36335;&#26725;&#24314;&#35774;&#24320;&#21457;&#26377;&#38480;&#36131;&#20219;&#20844;&#21496;&#20538;&#21153;&#28165;&#29702;&#26680;&#23454;&#24773;&#20917;&#3492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bugdet-server\&#20538;&#21153;&#22788;\&#21016;&#20122;&#20255;\7000%20&#27979;&#31639;\&#21496;&#39046;&#23548;&#12304;&#20851;&#20110;7000&#20159;&#20803;&#22312;&#24314;&#39033;&#30446;&#21518;&#32493;&#34701;&#36164;&#20538;&#21153;&#36164;&#37329;&#20998;&#37197;&#26377;&#20851;&#38382;&#39064;&#30340;&#35831;&#31034;&#12305;&#65288;20150730&#65289;&#12304;3&#31295;&#65292;&#26681;&#25454;&#38472;&#21496;&#38271;&#24847;&#35265;&#25913;&#65293;&#21016;&#22635;&#25968;&#12305;\2015&#24180;&#22312;&#24314;&#39033;&#30446;&#21450;&#26842;&#25143;&#21306;&#25913;&#36896;&#34920;\00%20&#27719;&#24635;&#34920;\06%20&#36797;&#23425;&#30465;\&#36797;&#23425;.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10.128.2.15\&#21508;&#22320;&#39044;&#31639;\&#36130;&#25919;&#20379;&#20859;&#20154;&#21592;&#20449;&#24687;&#34920;\&#25945;&#32946;\&#27896;&#27700;&#22235;&#20013;.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Budgetserver\&#39044;&#31639;&#21496;\BY\YS3\97&#20915;&#31639;&#21306;&#21439;&#26368;&#21518;&#27719;&#24635;.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F:\Documents%20and%20Settings\Administrator\Application%20Data\Microsoft\Excel\&#19977;&#26041;&#23545;&#36134;&#21333;%20(version%201).xlsb"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23609;&#26446;&#23792;\02&#25919;&#24220;&#20538;&#21048;\01.&#19968;&#33324;&#20538;&#21048;\2011&#24180;&#22320;&#26041;&#25919;&#24220;&#20538;&#21048;\&#25353;&#27969;&#31243;\02&#35268;&#27169;&#27979;&#31639;\&#21608;&#23045;\03&#20538;&#21153;&#25253;&#34920;\&#27719;&#24635;\2009\2010&#24180;10&#26376;\2009&#24180;&#20538;&#21153;&#20998;&#26512;&#34920;&#65288;20101026&#25171;&#21360;&#31295;&#65289;\07&#26684;&#24335;\2009&#22522;&#26412;&#24773;&#20917;&#65288;1026&#25171;&#21360;&#65289;.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Documents%20and%20Settings\Administrator\Application%20Data\Microsoft\Excel\2007&#24180;&#22320;&#26041;&#25919;&#24220;&#24615;&#20538;&#21153;&#25253;&#34920;&#27719;&#24635;&#65288;20080708&#65289;&#12304;&#23450;&#31295;&#12305;.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E:\bugdet-server\&#22320;&#26041;&#22788;\05&#22320;&#26041;&#20915;&#31639;\&#20004;&#32423;&#32467;&#31639;\2014&#24180;&#32467;&#31639;\&#20004;&#32423;&#32467;&#31639;&#19982;&#22320;&#26041;&#23545;&#36134;\&#31532;&#19977;&#27425;&#23545;&#36134;\2014&#24180;&#23545;&#36134;&#21333;(20150408&#65289;-&#31532;&#19977;&#27425;&#23545;&#3613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22320;&#26041;&#22788;&#20027;&#26426;\&#22320;&#26041;&#22788;&#20027;&#26426;\Documents%20and%20Settings\User\&#26700;&#38754;\&#35838;&#39064;\&#26032;&#24314;&#25991;&#20214;&#22841;\&#35838;&#39064;&#34920;.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E:\bugdet-server\&#20538;&#21153;&#22788;\&#21016;&#20122;&#20255;\7000%20&#27979;&#31639;\&#21496;&#39046;&#23548;&#12304;&#20851;&#20110;7000&#20159;&#20803;&#22312;&#24314;&#39033;&#30446;&#21518;&#32493;&#34701;&#36164;&#20538;&#21153;&#36164;&#37329;&#20998;&#37197;&#26377;&#20851;&#38382;&#39064;&#30340;&#35831;&#31034;&#12305;&#65288;20150730&#65289;&#12304;3&#31295;&#65292;&#26681;&#25454;&#38472;&#21496;&#38271;&#24847;&#35265;&#25913;&#65293;&#21016;&#22635;&#25968;&#12305;\2015&#24180;&#22312;&#24314;&#39033;&#30446;&#21450;&#26842;&#25143;&#21306;&#25913;&#36896;&#34920;\00%20&#27719;&#24635;&#34920;\06%20&#36797;&#23425;&#30465;\&#36797;&#23425;.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39044;&#31639;&#8730;\&#21508;&#24180;&#39044;&#31639;&#35843;&#25972;&#36164;&#26009;&#8730;\2022&#24180;&#39044;&#31639;&#35843;&#25972;\2.&#31532;&#20108;&#27425;&#39044;&#31639;&#35843;&#25972;\ok&#29256;\&#27733;&#22836;&#24066;&#28640;&#27743;&#21306;2021&#24180;&#25919;&#24220;&#39044;&#31639;&#35843;&#25972;&#33609;&#26696;&#65288;&#25972;&#21512;&#29256;&#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INSERVER\private\XHC\XLS\XJ.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Administrator\Application%20Data\Microsoft\Excel\&#19977;&#26041;&#23545;&#36134;&#21333;%20(version%201).xlsb"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1.2.7\&#37329;&#34701;&#31185;\Users\sucy\AppData\Local\Temp\NTKOFTmpFiles\04-&#22269;&#21153;&#38498;&#19987;&#39033;&#35843;&#30740;\201709090%20&#22320;&#26041;&#19978;&#25253;&#38544;&#24615;&#20538;&#21153;&#25237;&#21521;&#24773;&#20917;&#65288;&#27743;&#33487;&#12289;&#28246;&#21335;&#12289;&#20113;&#21335;&#12289;&#20869;&#33945;&#21476;&#12289;&#40657;&#40857;&#27743;&#25968;&#25454;&#65289;&#12304;&#20998;&#39033;&#30446;&#31867;&#22411;&#12305;\&#34917;&#20805;&#39033;&#30446;&#31867;&#22411;\2017&#24180;\&#25919;&#24220;&#24615;&#20538;&#21153;\20170829%20%20&#21452;&#23792;&#38544;&#24615;&#20538;&#21153;&#32479;&#35745;&#22871;&#34920;--&#34917;&#39033;&#30446;&#31867;&#22411;\&#21508;&#21333;&#20301;&#19978;&#25253;\&#22478;&#24314;&#25237;%20%20&#21452;%20&#23792;&#38544;&#24615;&#20538;&#21153;&#32479;&#35745;&#22871;&#34920;--&#34917;&#39033;&#30446;&#31867;&#2241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128.2.15\&#21508;&#22320;&#39044;&#31639;\bugdet-server\BY\YS3\97&#20915;&#31639;&#21306;&#21439;&#26368;&#21518;&#27719;&#2463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国家"/>
      <sheetName val="国家增长"/>
      <sheetName val="图表1"/>
      <sheetName val="收入增长"/>
      <sheetName val="图表3"/>
      <sheetName val="收入比重"/>
      <sheetName val="Sheet1"/>
      <sheetName val="中央"/>
      <sheetName val="中央增长"/>
      <sheetName val="地方"/>
      <sheetName val="地方增长"/>
      <sheetName val="所得税"/>
      <sheetName val="下拉选项"/>
      <sheetName val="Sheet2"/>
      <sheetName val="mmm"/>
      <sheetName val="基础编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封面"/>
      <sheetName val="表1"/>
      <sheetName val="表2"/>
      <sheetName val="表3"/>
      <sheetName val="表4"/>
      <sheetName val="表5"/>
      <sheetName val="表6"/>
      <sheetName val="Sheet1"/>
      <sheetName val="项目类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表1 （打印版）"/>
      <sheetName val="表2 （市县打印版）"/>
      <sheetName val="表3（打印版）"/>
      <sheetName val="表4"/>
      <sheetName val="表5"/>
      <sheetName val="表6"/>
      <sheetName val="项目类型"/>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封面"/>
      <sheetName val="目录"/>
      <sheetName val="1-1.资金来源汇总表"/>
      <sheetName val="1-2.资金投向汇总表"/>
      <sheetName val="1-3.政府承诺偿还的债务余额明细表"/>
      <sheetName val="1-4.政府提供担保的债务余额明细表"/>
      <sheetName val="2-1.政府支出事项总表"/>
      <sheetName val="2-2.政府支出事项对应项目情况"/>
      <sheetName val="2-3.政府支出事项明细表 "/>
      <sheetName val="下拉选项"/>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1.2020年地方政府新增债券需求情况汇总表"/>
      <sheetName val="提前批"/>
      <sheetName val="第2批一般债券"/>
      <sheetName val="第2批专项债券"/>
      <sheetName val="项目类型1"/>
      <sheetName val="第2批专项债券（简表）"/>
      <sheetName val="DB"/>
      <sheetName val="db3"/>
    </sheetNames>
    <sheetDataSet>
      <sheetData sheetId="0"/>
      <sheetData sheetId="1"/>
      <sheetData sheetId="2"/>
      <sheetData sheetId="3"/>
      <sheetData sheetId="4"/>
      <sheetData sheetId="5"/>
      <sheetData sheetId="6"/>
      <sheetData sheetId="7"/>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图数据表"/>
      <sheetName val="1-1风险分析表"/>
      <sheetName val="1-2市级风险分析"/>
      <sheetName val="1-3风险分析"/>
      <sheetName val="1-4余额表"/>
      <sheetName val="1-5余额结构表"/>
      <sheetName val="1-6余额增长情况图"/>
      <sheetName val="1-7余额增长表一"/>
      <sheetName val="1-8余额增长表二"/>
      <sheetName val="1-9余额构成图"/>
      <sheetName val="1-10余额分布图"/>
      <sheetName val="1-11余额人均排序表"/>
      <sheetName val="1-12负债率表"/>
      <sheetName val="1-13债务率表"/>
      <sheetName val="1-14资金性质表"/>
      <sheetName val="1-15资金性质分级表一"/>
      <sheetName val="1-16资金性质分级表二"/>
      <sheetName val="1-17资金性质分级表三"/>
      <sheetName val="1-18直接债务资金性质表"/>
      <sheetName val="1-19担保债务资金性质表"/>
      <sheetName val="1-20资金性质增长表"/>
      <sheetName val="1-21资金性质分级增长表一"/>
      <sheetName val="1-22资金性质分级增长表二"/>
      <sheetName val="1-23资金性质分级增长表三"/>
      <sheetName val="1-24直接债务资金性质增长表"/>
      <sheetName val="1-25担保债务资金性质增长表"/>
      <sheetName val="2-1余额分级表"/>
      <sheetName val="2-2余额分级增长表1"/>
      <sheetName val="2-3余额分级增长表2"/>
      <sheetName val="2-4直接分级表"/>
      <sheetName val="2-5直接分级增长表"/>
      <sheetName val="2-6担保分级表"/>
      <sheetName val="2-7担保分级增长表"/>
      <sheetName val="2-8余额分部门1"/>
      <sheetName val="2-9余额分部门2"/>
      <sheetName val="2-10余额分部门增长图"/>
      <sheetName val="2-11余额分部门增长表1"/>
      <sheetName val="2-12余额分部门增长表2"/>
      <sheetName val="2-13余额分部门增长表3"/>
      <sheetName val="2-14余额分部门增长表4"/>
      <sheetName val="2-15余额分部门增长表5"/>
      <sheetName val="2-16直接分部门1"/>
      <sheetName val="2-17直接分部门2"/>
      <sheetName val="2-18直接分部门增长表1"/>
      <sheetName val="2-19直接分部门增长表2"/>
      <sheetName val="2-20直接分部门增长表3"/>
      <sheetName val="2-21直接分部门增长表4"/>
      <sheetName val="2-22直接分部门增长表5"/>
      <sheetName val="2-23担保分部门1"/>
      <sheetName val="2-24担保分部门2"/>
      <sheetName val="2-25担保分部门增长表1"/>
      <sheetName val="2-26担保分部门增长表2"/>
      <sheetName val="2-27担保分部门增长表3"/>
      <sheetName val="2-28担保分部门增长表4"/>
      <sheetName val="2-29担保分部门增长表5"/>
      <sheetName val="2-13余额分部门增长表1 (机关)"/>
      <sheetName val="2-14余额分部门增长表2 (机关)"/>
      <sheetName val="2-15余额分部门增长表3 (机关)"/>
      <sheetName val="2-16余额分部门增长表4 (机关)"/>
      <sheetName val="2-17余额分部门增长表5 (机关)"/>
      <sheetName val="2-18直接分部门增长表1 (机关)"/>
      <sheetName val="2-19直接分部门增长表2 (机关)"/>
      <sheetName val="2-20直接分部门增长表3 (机关)"/>
      <sheetName val="2-21直接分部门增长表4 (机关)"/>
      <sheetName val="2-22直接分部门增长表5 (机关)"/>
      <sheetName val="2-33担保分部门增长表1 (机关)"/>
      <sheetName val="2-34担保分部门增长表2 (机关)"/>
      <sheetName val="2-35担保分部门增长表3 (机关)"/>
      <sheetName val="2-36担保分部门增长表4 (机关)"/>
      <sheetName val="2-37担保分部门增长表5 (机关)"/>
      <sheetName val="余额直接_机关"/>
      <sheetName val="余额担保_机关"/>
      <sheetName val="2-13余额分部门增长表1 (事业)"/>
      <sheetName val="2-14余额分部门增长表2 (事业)"/>
      <sheetName val="2-15余额分部门增长表3 (事业)"/>
      <sheetName val="2-16余额分部门增长表4 (事业)"/>
      <sheetName val="2-17余额分部门增长表5 (事业)"/>
      <sheetName val="2-18直接分部门增长表1 (事业)"/>
      <sheetName val="2-19直接分部门增长表2 (事业)"/>
      <sheetName val="2-20直接分部门增长表3 (事业)"/>
      <sheetName val="2-21直接分部门增长表4 (事业)"/>
      <sheetName val="2-22直接分部门增长表5 (事业)"/>
      <sheetName val="2-33担保分部门增长表1 (事业)"/>
      <sheetName val="2-34担保分部门增长表2 (事业)"/>
      <sheetName val="2-35担保分部门增长表3 (事业)"/>
      <sheetName val="2-36担保分部门增长表4 (事业)"/>
      <sheetName val="2-37担保分部门增长表5 (事业)"/>
      <sheetName val="余额直接_事业"/>
      <sheetName val="余额担保_事业"/>
      <sheetName val="2-13余额分部门增长表1 (融资平台公司)"/>
      <sheetName val="2-14余额分部门增长表2 (融资平台公司)"/>
      <sheetName val="2-15余额分部门增长表3 (融资平台公司)"/>
      <sheetName val="2-16余额分部门增长表4 (融资平台公司)"/>
      <sheetName val="2-17余额分部门增长表5 (融资平台公司)"/>
      <sheetName val="2-18直接分部门增长表1 (融资平台公司)"/>
      <sheetName val="2-19直接分部门增长表2 (融资平台公司)"/>
      <sheetName val="2-20直接分部门增长表3 (融资平台公司)"/>
      <sheetName val="2-21直接分部门增长表4 (融资平台公司)"/>
      <sheetName val="2-22直接分部门增长表5 (融资平台公司)"/>
      <sheetName val="2-33担保分部门增长表1 (融资平台公司)"/>
      <sheetName val="2-34担保分部门增长表2 (融资平台公司)"/>
      <sheetName val="2-35担保分部门增长表3 (融资平台公司)"/>
      <sheetName val="2-36担保分部门增长表4 (融资平台公司)"/>
      <sheetName val="2-37担保分部门增长表5 (融资平台公司)"/>
      <sheetName val="余额直接_融资平台公司"/>
      <sheetName val="余额担保_融资平台公司"/>
      <sheetName val="3-1机关余额分部门1"/>
      <sheetName val="3-1机关余额分部门2"/>
      <sheetName val="3-3机关直接分部门1"/>
      <sheetName val="3-3机关直接分部门2"/>
      <sheetName val="3-7机关担保分部门1"/>
      <sheetName val="3-7机关担保分部门2"/>
      <sheetName val="3-1事业余额分部门1"/>
      <sheetName val="3-1事业余额分部门"/>
      <sheetName val="3-3事业直接分部门1"/>
      <sheetName val="3-3事业直接分部门2"/>
      <sheetName val="3-7事业担保分部门1"/>
      <sheetName val="3-7事业担保分部门2"/>
      <sheetName val="3-1_融资平台公司余额分部门1"/>
      <sheetName val="3-1_融资平台公司余额分部门"/>
      <sheetName val="3-3_融资平台公司直接分部门1"/>
      <sheetName val="3-3_融资平台公司直接分部门2"/>
      <sheetName val="3-7_融资平台公司担保分部门1"/>
      <sheetName val="3-7_融资平台公司担保分部门2"/>
      <sheetName val="4-1余额来源表"/>
      <sheetName val="4-2余额来源比重表"/>
      <sheetName val="4-3余额来源增长表"/>
      <sheetName val="(来源)债务债权－机关"/>
      <sheetName val="(来源)债务债权－事业单位"/>
      <sheetName val="(来源)债务债权-融资平台公司"/>
      <sheetName val="(余额)年初-年末"/>
      <sheetName val="4-4来源构成图"/>
      <sheetName val="4-5来源构成图(银行存款)"/>
      <sheetName val="4-6来源情况图"/>
      <sheetName val="5-1当年收支平衡表"/>
      <sheetName val="5-2当年余额变动表"/>
      <sheetName val="5-3当年收入分部门表1"/>
      <sheetName val="5-4当年收入分部门表2"/>
      <sheetName val="5-5当年支出分部门表1"/>
      <sheetName val="5-6当年支出分部门表2"/>
      <sheetName val="5-7当年支出用途1"/>
      <sheetName val="5-8当年支出用途2"/>
      <sheetName val="5-7当年支出用途"/>
      <sheetName val="5-7当年支出用途1 (省)"/>
      <sheetName val="5-8当年支出用途2 (省)"/>
      <sheetName val="5-7当年支出用途1 (市)"/>
      <sheetName val="5-8当年支出用途2 (市)"/>
      <sheetName val="5-7当年支出用途1 (县)"/>
      <sheetName val="5-8当年支出用途2 (县)"/>
      <sheetName val="5-9当年偿本付息表"/>
      <sheetName val="5-10偿还来源结构"/>
      <sheetName val="5-11偿还计划"/>
      <sheetName val="6-1历年来政府性债务统计情况"/>
      <sheetName val="6-2历年来总额分地区"/>
      <sheetName val="6-3历年来直接债务分地区"/>
      <sheetName val="6-4历年来担保债务分地区"/>
      <sheetName val="6-5历年来债务（省级）"/>
      <sheetName val="6-6历年来债务（市级）"/>
      <sheetName val="6-7历年来债务（县级）"/>
      <sheetName val="6-8历年来债务（乡镇）"/>
      <sheetName val="6-9历年来债务分来源表1（金融机构）"/>
      <sheetName val="6-10历年来债务分来源表2（上级财政）"/>
      <sheetName val="6-11历年来债务分来源表3（其他）"/>
      <sheetName val="6-12历年来人均债务排序表"/>
      <sheetName val="6-13历年来各地区负债率表"/>
      <sheetName val="6-14历年来各地区债务率表"/>
      <sheetName val="6-15历年来逾期债务表"/>
      <sheetName val="6-16历年来逾期率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hap5_4"/>
      <sheetName val="chap5_3"/>
      <sheetName val="chap5_2"/>
      <sheetName val="Chap5_1"/>
    </sheetNames>
    <sheetDataSet>
      <sheetData sheetId="0"/>
      <sheetData sheetId="1"/>
      <sheetData sheetId="2"/>
      <sheetData sheetId="3"/>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efine"/>
      <sheetName val="StartUp"/>
      <sheetName val="StartUp_2"/>
      <sheetName val="StartUp_3"/>
      <sheetName val="StartUp_4"/>
      <sheetName val="StartUp_5"/>
      <sheetName val="StartUp_6"/>
      <sheetName val="StartUp_7"/>
      <sheetName val="StartUp_8"/>
      <sheetName val="StartUp_9"/>
      <sheetName val="StartUp_10"/>
      <sheetName val="StartUp_11"/>
      <sheetName val="StartUp_12"/>
      <sheetName val="债券分配统计（未调整前）"/>
      <sheetName val="分配计算表（非扩权县）"/>
      <sheetName val="分配计算表（扩权县）"/>
      <sheetName val="基础数据汇总表"/>
      <sheetName val="基1项目需求"/>
      <sheetName val="基2举债空间"/>
      <sheetName val="需财政资金偿还债务"/>
      <sheetName val="债务逾期表"/>
      <sheetName val="2010年财力表"/>
      <sheetName val="04-09可用财力"/>
      <sheetName val="融资平台投资需求"/>
      <sheetName val="公路里程"/>
      <sheetName val="基础编码"/>
      <sheetName val="1-4余额表"/>
      <sheetName val="C01-1"/>
      <sheetName val="差异系数"/>
      <sheetName val="data"/>
      <sheetName val="中央"/>
      <sheetName val="P1012001"/>
      <sheetName val="基础数据"/>
      <sheetName val="01北京市"/>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代码对比表"/>
      <sheetName val="d"/>
      <sheetName val="data"/>
      <sheetName val="差异系数"/>
      <sheetName val="经费权重"/>
      <sheetName val="Total"/>
      <sheetName val="rkgm"/>
      <sheetName val="rkmj"/>
      <sheetName val="wdxs"/>
      <sheetName val="hbxs"/>
      <sheetName val="1-1余额表"/>
      <sheetName val="2-11担保分级表"/>
      <sheetName val="2-7一般分级表"/>
      <sheetName val="2-1余额分级表"/>
      <sheetName val="2-5直接分级表"/>
      <sheetName val="2-9专项分级表"/>
      <sheetName val="基础数据"/>
      <sheetName val="中央"/>
      <sheetName val="公路里程"/>
      <sheetName val="区划对应表"/>
      <sheetName val="基础编码"/>
      <sheetName val="四月份月报"/>
      <sheetName val="Sheet1"/>
      <sheetName val="1-4余额表"/>
      <sheetName val="P1012001"/>
      <sheetName val="参数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2007"/>
      <sheetName val="2009"/>
      <sheetName val="第6行"/>
      <sheetName val="动态分析报表"/>
      <sheetName val="C01-1"/>
      <sheetName val="公路里程"/>
      <sheetName val="参数表"/>
      <sheetName val="差异系数"/>
      <sheetName val="data"/>
      <sheetName val="中央"/>
      <sheetName val="01北京市"/>
      <sheetName val="经费权重"/>
      <sheetName val="四月份月报"/>
      <sheetName val="Sheet1"/>
      <sheetName val="P1012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L24"/>
      <sheetName val="08村级"/>
      <sheetName val="经费权重"/>
      <sheetName val="参数表"/>
      <sheetName val="2009"/>
      <sheetName val="分县数据"/>
      <sheetName val="基础编码"/>
      <sheetName val="公路里程"/>
      <sheetName val="差异系数"/>
      <sheetName val="data"/>
      <sheetName val="区划对应表"/>
      <sheetName val="中央"/>
      <sheetName val="有效性列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国家"/>
      <sheetName val="国家增长"/>
      <sheetName val="图表1"/>
      <sheetName val="收入增长"/>
      <sheetName val="图表3"/>
      <sheetName val="收入比重"/>
      <sheetName val="Sheet1"/>
      <sheetName val="中央"/>
      <sheetName val="中央增长"/>
      <sheetName val="地方"/>
      <sheetName val="地方增长"/>
      <sheetName val="所得税"/>
      <sheetName val="人民银行"/>
      <sheetName val="P1012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封面"/>
      <sheetName val="目录"/>
      <sheetName val="逻辑关系图"/>
      <sheetName val="1-1余额表"/>
      <sheetName val="1-2余额结构表"/>
      <sheetName val="1-3余额增长表一"/>
      <sheetName val="1-4余额增长表二"/>
      <sheetName val="1-5余额增长表三"/>
      <sheetName val="1-6余额构成图"/>
      <sheetName val="1-7余额分布图"/>
      <sheetName val="1-8余额人均排序表"/>
      <sheetName val="1-9负债率表"/>
      <sheetName val="财力"/>
      <sheetName val="1-10债务率表"/>
      <sheetName val="2-1余额分级表"/>
      <sheetName val="2-2余额分级图"/>
      <sheetName val="2-3余额分级增长表1"/>
      <sheetName val="2-4余额分级增长表2"/>
      <sheetName val="2-5直接分级表"/>
      <sheetName val="2-6直接分级增长表"/>
      <sheetName val="2-7一般分级表"/>
      <sheetName val="2-8一般分级增长表"/>
      <sheetName val="2-9专项分级表"/>
      <sheetName val="2-10专项分级增长表"/>
      <sheetName val="2-11担保分级表"/>
      <sheetName val="2-12担保分级增长表"/>
      <sheetName val="3-1余额分部门1"/>
      <sheetName val="3-1余额分部门2"/>
      <sheetName val="3-2余额分部门比重1"/>
      <sheetName val="3-2余额分部门比重2"/>
      <sheetName val="3-3直接分部门1"/>
      <sheetName val="3-3直接分部门2"/>
      <sheetName val="3-4直接分部门比重1"/>
      <sheetName val="3-4直接分部门比重2"/>
      <sheetName val="3-5一般分部门1"/>
      <sheetName val="3-5一般分部门2"/>
      <sheetName val="3-6专项分部门1"/>
      <sheetName val="3-6专项分部门2"/>
      <sheetName val="3-7担保分部门1"/>
      <sheetName val="3-7担保分部门2"/>
      <sheetName val="2-13余额分部门增长表1"/>
      <sheetName val="2-14余额分部门增长表2"/>
      <sheetName val="2-15余额分部门增长表3"/>
      <sheetName val="2-16余额分部门增长表4"/>
      <sheetName val="2-17余额分部门增长表5"/>
      <sheetName val="2-18直接分部门增长表1"/>
      <sheetName val="2-19直接分部门增长表2"/>
      <sheetName val="2-20直接分部门增长表3"/>
      <sheetName val="2-21直接分部门增长表4"/>
      <sheetName val="2-22直接分部门增长表5"/>
      <sheetName val="2-23一般分部门增长表1"/>
      <sheetName val="2-24一般分部门增长表2"/>
      <sheetName val="2-25一般分部门增长表3"/>
      <sheetName val="2-26一般分部门增长表4"/>
      <sheetName val="2-27一般分部门增长表5"/>
      <sheetName val="2-28专项分部门增长表1"/>
      <sheetName val="2-29专项分部门增长表2"/>
      <sheetName val="2-30专项分部门增长表3"/>
      <sheetName val="2-31专项分部门增长表4"/>
      <sheetName val="2-32专项分部门增长表5"/>
      <sheetName val="2-33担保分部门增长表1"/>
      <sheetName val="2-34担保分部门增长表2"/>
      <sheetName val="2-35担保分部门增长表3"/>
      <sheetName val="2-36担保分部门增长表4"/>
      <sheetName val="2-37担保分部门增长表5"/>
      <sheetName val="4-1余额逾期"/>
      <sheetName val="4-2余额vs逾期图"/>
      <sheetName val="4-3余额逾期增长"/>
      <sheetName val="4-4余额逾期分级"/>
      <sheetName val="4-5直接逾期"/>
      <sheetName val="4-6直接逾期分级"/>
      <sheetName val="4-7担保逾期"/>
      <sheetName val="4-8担保逾期分级"/>
      <sheetName val="4-9当年逾期增减"/>
      <sheetName val="5-1余额来源表"/>
      <sheetName val="5-2余额来源比重表"/>
      <sheetName val="5-3余额来源增长表"/>
      <sheetName val="5-4余额来源构成图"/>
      <sheetName val="5-5余额来源情况图"/>
      <sheetName val="6-1当年收支平衡表"/>
      <sheetName val="6-2当年余额变动表"/>
      <sheetName val="6-3当年收入分部门表1"/>
      <sheetName val="6-3当年收入分部门表2"/>
      <sheetName val="6-4当年支出分部门表1"/>
      <sheetName val="6-4当年支出分部门表2"/>
      <sheetName val="6-5当年支出用途1"/>
      <sheetName val="6-5当年支出用途2"/>
      <sheetName val="6-6当年偿本付息表"/>
      <sheetName val="6-7偿还计划"/>
      <sheetName val="〇七年初"/>
      <sheetName val="县级表"/>
      <sheetName val="风险指标"/>
      <sheetName val="2006年末"/>
      <sheetName val="〇六年末整理"/>
      <sheetName val="年末"/>
      <sheetName val="基础表"/>
      <sheetName val="省级"/>
      <sheetName val="市级表"/>
      <sheetName val="编码"/>
      <sheetName val="图数据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efine"/>
      <sheetName val="2014年横排表"/>
      <sheetName val="01北京市"/>
      <sheetName val="02天津市"/>
      <sheetName val="03河北省"/>
      <sheetName val="04山西省"/>
      <sheetName val="05内蒙古"/>
      <sheetName val="06辽宁省"/>
      <sheetName val="06辽宁地区"/>
      <sheetName val="07大连市"/>
      <sheetName val="08吉林省"/>
      <sheetName val="09黑龙江"/>
      <sheetName val="10上海市"/>
      <sheetName val="11江苏省"/>
      <sheetName val="12浙江省"/>
      <sheetName val="12浙江地区"/>
      <sheetName val="13宁波市"/>
      <sheetName val="14安徽省"/>
      <sheetName val="15福建省"/>
      <sheetName val="15福建地区"/>
      <sheetName val="16厦门市"/>
      <sheetName val="17江西省"/>
      <sheetName val="18山东省"/>
      <sheetName val="18山东地区"/>
      <sheetName val="19青岛市"/>
      <sheetName val="20河南省"/>
      <sheetName val="21湖北省"/>
      <sheetName val="22湖南省"/>
      <sheetName val="23广东省"/>
      <sheetName val="23广东地区"/>
      <sheetName val="24深圳市"/>
      <sheetName val="25广西自治区"/>
      <sheetName val="26海南省"/>
      <sheetName val="27重庆市"/>
      <sheetName val="28四川省"/>
      <sheetName val="29贵州省"/>
      <sheetName val="30云南省"/>
      <sheetName val="31西藏自治区"/>
      <sheetName val="32陕西省"/>
      <sheetName val="33甘肃省"/>
      <sheetName val="34青海省"/>
      <sheetName val="35宁夏自治区"/>
      <sheetName val="36新疆自治区"/>
      <sheetName val="2014年平衡"/>
      <sheetName val="2014年补助"/>
      <sheetName val="2014年上解"/>
      <sheetName val="分县数据"/>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区划对应表"/>
      <sheetName val="举借方式"/>
      <sheetName val="银行"/>
      <sheetName val="有效性列表"/>
      <sheetName val="00 目录"/>
      <sheetName val="公司债务项目情况表"/>
      <sheetName val="公司资产、在建项目情况表"/>
      <sheetName val="01个数"/>
      <sheetName val="02余额--汇总"/>
      <sheetName val="03来源--汇总"/>
      <sheetName val="04来源--省级"/>
      <sheetName val="05来源--市级"/>
      <sheetName val="06来源--县级"/>
      <sheetName val="08方式--省级"/>
      <sheetName val="09方式--市级"/>
      <sheetName val="10方式--县级"/>
      <sheetName val="07方式--汇总"/>
      <sheetName val="11资产负债--汇总"/>
      <sheetName val="12在建项目--汇总"/>
      <sheetName val="经费权重"/>
      <sheetName val="1-1余额表"/>
      <sheetName val="2-11担保分级表"/>
      <sheetName val="2-7一般分级表"/>
      <sheetName val="2-1余额分级表"/>
      <sheetName val="2-5直接分级表"/>
      <sheetName val="2-9专项分级表"/>
      <sheetName val="P1012001"/>
      <sheetName val="01北京市"/>
      <sheetName val="基础编码"/>
      <sheetName val="C01-1"/>
      <sheetName val="L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0000000"/>
      <sheetName val="StartUp"/>
      <sheetName val="StartUp_2"/>
      <sheetName val="StartUp_3"/>
      <sheetName val="StartUp_4"/>
      <sheetName val="StartUp_5"/>
      <sheetName val="StartUp_6"/>
      <sheetName val="StartUp_7"/>
      <sheetName val="StartUp_8"/>
      <sheetName val="StartUp_9"/>
      <sheetName val="StartUp_10"/>
      <sheetName val="StartUp_11"/>
      <sheetName val="StartUp_12"/>
      <sheetName val="StartUp_13"/>
      <sheetName val="StartUp_14"/>
      <sheetName val="StartUp_15"/>
      <sheetName val="StartUp_16"/>
      <sheetName val="StartUp_17"/>
      <sheetName val="StartUp_18"/>
      <sheetName val="StartUp_19"/>
      <sheetName val="StartUp_20"/>
      <sheetName val="StartUp_21"/>
      <sheetName val="StartUp_22"/>
      <sheetName val="StartUp_23"/>
      <sheetName val="StartUp_24"/>
      <sheetName val="StartUp_25"/>
      <sheetName val="StartUp_26"/>
      <sheetName val="StartUp_27"/>
      <sheetName val="StartUp_28"/>
      <sheetName val="StartUp_29"/>
      <sheetName val="StartUp_30"/>
      <sheetName val="StartUp_31"/>
      <sheetName val="StartUp_32"/>
      <sheetName val="StartUp_33"/>
      <sheetName val="StartUp_34"/>
      <sheetName val="StartUp_35"/>
      <sheetName val="StartUp_36"/>
      <sheetName val="StartUp_37"/>
      <sheetName val="StartUp_38"/>
      <sheetName val="StartUp_39"/>
      <sheetName val="StartUp_40"/>
      <sheetName val="StartUp_41"/>
      <sheetName val="StartUp_42"/>
      <sheetName val="StartUp_43"/>
      <sheetName val="StartUp_44"/>
      <sheetName val="StartUp_45"/>
      <sheetName val="StartUp_46"/>
      <sheetName val="StartUp_47"/>
      <sheetName val="StartUp_48"/>
      <sheetName val="StartUp_49"/>
      <sheetName val="StartUp_50"/>
      <sheetName val="StartUp_51"/>
      <sheetName val="StartUp_52"/>
      <sheetName val="StartUp_53"/>
      <sheetName val="StartUp_54"/>
      <sheetName val="StartUp_55"/>
      <sheetName val="StartUp_56"/>
      <sheetName val="StartUp_57"/>
      <sheetName val="StartUp_58"/>
      <sheetName val="StartUp_59"/>
      <sheetName val="StartUp_60"/>
      <sheetName val="StartUp_61"/>
      <sheetName val="StartUp_62"/>
      <sheetName val="StartUp_63"/>
      <sheetName val="StartUp_64"/>
      <sheetName val="StartUp_65"/>
      <sheetName val="StartUp_66"/>
      <sheetName val="StartUp_67"/>
      <sheetName val="StartUp_68"/>
      <sheetName val="StartUp_69"/>
      <sheetName val="StartUp_70"/>
      <sheetName val="StartUp_71"/>
      <sheetName val="StartUp_72"/>
      <sheetName val="StartUp_73"/>
      <sheetName val="StartUp_74"/>
      <sheetName val="StartUp_75"/>
      <sheetName val="StartUp_76"/>
      <sheetName val="StartUp_77"/>
      <sheetName val="StartUp_78"/>
      <sheetName val="StartUp_79"/>
      <sheetName val="StartUp_80"/>
      <sheetName val="StartUp_81"/>
      <sheetName val="StartUp_82"/>
      <sheetName val="StartUp_83"/>
      <sheetName val="StartUp_84"/>
      <sheetName val="StartUp_85"/>
      <sheetName val="StartUp_86"/>
      <sheetName val="StartUp_87"/>
      <sheetName val="StartUp_88"/>
      <sheetName val="StartUp_89"/>
      <sheetName val="StartUp_90"/>
      <sheetName val="StartUp_91"/>
      <sheetName val="StartUp_92"/>
      <sheetName val="StartUp_93"/>
      <sheetName val="StartUp_94"/>
      <sheetName val="StartUp_95"/>
      <sheetName val="StartUp_96"/>
      <sheetName val="StartUp_97"/>
      <sheetName val="StartUp_98"/>
      <sheetName val="StartUp_99"/>
      <sheetName val="StartUp_100"/>
      <sheetName val="StartUp_101"/>
      <sheetName val="StartUp_102"/>
      <sheetName val="StartUp_103"/>
      <sheetName val="StartUp_104"/>
      <sheetName val="StartUp_105"/>
      <sheetName val="StartUp_106"/>
      <sheetName val="StartUp_107"/>
      <sheetName val="StartUp_108"/>
      <sheetName val="StartUp_109"/>
      <sheetName val="StartUp_110"/>
      <sheetName val="StartUp_111"/>
      <sheetName val="StartUp_112"/>
      <sheetName val="StartUp_113"/>
      <sheetName val="StartUp_114"/>
      <sheetName val="StartUp_115"/>
      <sheetName val="StartUp_116"/>
      <sheetName val="StartUp_117"/>
      <sheetName val="StartUp_118"/>
      <sheetName val="StartUp_119"/>
      <sheetName val="StartUp_120"/>
      <sheetName val="StartUp_121"/>
      <sheetName val="StartUp_122"/>
      <sheetName val="StartUp_123"/>
      <sheetName val="StartUp_124"/>
      <sheetName val="StartUp_125"/>
      <sheetName val="StartUp_126"/>
      <sheetName val="StartUp_127"/>
      <sheetName val="StartUp_128"/>
      <sheetName val="StartUp_129"/>
      <sheetName val="StartUp_130"/>
      <sheetName val="StartUp_131"/>
      <sheetName val="StartUp_132"/>
      <sheetName val="StartUp_133"/>
      <sheetName val="StartUp_134"/>
      <sheetName val="StartUp_135"/>
      <sheetName val="StartUp_136"/>
      <sheetName val="StartUp_137"/>
      <sheetName val="StartUp_138"/>
      <sheetName val="StartUp_139"/>
      <sheetName val="StartUp_140"/>
      <sheetName val="StartUp_141"/>
      <sheetName val="StartUp_142"/>
      <sheetName val="StartUp_143"/>
      <sheetName val="StartUp_144"/>
      <sheetName val="StartUp_145"/>
      <sheetName val="StartUp_146"/>
      <sheetName val="StartUp_147"/>
      <sheetName val="StartUp_148"/>
      <sheetName val="StartUp_149"/>
      <sheetName val="StartUp_150"/>
      <sheetName val="StartUp_151"/>
      <sheetName val="StartUp_152"/>
      <sheetName val="StartUp_153"/>
      <sheetName val="StartUp_154"/>
      <sheetName val="StartUp_155"/>
      <sheetName val="StartUp_156"/>
      <sheetName val="StartUp_157"/>
      <sheetName val="StartUp_158"/>
      <sheetName val="StartUp_159"/>
      <sheetName val="StartUp_160"/>
      <sheetName val="StartUp_161"/>
      <sheetName val="StartUp_162"/>
      <sheetName val="StartUp_163"/>
      <sheetName val="StartUp_164"/>
      <sheetName val="StartUp_165"/>
      <sheetName val="StartUp_166"/>
      <sheetName val="StartUp_167"/>
      <sheetName val="StartUp_168"/>
      <sheetName val="StartUp_169"/>
      <sheetName val="StartUp_170"/>
      <sheetName val="StartUp_171"/>
      <sheetName val="StartUp_172"/>
      <sheetName val="StartUp_173"/>
      <sheetName val="StartUp_174"/>
      <sheetName val="StartUp_175"/>
      <sheetName val="StartUp_176"/>
      <sheetName val="StartUp_177"/>
      <sheetName val="StartUp_178"/>
      <sheetName val="StartUp_179"/>
      <sheetName val="StartUp_180"/>
      <sheetName val="StartUp_181"/>
      <sheetName val="StartUp_182"/>
      <sheetName val="StartUp_183"/>
      <sheetName val="StartUp_184"/>
      <sheetName val="StartUp_185"/>
      <sheetName val="StartUp_186"/>
      <sheetName val="StartUp_187"/>
      <sheetName val="StartUp_188"/>
      <sheetName val="StartUp_189"/>
      <sheetName val="StartUp_190"/>
      <sheetName val="StartUp_191"/>
      <sheetName val="StartUp_192"/>
      <sheetName val="StartUp_193"/>
      <sheetName val="StartUp_194"/>
      <sheetName val="StartUp_195"/>
      <sheetName val="StartUp_196"/>
      <sheetName val="StartUp_197"/>
      <sheetName val="StartUp_198"/>
      <sheetName val="StartUp_199"/>
      <sheetName val="StartUp_200"/>
      <sheetName val="StartUp_201"/>
      <sheetName val="StartUp_202"/>
      <sheetName val="StartUp_203"/>
      <sheetName val="StartUp_204"/>
      <sheetName val="StartUp_205"/>
      <sheetName val="StartUp_206"/>
      <sheetName val="StartUp_207"/>
      <sheetName val="StartUp_208"/>
      <sheetName val="StartUp_209"/>
      <sheetName val="StartUp_210"/>
      <sheetName val="StartUp_211"/>
      <sheetName val="StartUp_212"/>
      <sheetName val="StartUp_213"/>
      <sheetName val="StartUp_214"/>
      <sheetName val="StartUp_215"/>
      <sheetName val="StartUp_216"/>
      <sheetName val="StartUp_217"/>
      <sheetName val="StartUp_218"/>
      <sheetName val="StartUp_219"/>
      <sheetName val="StartUp_220"/>
      <sheetName val="StartUp_221"/>
      <sheetName val="StartUp_222"/>
      <sheetName val="StartUp_223"/>
      <sheetName val="StartUp_224"/>
      <sheetName val="StartUp_225"/>
      <sheetName val="StartUp_226"/>
      <sheetName val="StartUp_227"/>
      <sheetName val="StartUp_228"/>
      <sheetName val="StartUp_229"/>
      <sheetName val="StartUp_230"/>
      <sheetName val="StartUp_231"/>
      <sheetName val="StartUp_232"/>
      <sheetName val="StartUp_233"/>
      <sheetName val="StartUp_234"/>
      <sheetName val="StartUp_235"/>
      <sheetName val="StartUp_236"/>
      <sheetName val="StartUp_237"/>
      <sheetName val="StartUp_238"/>
      <sheetName val="StartUp_239"/>
      <sheetName val="StartUp_240"/>
      <sheetName val="StartUp_241"/>
      <sheetName val="StartUp_242"/>
      <sheetName val="StartUp_243"/>
      <sheetName val="StartUp_244"/>
      <sheetName val="StartUp_245"/>
      <sheetName val="StartUp_246"/>
      <sheetName val="StartUp_247"/>
      <sheetName val="StartUp_248"/>
      <sheetName val="StartUp_249"/>
      <sheetName val="StartUp_250"/>
      <sheetName val="StartUp_251"/>
      <sheetName val="StartUp_252"/>
      <sheetName val="StartUp_253"/>
      <sheetName val="StartUp_254"/>
      <sheetName val="StartUp_255"/>
      <sheetName val="StartUp_256"/>
      <sheetName val="StartUp_257"/>
      <sheetName val="StartUp_258"/>
      <sheetName val="StartUp_259"/>
      <sheetName val="StartUp_260"/>
      <sheetName val="StartUp_261"/>
      <sheetName val="StartUp_262"/>
      <sheetName val="StartUp_263"/>
      <sheetName val="StartUp_264"/>
      <sheetName val="StartUp_265"/>
      <sheetName val="StartUp_266"/>
      <sheetName val="StartUp_267"/>
      <sheetName val="StartUp_268"/>
      <sheetName val="StartUp_269"/>
      <sheetName val="StartUp_270"/>
      <sheetName val="StartUp_271"/>
      <sheetName val="StartUp_272"/>
      <sheetName val="StartUp_273"/>
      <sheetName val="StartUp_274"/>
      <sheetName val="StartUp_275"/>
      <sheetName val="StartUp_276"/>
      <sheetName val="StartUp_277"/>
      <sheetName val="StartUp_278"/>
      <sheetName val="StartUp_279"/>
      <sheetName val="StartUp_280"/>
      <sheetName val="StartUp_281"/>
      <sheetName val="StartUp_282"/>
      <sheetName val="StartUp_283"/>
      <sheetName val="StartUp_284"/>
      <sheetName val="StartUp_285"/>
      <sheetName val="StartUp_286"/>
      <sheetName val="StartUp_287"/>
      <sheetName val="StartUp_288"/>
      <sheetName val="StartUp_289"/>
      <sheetName val="StartUp_290"/>
      <sheetName val="StartUp_291"/>
      <sheetName val="StartUp_292"/>
      <sheetName val="StartUp_293"/>
      <sheetName val="StartUp_294"/>
      <sheetName val="StartUp_295"/>
      <sheetName val="StartUp_296"/>
      <sheetName val="StartUp_297"/>
      <sheetName val="StartUp_298"/>
      <sheetName val="StartUp_299"/>
      <sheetName val="StartUp_300"/>
      <sheetName val="StartUp_301"/>
      <sheetName val="StartUp_302"/>
      <sheetName val="StartUp_303"/>
      <sheetName val="StartUp_304"/>
      <sheetName val="StartUp_305"/>
      <sheetName val="StartUp_306"/>
      <sheetName val="StartUp_307"/>
      <sheetName val="StartUp_308"/>
      <sheetName val="StartUp_309"/>
      <sheetName val="StartUp_310"/>
      <sheetName val="StartUp_311"/>
      <sheetName val="StartUp_312"/>
      <sheetName val="StartUp_313"/>
      <sheetName val="StartUp_314"/>
      <sheetName val="StartUp_315"/>
      <sheetName val="StartUp_316"/>
      <sheetName val="StartUp_317"/>
      <sheetName val="StartUp_318"/>
      <sheetName val="StartUp_319"/>
      <sheetName val="StartUp_320"/>
      <sheetName val="StartUp_321"/>
      <sheetName val="StartUp_322"/>
      <sheetName val="StartUp_323"/>
      <sheetName val="StartUp_324"/>
      <sheetName val="StartUp_325"/>
      <sheetName val="StartUp_326"/>
      <sheetName val="StartUp_327"/>
      <sheetName val="StartUp_328"/>
      <sheetName val="StartUp_329"/>
      <sheetName val="StartUp_330"/>
      <sheetName val="StartUp_331"/>
      <sheetName val="StartUp_332"/>
      <sheetName val="StartUp_333"/>
      <sheetName val="StartUp_334"/>
      <sheetName val="StartUp_335"/>
      <sheetName val="StartUp_336"/>
      <sheetName val="StartUp_337"/>
      <sheetName val="StartUp_338"/>
      <sheetName val="StartUp_339"/>
      <sheetName val="StartUp_340"/>
      <sheetName val="StartUp_341"/>
      <sheetName val="StartUp_342"/>
      <sheetName val="StartUp_343"/>
      <sheetName val="StartUp_344"/>
      <sheetName val="StartUp_345"/>
      <sheetName val="StartUp_346"/>
      <sheetName val="StartUp_347"/>
      <sheetName val="StartUp_348"/>
      <sheetName val="StartUp_349"/>
      <sheetName val="StartUp_350"/>
      <sheetName val="StartUp_351"/>
      <sheetName val="StartUp_352"/>
      <sheetName val="StartUp_353"/>
      <sheetName val="StartUp_354"/>
      <sheetName val="StartUp_355"/>
      <sheetName val="StartUp_356"/>
      <sheetName val="StartUp_357"/>
      <sheetName val="StartUp_358"/>
      <sheetName val="StartUp_359"/>
      <sheetName val="StartUp_360"/>
      <sheetName val="StartUp_361"/>
      <sheetName val="StartUp_362"/>
      <sheetName val="StartUp_363"/>
      <sheetName val="StartUp_364"/>
      <sheetName val="StartUp_365"/>
      <sheetName val="StartUp_366"/>
      <sheetName val="StartUp_367"/>
      <sheetName val="StartUp_368"/>
      <sheetName val="StartUp_369"/>
      <sheetName val="StartUp_370"/>
      <sheetName val="StartUp_371"/>
      <sheetName val="StartUp_372"/>
      <sheetName val="StartUp_373"/>
      <sheetName val="StartUp_374"/>
      <sheetName val="StartUp_375"/>
      <sheetName val="StartUp_376"/>
      <sheetName val="StartUp_377"/>
      <sheetName val="StartUp_378"/>
      <sheetName val="区划对应表"/>
      <sheetName val="四川-对账表"/>
      <sheetName val="核对表"/>
      <sheetName val="四川-对账表 (2)"/>
      <sheetName val="四月份月报"/>
      <sheetName val="C01-1"/>
      <sheetName val="有效性列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代码对比表"/>
      <sheetName val="d"/>
      <sheetName val="data"/>
      <sheetName val="差异系数"/>
      <sheetName val="经费权重"/>
      <sheetName val="Total"/>
      <sheetName val="rkgm"/>
      <sheetName val="rkmj"/>
      <sheetName val="wdxs"/>
      <sheetName val="hbxs"/>
      <sheetName val="四月份月报"/>
      <sheetName val="国家"/>
      <sheetName val="P1012001"/>
      <sheetName val="Sheet1"/>
      <sheetName val="有效性列表"/>
      <sheetName val="区划对应表"/>
      <sheetName val="参数表"/>
      <sheetName val="分县数据"/>
      <sheetName val="公路里程"/>
      <sheetName val="人民银行"/>
      <sheetName val="01北京市"/>
      <sheetName val="L24"/>
      <sheetName val="中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录入13"/>
      <sheetName val="录入14"/>
      <sheetName val="合计"/>
      <sheetName val="分县数据"/>
      <sheetName val="P1012001"/>
      <sheetName val="区划对应表"/>
      <sheetName val="L24"/>
      <sheetName val="四月份月报"/>
      <sheetName val="经费权重"/>
      <sheetName val="国家"/>
      <sheetName val="总表"/>
      <sheetName val="Sheet1"/>
      <sheetName val="01北京市"/>
      <sheetName val="1-1余额表"/>
      <sheetName val="2-11担保分级表"/>
      <sheetName val="2-7一般分级表"/>
      <sheetName val="2-1余额分级表"/>
      <sheetName val="2-5直接分级表"/>
      <sheetName val="2-9专项分级表"/>
      <sheetName val="有效性列表"/>
      <sheetName val="公路里程"/>
      <sheetName val="中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heet1"/>
      <sheetName val="L24"/>
      <sheetName val="1-4余额表"/>
      <sheetName val="中央"/>
      <sheetName val="分县数据"/>
      <sheetName val="四月份月报"/>
      <sheetName val="参数表"/>
      <sheetName val="C01-1"/>
      <sheetName val="经费权重"/>
      <sheetName val="国家"/>
      <sheetName val="区划对应表"/>
      <sheetName val="下拉选项"/>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填报说明"/>
      <sheetName val="表A 政府平台明细"/>
      <sheetName val="表B 保障性住房明细"/>
      <sheetName val="表C 汇总表"/>
      <sheetName val="表D 8月放款客户"/>
      <sheetName val="表E 修改备忘"/>
      <sheetName val="参数表"/>
      <sheetName val="Sheet1"/>
      <sheetName val="分县数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01-1"/>
      <sheetName val="Define"/>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5f_x0000__x005f_x0000__x005f_x0000__x005f_x0000__x0"/>
      <sheetName val="分县数据"/>
      <sheetName val="_x005f_x005f_x005f_x0000__x005f_x005f_x005f_x0000__x005"/>
      <sheetName val="总表"/>
      <sheetName val="01北京市"/>
      <sheetName val="参数表"/>
      <sheetName val="经费权重"/>
      <sheetName val="_x005f_x0000__x005f_x0000__x005"/>
      <sheetName val="基础编码"/>
      <sheetName val="1-1余额表"/>
      <sheetName val="2-11担保分级表"/>
      <sheetName val="2-7一般分级表"/>
      <sheetName val="2-1余额分级表"/>
      <sheetName val="2-5直接分级表"/>
      <sheetName val="2-9专项分级表"/>
      <sheetName val="_x005f_x005f_x005f_x005f_x005f_x005f_x005f_x0000__x005f"/>
      <sheetName val="中央"/>
      <sheetName val="_x005f_x005f_x005f_x0000__x005f"/>
      <sheetName val="_x005f_x005f_x005f_x005f_"/>
      <sheetName val="_x005f_x005f_x005f_x005f_x005f_x005f_x005f_x005f_x005f_x005f_"/>
      <sheetName val="Sheet1"/>
      <sheetName val="_x005f_x005f_x005f_x005f_x005f_x005f_x005f_x005f_"/>
      <sheetName val="有效性列表"/>
      <sheetName val="区划对应表"/>
      <sheetName val="L24"/>
      <sheetName val="人民银行"/>
      <sheetName val="_x005f_x0000__x005f_x0000__x005f_x0000__x005f_x0000__x0"/>
      <sheetName val="_x005f_x005f_x005f_x0000__x005f_x005f_x005f_x0000__x005"/>
      <sheetName val="_x005f_x005f_x005f_x005f_x005f_x005f_x005f_x0000__x005f"/>
      <sheetName val="_x005f_x005f_x005f_x005f_x005f_x005f_x005f_x005f_x005f_x005f_"/>
      <sheetName val="_x005f_x005f_x005f_x005f_x005f_x005f_x005f_x005f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2007"/>
      <sheetName val="2008"/>
      <sheetName val="第6行"/>
      <sheetName val="动态分析报表"/>
      <sheetName val="区划对应表"/>
      <sheetName val="中央"/>
      <sheetName val="P1012001"/>
      <sheetName val="C01-1"/>
      <sheetName val="Sheet1"/>
      <sheetName val="总表"/>
      <sheetName val="经费权重"/>
      <sheetName val="基础数据"/>
      <sheetName val="参数表"/>
      <sheetName val="国家"/>
      <sheetName val="分县数据"/>
      <sheetName val="1-1余额表"/>
      <sheetName val="2-11担保分级表"/>
      <sheetName val="2-7一般分级表"/>
      <sheetName val="2-1余额分级表"/>
      <sheetName val="2-5直接分级表"/>
      <sheetName val="2-9专项分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地方税"/>
      <sheetName val="中央"/>
      <sheetName val="地方"/>
      <sheetName val="可持续发展指数"/>
      <sheetName val="可持续发展指数 (2)"/>
      <sheetName val="各地区GDP增长"/>
      <sheetName val="各地区GDP增长 (2)"/>
      <sheetName val="历年总人口人均财力"/>
      <sheetName val="历年地方本级支出"/>
      <sheetName val="一般收入简表"/>
      <sheetName val="Sheet2 (2)"/>
      <sheetName val="05明细"/>
      <sheetName val="中央地方及比重 (2)"/>
      <sheetName val="人均支出"/>
      <sheetName val="93-04地方本级支出占地方总收入比重 (2)"/>
      <sheetName val="地方总收支比较"/>
      <sheetName val="GDP"/>
      <sheetName val="GDP (2)"/>
      <sheetName val="1)"/>
      <sheetName val="历年集中增量"/>
      <sheetName val="历年集中增量 (2)"/>
      <sheetName val="历年集中两税增量"/>
      <sheetName val="历年集中所得税增量"/>
      <sheetName val="05集中增量"/>
      <sheetName val="05多负担"/>
      <sheetName val="2005集中增量"/>
      <sheetName val="历年集中增量分配"/>
      <sheetName val="历年财力性转移支付增量"/>
      <sheetName val="历年专项转移支付增量"/>
      <sheetName val="05转移支付简"/>
      <sheetName val="依赖程度3(转移支付总额除地方本级支出)"/>
      <sheetName val="Sheet2"/>
      <sheetName val="Sheet1"/>
      <sheetName val="留用比例图"/>
      <sheetName val="财力自给率图"/>
      <sheetName val="财力自给率图(返还作为自有收入)"/>
      <sheetName val="总人口人均财力差异系数图"/>
      <sheetName val="财政供养人口人均财力差异系数图"/>
      <sheetName val="历年地方总收入"/>
      <sheetName val="历年地方本级收入"/>
      <sheetName val="历年留用比例"/>
      <sheetName val="93-04地方本级支出占地方总收入比重"/>
      <sheetName val="94-04财力自给率"/>
      <sheetName val="94-04财力自给率(返还作为自有收入)"/>
      <sheetName val="国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需要调整指标"/>
      <sheetName val="发文表数8296"/>
      <sheetName val="发文表数"/>
      <sheetName val="增长率"/>
      <sheetName val="总表"/>
      <sheetName val="标准收入"/>
      <sheetName val="标准支出"/>
      <sheetName val="转移支付系数"/>
      <sheetName val="困难程度系数"/>
      <sheetName val="奖励资金"/>
      <sheetName val="标准支出-对比"/>
      <sheetName val="特殊因素"/>
      <sheetName val="分省"/>
      <sheetName val="总人口人均"/>
      <sheetName val="分年分析"/>
      <sheetName val="2013总表"/>
      <sheetName val="2013收入"/>
      <sheetName val="2013支出"/>
      <sheetName val="少少数民族人口"/>
      <sheetName val="2012年平衡"/>
      <sheetName val="2012年补助"/>
      <sheetName val="2012年上解"/>
      <sheetName val="2012总表"/>
      <sheetName val="2012收入"/>
      <sheetName val="2012支出"/>
      <sheetName val="2010年平衡"/>
      <sheetName val="2010年补助"/>
      <sheetName val="2010年上解"/>
      <sheetName val="2011年平衡"/>
      <sheetName val="2011年补助"/>
      <sheetName val="2011年上解"/>
      <sheetName val="总表1"/>
      <sheetName val="标准支出 (2)"/>
      <sheetName val="2011年标准支出"/>
      <sheetName val="历年增长率"/>
      <sheetName val="困难程度系数 (2)"/>
      <sheetName val="P1012001"/>
      <sheetName val="L24"/>
      <sheetName val="有效性列表"/>
      <sheetName val="区划对应表"/>
      <sheetName val="基础数据"/>
      <sheetName val="中央"/>
      <sheetName val="2007"/>
      <sheetName val="C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StartUp"/>
      <sheetName val="区划对应表"/>
      <sheetName val="举借方式"/>
      <sheetName val="银行"/>
      <sheetName val="有效性列表"/>
      <sheetName val="00 目录"/>
      <sheetName val="封面"/>
      <sheetName val="公司债务项目情况表"/>
      <sheetName val="公司资产、在建项目情况表"/>
      <sheetName val="01个数"/>
      <sheetName val="02余额--汇总"/>
      <sheetName val="03来源--汇总"/>
      <sheetName val="04来源--省级"/>
      <sheetName val="05来源--市级"/>
      <sheetName val="06来源--县级"/>
      <sheetName val="07方式--汇总"/>
      <sheetName val="08方式--省级"/>
      <sheetName val="09方式--市级"/>
      <sheetName val="10方式--县级"/>
      <sheetName val="11资产负债--汇总"/>
      <sheetName val="12在建项目--汇总"/>
      <sheetName val="分县数据"/>
      <sheetName val="国家"/>
      <sheetName val="L24"/>
      <sheetName val="总表"/>
      <sheetName val="1-1余额表"/>
      <sheetName val="2-11担保分级表"/>
      <sheetName val="2-7一般分级表"/>
      <sheetName val="2-1余额分级表"/>
      <sheetName val="2-5直接分级表"/>
      <sheetName val="2-9专项分级表"/>
      <sheetName val="2007"/>
      <sheetName val="20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四月份月报"/>
      <sheetName val="C01-1"/>
      <sheetName val="本年收入合计"/>
      <sheetName val="封面"/>
      <sheetName val="农业用地"/>
      <sheetName val="村级支出"/>
      <sheetName val="类型"/>
      <sheetName val="#REF"/>
      <sheetName val="eqpmad2"/>
      <sheetName val="Sheet1"/>
      <sheetName val="国家"/>
      <sheetName val="中央"/>
      <sheetName val="公路里程"/>
      <sheetName val="有效性列表"/>
      <sheetName val="区划对应表"/>
      <sheetName val="参数表"/>
      <sheetName val="总表"/>
      <sheetName val="工商税收"/>
      <sheetName val="D011H403"/>
      <sheetName val="_ESList"/>
      <sheetName val="事业发展"/>
      <sheetName val="P1012001"/>
      <sheetName val="DDETABLE "/>
      <sheetName val="基础编码"/>
      <sheetName val="2014"/>
      <sheetName val="XL4Poppy"/>
      <sheetName val=""/>
      <sheetName val="#REF!"/>
      <sheetName val="_x005f_x0000__x005f_x0000__x005f_x0000__x005f_x0000__x0"/>
      <sheetName val="_x005f_x005f_x005f_x0000__x005f_x005f_x005f_x0000__x005"/>
      <sheetName val="1-4余额表"/>
      <sheetName val="_x005f_x005f_x005f_x005f_x005f_x005f_x005f_x0000__x005f"/>
      <sheetName val="????????"/>
      <sheetName val="????_x0"/>
      <sheetName val="_x005f_x005f_x005f_x005f_x005f_x005f_x005f_x005f_x005f_x005f_"/>
      <sheetName val="________"/>
      <sheetName val="_____x0"/>
      <sheetName val="公检法司编制"/>
      <sheetName val="行政编制"/>
      <sheetName val="农业人口"/>
      <sheetName val="_x005f_x0000__x005f_x0000__x005f_x0000__x005f_x0000__x0"/>
      <sheetName val="_x005f_x005f_x005f_x0000__x005f_x005f_x005f_x0000__x005"/>
      <sheetName val="_x005f_x005f_x005f_x005f_x005f_x005f_x005f_x0000__x005f"/>
      <sheetName val="_x005f_x005f_x005f_x005f_x005f_x005f_x005f_x005f_x005f_x005f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01 汇总表（下发数据内）"/>
      <sheetName val="02 项目统计表（下发数据内）"/>
      <sheetName val="01 汇总表（下发数据外）"/>
      <sheetName val="02 项目统计表（下发数据外）"/>
      <sheetName val="Sheet4"/>
      <sheetName val="基础数据"/>
    </sheetNames>
    <sheetDataSet>
      <sheetData sheetId="0"/>
      <sheetData sheetId="1"/>
      <sheetData sheetId="2"/>
      <sheetData sheetId="3"/>
      <sheetData sheetId="4"/>
      <sheetData sheetId="5"/>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 val="区划对应表"/>
      <sheetName val="国家"/>
      <sheetName val="基础数据"/>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1012001"/>
      <sheetName val="基础编码"/>
      <sheetName val="参数表"/>
      <sheetName val="2002年一般预算收入"/>
      <sheetName val="财政供养人员增幅"/>
      <sheetName val="工商税收"/>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2007"/>
      <sheetName val="农业人口"/>
      <sheetName val="本年收入合计"/>
      <sheetName val="事业发展"/>
      <sheetName val="基础数据"/>
      <sheetName val="1-4余额表"/>
      <sheetName val="Sheet1"/>
      <sheetName val="XL4Poppy"/>
      <sheetName val=""/>
      <sheetName val="_x005f_x0000__x005f_x0000__x005f_x0000__x005f_x0000__x0"/>
      <sheetName val="_x005f_x005f_x005f_x0000__x005f_x005f_x005f_x0000__x005"/>
      <sheetName val="20 运输公司"/>
      <sheetName val="_x005f_x005f_x005f_x005f_x005f_x005f_x005f_x0000__x005f"/>
      <sheetName val="市级专项格式"/>
      <sheetName val="经济科目"/>
      <sheetName val="维修租赁"/>
      <sheetName val="专项业务"/>
      <sheetName val="_x005f_x005f_x005f_x005f_x005f_x005f_x005f_x005f_x005f_x005f_"/>
      <sheetName val="行政区划"/>
      <sheetName val="POWER ASSUMPTIONS"/>
      <sheetName val="村级支出"/>
      <sheetName val="_x005f_x0000__x005f_x0000__x005f_x0000__x005f_x0000__x0"/>
      <sheetName val="_x005f_x005f_x005f_x0000__x005f_x005f_x005f_x0000__x005"/>
      <sheetName val="_x005f_x005f_x005f_x005f_x005f_x005f_x005f_x0000__x005f"/>
      <sheetName val="_x005f_x005f_x005f_x005f_x005f_x005f_x005f_x005f_x005f_x005f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人民银行"/>
      <sheetName val="银监部门"/>
      <sheetName val="财政部门"/>
      <sheetName val="三方对账表"/>
      <sheetName val="三方对账表 (2)"/>
      <sheetName val="三方对账表 (3)"/>
      <sheetName val="Sheet1"/>
      <sheetName val="下拉选项"/>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图数据表"/>
      <sheetName val="1-1风险分析表"/>
      <sheetName val="1-2市级风险分析"/>
      <sheetName val="1-3风险分析"/>
      <sheetName val="1-4余额表"/>
      <sheetName val="1-5余额结构表"/>
      <sheetName val="1-6余额增长情况图"/>
      <sheetName val="1-7余额增长表一"/>
      <sheetName val="1-8余额增长表二"/>
      <sheetName val="1-9余额构成图"/>
      <sheetName val="1-10余额分布图"/>
      <sheetName val="1-11余额人均排序表"/>
      <sheetName val="1-12负债率表"/>
      <sheetName val="1-13债务率表"/>
      <sheetName val="1-14资金性质表"/>
      <sheetName val="1-15资金性质分级表一"/>
      <sheetName val="1-16资金性质分级表二"/>
      <sheetName val="1-17资金性质分级表三"/>
      <sheetName val="1-18直接债务资金性质表"/>
      <sheetName val="1-19担保债务资金性质表"/>
      <sheetName val="1-20资金性质增长表"/>
      <sheetName val="1-21资金性质分级增长表一"/>
      <sheetName val="1-22资金性质分级增长表二"/>
      <sheetName val="1-23资金性质分级增长表三"/>
      <sheetName val="1-24直接债务资金性质增长表"/>
      <sheetName val="1-25担保债务资金性质增长表"/>
      <sheetName val="2-1余额分级表"/>
      <sheetName val="2-2余额分级增长表1"/>
      <sheetName val="2-3余额分级增长表2"/>
      <sheetName val="2-4直接分级表"/>
      <sheetName val="2-5直接分级增长表"/>
      <sheetName val="2-6担保分级表"/>
      <sheetName val="2-7担保分级增长表"/>
      <sheetName val="2-8余额分部门1"/>
      <sheetName val="2-9余额分部门2"/>
      <sheetName val="2-10余额分部门增长图"/>
      <sheetName val="2-11余额分部门增长表1"/>
      <sheetName val="2-12余额分部门增长表2"/>
      <sheetName val="2-13余额分部门增长表3"/>
      <sheetName val="2-14余额分部门增长表4"/>
      <sheetName val="2-15余额分部门增长表5"/>
      <sheetName val="2-16直接分部门1"/>
      <sheetName val="2-17直接分部门2"/>
      <sheetName val="2-18直接分部门增长表1"/>
      <sheetName val="2-19直接分部门增长表2"/>
      <sheetName val="2-20直接分部门增长表3"/>
      <sheetName val="2-21直接分部门增长表4"/>
      <sheetName val="2-22直接分部门增长表5"/>
      <sheetName val="2-23担保分部门1"/>
      <sheetName val="2-24担保分部门2"/>
      <sheetName val="2-25担保分部门增长表1"/>
      <sheetName val="2-26担保分部门增长表2"/>
      <sheetName val="2-27担保分部门增长表3"/>
      <sheetName val="2-28担保分部门增长表4"/>
      <sheetName val="2-29担保分部门增长表5"/>
      <sheetName val="2-13余额分部门增长表1 (机关)"/>
      <sheetName val="2-14余额分部门增长表2 (机关)"/>
      <sheetName val="2-15余额分部门增长表3 (机关)"/>
      <sheetName val="2-16余额分部门增长表4 (机关)"/>
      <sheetName val="2-17余额分部门增长表5 (机关)"/>
      <sheetName val="2-18直接分部门增长表1 (机关)"/>
      <sheetName val="2-19直接分部门增长表2 (机关)"/>
      <sheetName val="2-20直接分部门增长表3 (机关)"/>
      <sheetName val="2-21直接分部门增长表4 (机关)"/>
      <sheetName val="2-22直接分部门增长表5 (机关)"/>
      <sheetName val="2-33担保分部门增长表1 (机关)"/>
      <sheetName val="2-34担保分部门增长表2 (机关)"/>
      <sheetName val="2-35担保分部门增长表3 (机关)"/>
      <sheetName val="2-36担保分部门增长表4 (机关)"/>
      <sheetName val="2-37担保分部门增长表5 (机关)"/>
      <sheetName val="余额直接_机关"/>
      <sheetName val="余额担保_机关"/>
      <sheetName val="2-13余额分部门增长表1 (事业)"/>
      <sheetName val="2-14余额分部门增长表2 (事业)"/>
      <sheetName val="2-15余额分部门增长表3 (事业)"/>
      <sheetName val="2-16余额分部门增长表4 (事业)"/>
      <sheetName val="2-17余额分部门增长表5 (事业)"/>
      <sheetName val="2-18直接分部门增长表1 (事业)"/>
      <sheetName val="2-19直接分部门增长表2 (事业)"/>
      <sheetName val="2-20直接分部门增长表3 (事业)"/>
      <sheetName val="2-21直接分部门增长表4 (事业)"/>
      <sheetName val="2-22直接分部门增长表5 (事业)"/>
      <sheetName val="2-33担保分部门增长表1 (事业)"/>
      <sheetName val="2-34担保分部门增长表2 (事业)"/>
      <sheetName val="2-35担保分部门增长表3 (事业)"/>
      <sheetName val="2-36担保分部门增长表4 (事业)"/>
      <sheetName val="2-37担保分部门增长表5 (事业)"/>
      <sheetName val="余额直接_事业"/>
      <sheetName val="余额担保_事业"/>
      <sheetName val="2-13余额分部门增长表1 (融资平台公司)"/>
      <sheetName val="2-14余额分部门增长表2 (融资平台公司)"/>
      <sheetName val="2-15余额分部门增长表3 (融资平台公司)"/>
      <sheetName val="2-16余额分部门增长表4 (融资平台公司)"/>
      <sheetName val="2-17余额分部门增长表5 (融资平台公司)"/>
      <sheetName val="2-18直接分部门增长表1 (融资平台公司)"/>
      <sheetName val="2-19直接分部门增长表2 (融资平台公司)"/>
      <sheetName val="2-20直接分部门增长表3 (融资平台公司)"/>
      <sheetName val="2-21直接分部门增长表4 (融资平台公司)"/>
      <sheetName val="2-22直接分部门增长表5 (融资平台公司)"/>
      <sheetName val="2-33担保分部门增长表1 (融资平台公司)"/>
      <sheetName val="2-34担保分部门增长表2 (融资平台公司)"/>
      <sheetName val="2-35担保分部门增长表3 (融资平台公司)"/>
      <sheetName val="2-36担保分部门增长表4 (融资平台公司)"/>
      <sheetName val="2-37担保分部门增长表5 (融资平台公司)"/>
      <sheetName val="余额直接_融资平台公司"/>
      <sheetName val="余额担保_融资平台公司"/>
      <sheetName val="3-1机关余额分部门1"/>
      <sheetName val="3-1机关余额分部门2"/>
      <sheetName val="3-3机关直接分部门1"/>
      <sheetName val="3-3机关直接分部门2"/>
      <sheetName val="3-7机关担保分部门1"/>
      <sheetName val="3-7机关担保分部门2"/>
      <sheetName val="3-1事业余额分部门1"/>
      <sheetName val="3-1事业余额分部门"/>
      <sheetName val="3-3事业直接分部门1"/>
      <sheetName val="3-3事业直接分部门2"/>
      <sheetName val="3-7事业担保分部门1"/>
      <sheetName val="3-7事业担保分部门2"/>
      <sheetName val="3-1_融资平台公司余额分部门1"/>
      <sheetName val="3-1_融资平台公司余额分部门"/>
      <sheetName val="3-3_融资平台公司直接分部门1"/>
      <sheetName val="3-3_融资平台公司直接分部门2"/>
      <sheetName val="3-7_融资平台公司担保分部门1"/>
      <sheetName val="3-7_融资平台公司担保分部门2"/>
      <sheetName val="4-1余额来源表"/>
      <sheetName val="4-2余额来源比重表"/>
      <sheetName val="4-3余额来源增长表"/>
      <sheetName val="(来源)债务债权－机关"/>
      <sheetName val="(来源)债务债权－事业单位"/>
      <sheetName val="(来源)债务债权-融资平台公司"/>
      <sheetName val="(余额)年初-年末"/>
      <sheetName val="4-4来源构成图"/>
      <sheetName val="4-5来源构成图(银行存款)"/>
      <sheetName val="4-6来源情况图"/>
      <sheetName val="5-1当年收支平衡表"/>
      <sheetName val="5-2当年余额变动表"/>
      <sheetName val="5-3当年收入分部门表1"/>
      <sheetName val="5-4当年收入分部门表2"/>
      <sheetName val="5-5当年支出分部门表1"/>
      <sheetName val="5-6当年支出分部门表2"/>
      <sheetName val="5-7当年支出用途1"/>
      <sheetName val="5-8当年支出用途2"/>
      <sheetName val="5-7当年支出用途"/>
      <sheetName val="5-7当年支出用途1 (省)"/>
      <sheetName val="5-8当年支出用途2 (省)"/>
      <sheetName val="5-7当年支出用途1 (市)"/>
      <sheetName val="5-8当年支出用途2 (市)"/>
      <sheetName val="5-7当年支出用途1 (县)"/>
      <sheetName val="5-8当年支出用途2 (县)"/>
      <sheetName val="5-9当年偿本付息表"/>
      <sheetName val="5-10偿还来源结构"/>
      <sheetName val="5-11偿还计划"/>
      <sheetName val="6-1历年来政府性债务统计情况"/>
      <sheetName val="6-2历年来总额分地区"/>
      <sheetName val="6-3历年来直接债务分地区"/>
      <sheetName val="6-4历年来担保债务分地区"/>
      <sheetName val="6-5历年来债务（省级）"/>
      <sheetName val="6-6历年来债务（市级）"/>
      <sheetName val="6-7历年来债务（县级）"/>
      <sheetName val="6-8历年来债务（乡镇）"/>
      <sheetName val="6-9历年来债务分来源表1（金融机构）"/>
      <sheetName val="6-10历年来债务分来源表2（上级财政）"/>
      <sheetName val="6-11历年来债务分来源表3（其他）"/>
      <sheetName val="6-12历年来人均债务排序表"/>
      <sheetName val="6-13历年来各地区负债率表"/>
      <sheetName val="6-14历年来各地区债务率表"/>
      <sheetName val="6-15历年来逾期债务表"/>
      <sheetName val="6-16历年来逾期率表"/>
      <sheetName val="人民银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封面"/>
      <sheetName val="目录"/>
      <sheetName val="逻辑关系图"/>
      <sheetName val="1-1余额表"/>
      <sheetName val="1-2余额结构表"/>
      <sheetName val="1-3余额增长表一"/>
      <sheetName val="1-4余额增长表二"/>
      <sheetName val="1-5余额增长表三"/>
      <sheetName val="1-6余额构成图"/>
      <sheetName val="1-7余额分布图"/>
      <sheetName val="1-8余额人均排序表"/>
      <sheetName val="1-9负债率表"/>
      <sheetName val="财力"/>
      <sheetName val="1-10债务率表"/>
      <sheetName val="2-1余额分级表"/>
      <sheetName val="2-2余额分级图"/>
      <sheetName val="2-3余额分级增长表1"/>
      <sheetName val="2-4余额分级增长表2"/>
      <sheetName val="2-5直接分级表"/>
      <sheetName val="2-6直接分级增长表"/>
      <sheetName val="2-7一般分级表"/>
      <sheetName val="2-8一般分级增长表"/>
      <sheetName val="2-9专项分级表"/>
      <sheetName val="2-10专项分级增长表"/>
      <sheetName val="2-11担保分级表"/>
      <sheetName val="2-12担保分级增长表"/>
      <sheetName val="3-1余额分部门1"/>
      <sheetName val="3-1余额分部门2"/>
      <sheetName val="3-2余额分部门比重1"/>
      <sheetName val="3-2余额分部门比重2"/>
      <sheetName val="3-3直接分部门1"/>
      <sheetName val="3-3直接分部门2"/>
      <sheetName val="3-4直接分部门比重1"/>
      <sheetName val="3-4直接分部门比重2"/>
      <sheetName val="3-5一般分部门1"/>
      <sheetName val="3-5一般分部门2"/>
      <sheetName val="3-6专项分部门1"/>
      <sheetName val="3-6专项分部门2"/>
      <sheetName val="3-7担保分部门1"/>
      <sheetName val="3-7担保分部门2"/>
      <sheetName val="2-13余额分部门增长表1"/>
      <sheetName val="2-14余额分部门增长表2"/>
      <sheetName val="2-15余额分部门增长表3"/>
      <sheetName val="2-16余额分部门增长表4"/>
      <sheetName val="2-17余额分部门增长表5"/>
      <sheetName val="2-18直接分部门增长表1"/>
      <sheetName val="2-19直接分部门增长表2"/>
      <sheetName val="2-20直接分部门增长表3"/>
      <sheetName val="2-21直接分部门增长表4"/>
      <sheetName val="2-22直接分部门增长表5"/>
      <sheetName val="2-23一般分部门增长表1"/>
      <sheetName val="2-24一般分部门增长表2"/>
      <sheetName val="2-25一般分部门增长表3"/>
      <sheetName val="2-26一般分部门增长表4"/>
      <sheetName val="2-27一般分部门增长表5"/>
      <sheetName val="2-28专项分部门增长表1"/>
      <sheetName val="2-29专项分部门增长表2"/>
      <sheetName val="2-30专项分部门增长表3"/>
      <sheetName val="2-31专项分部门增长表4"/>
      <sheetName val="2-32专项分部门增长表5"/>
      <sheetName val="2-33担保分部门增长表1"/>
      <sheetName val="2-34担保分部门增长表2"/>
      <sheetName val="2-35担保分部门增长表3"/>
      <sheetName val="2-36担保分部门增长表4"/>
      <sheetName val="2-37担保分部门增长表5"/>
      <sheetName val="4-1余额逾期"/>
      <sheetName val="4-2余额vs逾期图"/>
      <sheetName val="4-3余额逾期增长"/>
      <sheetName val="4-4余额逾期分级"/>
      <sheetName val="4-5直接逾期"/>
      <sheetName val="4-6直接逾期分级"/>
      <sheetName val="4-7担保逾期"/>
      <sheetName val="4-8担保逾期分级"/>
      <sheetName val="4-9当年逾期增减"/>
      <sheetName val="5-1余额来源表"/>
      <sheetName val="5-2余额来源比重表"/>
      <sheetName val="5-3余额来源增长表"/>
      <sheetName val="5-4余额来源构成图"/>
      <sheetName val="5-5余额来源情况图"/>
      <sheetName val="6-1当年收支平衡表"/>
      <sheetName val="6-2当年余额变动表"/>
      <sheetName val="6-3当年收入分部门表1"/>
      <sheetName val="6-3当年收入分部门表2"/>
      <sheetName val="6-4当年支出分部门表1"/>
      <sheetName val="6-4当年支出分部门表2"/>
      <sheetName val="6-5当年支出用途1"/>
      <sheetName val="6-5当年支出用途2"/>
      <sheetName val="6-6当年偿本付息表"/>
      <sheetName val="6-7偿还计划"/>
      <sheetName val="〇七年初"/>
      <sheetName val="县级表"/>
      <sheetName val="风险指标"/>
      <sheetName val="2006年末"/>
      <sheetName val="〇六年末整理"/>
      <sheetName val="年末"/>
      <sheetName val="基础表"/>
      <sheetName val="省级"/>
      <sheetName val="市级表"/>
      <sheetName val="编码"/>
      <sheetName val="图数据表"/>
      <sheetName val="D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efine"/>
      <sheetName val="2014年横排表"/>
      <sheetName val="01北京市"/>
      <sheetName val="02天津市"/>
      <sheetName val="03河北省"/>
      <sheetName val="04山西省"/>
      <sheetName val="05内蒙古"/>
      <sheetName val="06辽宁省"/>
      <sheetName val="06辽宁地区"/>
      <sheetName val="07大连市"/>
      <sheetName val="08吉林省"/>
      <sheetName val="09黑龙江"/>
      <sheetName val="10上海市"/>
      <sheetName val="11江苏省"/>
      <sheetName val="12浙江省"/>
      <sheetName val="12浙江地区"/>
      <sheetName val="13宁波市"/>
      <sheetName val="14安徽省"/>
      <sheetName val="15福建省"/>
      <sheetName val="15福建地区"/>
      <sheetName val="16厦门市"/>
      <sheetName val="17江西省"/>
      <sheetName val="18山东省"/>
      <sheetName val="18山东地区"/>
      <sheetName val="19青岛市"/>
      <sheetName val="20河南省"/>
      <sheetName val="21湖北省"/>
      <sheetName val="22湖南省"/>
      <sheetName val="23广东省"/>
      <sheetName val="23广东地区"/>
      <sheetName val="24深圳市"/>
      <sheetName val="25广西自治区"/>
      <sheetName val="26海南省"/>
      <sheetName val="27重庆市"/>
      <sheetName val="28四川省"/>
      <sheetName val="29贵州省"/>
      <sheetName val="30云南省"/>
      <sheetName val="31西藏自治区"/>
      <sheetName val="32陕西省"/>
      <sheetName val="33甘肃省"/>
      <sheetName val="34青海省"/>
      <sheetName val="35宁夏自治区"/>
      <sheetName val="36新疆自治区"/>
      <sheetName val="2014年平衡"/>
      <sheetName val="2014年补助"/>
      <sheetName val="2014年上解"/>
      <sheetName val="分县数据"/>
      <sheetName val="1-4余额表"/>
      <sheetName val="Chap5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地方税"/>
      <sheetName val="中央"/>
      <sheetName val="地方"/>
      <sheetName val="可持续发展指数"/>
      <sheetName val="可持续发展指数 (2)"/>
      <sheetName val="各地区GDP增长"/>
      <sheetName val="各地区GDP增长 (2)"/>
      <sheetName val="历年总人口人均财力"/>
      <sheetName val="历年地方本级支出"/>
      <sheetName val="一般收入简表"/>
      <sheetName val="Sheet2 (2)"/>
      <sheetName val="05明细"/>
      <sheetName val="中央地方及比重 (2)"/>
      <sheetName val="人均支出"/>
      <sheetName val="93-04地方本级支出占地方总收入比重 (2)"/>
      <sheetName val="地方总收支比较"/>
      <sheetName val="GDP"/>
      <sheetName val="GDP (2)"/>
      <sheetName val="1)"/>
      <sheetName val="历年集中增量"/>
      <sheetName val="历年集中增量 (2)"/>
      <sheetName val="历年集中两税增量"/>
      <sheetName val="历年集中所得税增量"/>
      <sheetName val="05集中增量"/>
      <sheetName val="05多负担"/>
      <sheetName val="2005集中增量"/>
      <sheetName val="历年集中增量分配"/>
      <sheetName val="历年财力性转移支付增量"/>
      <sheetName val="历年专项转移支付增量"/>
      <sheetName val="05转移支付简"/>
      <sheetName val="依赖程度3(转移支付总额除地方本级支出)"/>
      <sheetName val="Sheet2"/>
      <sheetName val="Sheet1"/>
      <sheetName val="留用比例图"/>
      <sheetName val="财力自给率图"/>
      <sheetName val="财力自给率图(返还作为自有收入)"/>
      <sheetName val="总人口人均财力差异系数图"/>
      <sheetName val="财政供养人口人均财力差异系数图"/>
      <sheetName val="历年地方总收入"/>
      <sheetName val="历年地方本级收入"/>
      <sheetName val="历年留用比例"/>
      <sheetName val="93-04地方本级支出占地方总收入比重"/>
      <sheetName val="94-04财力自给率"/>
      <sheetName val="94-04财力自给率(返还作为自有收入)"/>
      <sheetName val="2007"/>
      <sheetName val="国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01 汇总表（下发数据内）"/>
      <sheetName val="02 项目统计表（下发数据内）"/>
      <sheetName val="01 汇总表（下发数据外）"/>
      <sheetName val="02 项目统计表（下发数据外）"/>
      <sheetName val="Sheet4"/>
      <sheetName val="基础数据"/>
      <sheetName val="Chap5_1"/>
      <sheetName val="1-4余额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封面"/>
      <sheetName val="（附表1）公共财政预算收入"/>
      <sheetName val="（附表2）公共预算支出科目"/>
      <sheetName val="（附表3）公共预算支出项目"/>
      <sheetName val="（附表4）财力性补助"/>
      <sheetName val="（附表5）政府性基金预算收入科目"/>
      <sheetName val="（附表6）政府性基金预算收入项目"/>
      <sheetName val="（附表7）政府性基金支出科目"/>
      <sheetName val="（附表8）政府性基金预算支出项目"/>
      <sheetName val="（附表9）社会保险基金收入表"/>
      <sheetName val="（附表10）社会保险基金支出表"/>
      <sheetName val="（附表11）新增债券资金用途"/>
      <sheetName val="1-1余额表"/>
      <sheetName val="2-11担保分级表"/>
      <sheetName val="2-7一般分级表"/>
      <sheetName val="2-1余额分级表"/>
      <sheetName val="2-5直接分级表"/>
      <sheetName val="2-9专项分级表"/>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Kx"/>
      <sheetName val="C01-1"/>
      <sheetName val="P1012001"/>
      <sheetName val="表二"/>
      <sheetName val="表五"/>
      <sheetName val="2012.2.2 (整合)"/>
      <sheetName val="2012.2.2"/>
      <sheetName val="全市结转"/>
      <sheetName val="提前告知数"/>
      <sheetName val="2012年财力"/>
      <sheetName val="类型"/>
      <sheetName val="人民银行"/>
      <sheetName val="中央"/>
      <sheetName val="2007"/>
      <sheetName val="#REF"/>
      <sheetName val="四月份月报"/>
      <sheetName val="单位编码"/>
      <sheetName val="DDETABLE "/>
      <sheetName val="Sheet2"/>
      <sheetName val="下拉选项"/>
      <sheetName val="经费权重"/>
      <sheetName val="mmm"/>
      <sheetName val="人员支出"/>
      <sheetName val="Financ. Overview"/>
      <sheetName val="Toolbo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人民银行"/>
      <sheetName val="银监部门"/>
      <sheetName val="财政部门"/>
      <sheetName val="三方对账表"/>
      <sheetName val="三方对账表 (2)"/>
      <sheetName val="三方对账表 (3)"/>
      <sheetName val="Sheet1"/>
      <sheetName val="下拉选项"/>
      <sheetName val="Sheet2"/>
    </sheetNames>
    <sheetDataSet>
      <sheetData sheetId="0"/>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表4"/>
      <sheetName val="表5"/>
      <sheetName val="表6"/>
      <sheetName val="项目类型"/>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1012001"/>
      <sheetName val="有效性列表"/>
      <sheetName val="区划对应表"/>
      <sheetName val="项目类型"/>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Sheet3"/>
      <sheetName val="各年度收费、罚没、专项收入.xls_Sheet3"/>
      <sheetName val="区划对应表"/>
      <sheetName val="1-4余额表"/>
      <sheetName val="表二"/>
      <sheetName val="表五"/>
      <sheetName val="2012.2.2 (整合)"/>
      <sheetName val="2012.2.2"/>
      <sheetName val="全市结转"/>
      <sheetName val="提前告知数"/>
      <sheetName val="总人口"/>
      <sheetName val="基础编码"/>
      <sheetName val="省本级收入预计"/>
      <sheetName val="四月份月报"/>
      <sheetName val="XL4Poppy"/>
      <sheetName val="DDETABLE "/>
      <sheetName val="#REF"/>
      <sheetName val="中央"/>
      <sheetName val="01北京市"/>
      <sheetName val="2000地方"/>
      <sheetName val="有效性列表"/>
      <sheetName val="录入表"/>
      <sheetName val="DY-（调整特殊因素）增量对应重点（汇报）"/>
      <sheetName val="C01-1"/>
      <sheetName val="mx"/>
      <sheetName val="单位编码"/>
      <sheetName val="差异系数"/>
      <sheetName val="data"/>
      <sheetName val="Financ. Overview"/>
      <sheetName val="Toolbox"/>
      <sheetName val="Main"/>
      <sheetName val="_ESList"/>
      <sheetName val="一般预算收入"/>
      <sheetName val="表二 汇总表（业务处填）"/>
      <sheetName val="KKKKKKKK"/>
      <sheetName val="农业人口"/>
      <sheetName val="Open"/>
      <sheetName val="事业发展"/>
      <sheetName val="公检法司编制"/>
      <sheetName val="行政编制"/>
      <sheetName val="人民银行"/>
      <sheetName val="2009"/>
      <sheetName val="GDP"/>
      <sheetName val="本年收入合计"/>
      <sheetName val="财政部和发改委范围"/>
      <sheetName val="POWER ASSUMPTIONS"/>
      <sheetName val="2007"/>
      <sheetName val="国家"/>
      <sheetName val="分类"/>
      <sheetName val="市级专项格式"/>
      <sheetName val="1-1余额表"/>
      <sheetName val="2-11担保分级表"/>
      <sheetName val="2-7一般分级表"/>
      <sheetName val="2-1余额分级表"/>
      <sheetName val="2-5直接分级表"/>
      <sheetName val="2-9专项分级表"/>
      <sheetName val="工商税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18"/>
  <sheetViews>
    <sheetView view="pageBreakPreview" zoomScaleNormal="100" workbookViewId="0">
      <selection activeCell="G11" sqref="G11"/>
    </sheetView>
  </sheetViews>
  <sheetFormatPr defaultColWidth="9" defaultRowHeight="14.25"/>
  <cols>
    <col min="6" max="6" width="12.625" customWidth="1"/>
    <col min="7" max="7" width="27"/>
    <col min="9" max="9" width="9.75" customWidth="1"/>
  </cols>
  <sheetData>
    <row r="2" ht="20.25" spans="1:10">
      <c r="A2" s="497" t="s">
        <v>0</v>
      </c>
      <c r="B2" s="497"/>
      <c r="C2" s="497"/>
      <c r="D2" s="498"/>
      <c r="E2" s="498"/>
      <c r="F2" s="498"/>
      <c r="G2" s="498"/>
      <c r="H2" s="498"/>
      <c r="I2" s="498"/>
      <c r="J2" s="498"/>
    </row>
    <row r="3" ht="20.25" spans="3:10">
      <c r="C3" s="498"/>
      <c r="D3" s="498"/>
      <c r="E3" s="498"/>
      <c r="F3" s="498"/>
      <c r="G3" s="498"/>
      <c r="H3" s="498"/>
      <c r="I3" s="498"/>
      <c r="J3" s="498"/>
    </row>
    <row r="4" ht="20.25" spans="3:10">
      <c r="C4" s="498"/>
      <c r="D4" s="498"/>
      <c r="E4" s="498"/>
      <c r="F4" s="498"/>
      <c r="G4" s="498"/>
      <c r="H4" s="498"/>
      <c r="I4" s="498"/>
      <c r="J4" s="498"/>
    </row>
    <row r="5" ht="20.25" spans="3:12">
      <c r="C5" s="498"/>
      <c r="D5" s="498"/>
      <c r="E5" s="498"/>
      <c r="F5" s="498"/>
      <c r="G5" s="498"/>
      <c r="H5" s="498"/>
      <c r="I5" s="498"/>
      <c r="L5" s="498"/>
    </row>
    <row r="8" ht="35.25" spans="1:12">
      <c r="A8" s="499" t="s">
        <v>1</v>
      </c>
      <c r="B8" s="499"/>
      <c r="C8" s="499"/>
      <c r="D8" s="499"/>
      <c r="E8" s="499"/>
      <c r="F8" s="499"/>
      <c r="G8" s="499"/>
      <c r="H8" s="499"/>
      <c r="I8" s="499"/>
      <c r="J8" s="499"/>
      <c r="K8" s="499"/>
      <c r="L8" s="502"/>
    </row>
    <row r="15" ht="20.25" spans="1:12">
      <c r="A15" s="500" t="s">
        <v>2</v>
      </c>
      <c r="B15" s="500"/>
      <c r="C15" s="500"/>
      <c r="D15" s="500"/>
      <c r="E15" s="500"/>
      <c r="F15" s="500"/>
      <c r="G15" s="500"/>
      <c r="H15" s="500"/>
      <c r="I15" s="500"/>
      <c r="J15" s="500"/>
      <c r="K15" s="500"/>
      <c r="L15" s="503"/>
    </row>
    <row r="16" ht="20.25" spans="3:8">
      <c r="C16" s="498"/>
      <c r="D16" s="498"/>
      <c r="E16" s="498"/>
      <c r="F16" s="501"/>
      <c r="G16" s="498"/>
      <c r="H16" s="498"/>
    </row>
    <row r="17" ht="20.25" spans="3:8">
      <c r="C17" s="498"/>
      <c r="D17" s="498"/>
      <c r="E17" s="498"/>
      <c r="F17" s="501"/>
      <c r="G17" s="498"/>
      <c r="H17" s="498"/>
    </row>
    <row r="18" ht="20.25" spans="1:12">
      <c r="A18" s="500" t="s">
        <v>3</v>
      </c>
      <c r="B18" s="500"/>
      <c r="C18" s="500"/>
      <c r="D18" s="500"/>
      <c r="E18" s="500"/>
      <c r="F18" s="500"/>
      <c r="G18" s="500"/>
      <c r="H18" s="500"/>
      <c r="I18" s="500"/>
      <c r="J18" s="500"/>
      <c r="K18" s="500"/>
      <c r="L18" s="503"/>
    </row>
  </sheetData>
  <mergeCells count="4">
    <mergeCell ref="A2:C2"/>
    <mergeCell ref="A8:K8"/>
    <mergeCell ref="A15:K15"/>
    <mergeCell ref="A18:K18"/>
  </mergeCells>
  <printOptions horizontalCentered="1"/>
  <pageMargins left="0.786805555555556" right="0.786805555555556" top="0.786805555555556" bottom="0.786805555555556" header="0.196527777777778" footer="0.196527777777778"/>
  <pageSetup paperSize="9" scale="93"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98"/>
  <sheetViews>
    <sheetView zoomScale="80" zoomScaleNormal="80" zoomScaleSheetLayoutView="85" workbookViewId="0">
      <pane ySplit="5" topLeftCell="A12" activePane="bottomLeft" state="frozen"/>
      <selection/>
      <selection pane="bottomLeft" activeCell="C30" sqref="C30"/>
    </sheetView>
  </sheetViews>
  <sheetFormatPr defaultColWidth="9" defaultRowHeight="25" customHeight="1"/>
  <cols>
    <col min="1" max="1" width="6.75" style="90" customWidth="1"/>
    <col min="2" max="2" width="10.625" style="91" hidden="1" customWidth="1"/>
    <col min="3" max="3" width="20.625" style="91" customWidth="1"/>
    <col min="4" max="4" width="50.625" style="91" customWidth="1"/>
    <col min="5" max="5" width="15.625" style="92" customWidth="1"/>
    <col min="6" max="6" width="15.625" style="93" customWidth="1"/>
    <col min="7" max="8" width="15.625" style="94" customWidth="1"/>
    <col min="9" max="9" width="90.625" style="95" customWidth="1"/>
    <col min="10" max="10" width="9" style="85" hidden="1" customWidth="1"/>
    <col min="11" max="11" width="12.625" style="85" hidden="1" customWidth="1"/>
    <col min="12" max="12" width="9.25" style="85" hidden="1" customWidth="1"/>
    <col min="13" max="16384" width="9" style="85"/>
  </cols>
  <sheetData>
    <row r="1" ht="20" customHeight="1" spans="1:1">
      <c r="A1" s="90" t="s">
        <v>2110</v>
      </c>
    </row>
    <row r="2" ht="30" customHeight="1" spans="1:9">
      <c r="A2" s="96" t="s">
        <v>2111</v>
      </c>
      <c r="B2" s="96"/>
      <c r="C2" s="96"/>
      <c r="D2" s="96"/>
      <c r="E2" s="97"/>
      <c r="F2" s="97"/>
      <c r="G2" s="97"/>
      <c r="H2" s="97"/>
      <c r="I2" s="96"/>
    </row>
    <row r="3" ht="20" customHeight="1" spans="1:9">
      <c r="A3" s="98"/>
      <c r="B3" s="99"/>
      <c r="C3" s="99"/>
      <c r="D3" s="100"/>
      <c r="E3" s="101"/>
      <c r="F3" s="101"/>
      <c r="G3" s="101"/>
      <c r="H3" s="102" t="s">
        <v>22</v>
      </c>
      <c r="I3" s="128"/>
    </row>
    <row r="4" customHeight="1" spans="1:12">
      <c r="A4" s="103" t="s">
        <v>553</v>
      </c>
      <c r="B4" s="103" t="s">
        <v>554</v>
      </c>
      <c r="C4" s="103" t="s">
        <v>555</v>
      </c>
      <c r="D4" s="104" t="s">
        <v>2112</v>
      </c>
      <c r="E4" s="105" t="s">
        <v>1840</v>
      </c>
      <c r="F4" s="106" t="s">
        <v>558</v>
      </c>
      <c r="G4" s="107"/>
      <c r="H4" s="108" t="s">
        <v>26</v>
      </c>
      <c r="I4" s="129" t="s">
        <v>28</v>
      </c>
      <c r="J4" s="130" t="s">
        <v>2113</v>
      </c>
      <c r="K4" s="129" t="s">
        <v>2114</v>
      </c>
      <c r="L4" s="129" t="s">
        <v>2115</v>
      </c>
    </row>
    <row r="5" customHeight="1" spans="1:12">
      <c r="A5" s="109"/>
      <c r="B5" s="109"/>
      <c r="C5" s="109"/>
      <c r="D5" s="110"/>
      <c r="E5" s="105"/>
      <c r="F5" s="111" t="s">
        <v>560</v>
      </c>
      <c r="G5" s="111" t="s">
        <v>561</v>
      </c>
      <c r="H5" s="112"/>
      <c r="I5" s="129"/>
      <c r="J5" s="130" t="s">
        <v>2113</v>
      </c>
      <c r="K5" s="129" t="s">
        <v>2114</v>
      </c>
      <c r="L5" s="129" t="s">
        <v>2115</v>
      </c>
    </row>
    <row r="6" s="85" customFormat="1" ht="30" customHeight="1" spans="1:12">
      <c r="A6" s="113">
        <v>1</v>
      </c>
      <c r="B6" s="114"/>
      <c r="C6" s="115" t="s">
        <v>2116</v>
      </c>
      <c r="D6" s="115"/>
      <c r="E6" s="116">
        <f>E7+E165+E186+E192+E193+E194+E195</f>
        <v>537021.470506</v>
      </c>
      <c r="F6" s="116">
        <f>F7+F165+F186+F192+F193+F194+F195</f>
        <v>58888.746395</v>
      </c>
      <c r="G6" s="116">
        <f>G7+G165+G186+G192+G193+G194+G195</f>
        <v>-5622.04577</v>
      </c>
      <c r="H6" s="116">
        <f>H7+H165+H186+H192+H193+H194+H195</f>
        <v>531399.424736</v>
      </c>
      <c r="I6" s="113"/>
      <c r="J6" s="131"/>
      <c r="K6" s="131"/>
      <c r="L6" s="132"/>
    </row>
    <row r="7" s="85" customFormat="1" ht="30" customHeight="1" spans="1:12">
      <c r="A7" s="113">
        <v>2</v>
      </c>
      <c r="B7" s="114"/>
      <c r="C7" s="115" t="s">
        <v>1915</v>
      </c>
      <c r="D7" s="115"/>
      <c r="E7" s="116">
        <f>E8+E11+E39+E50+E86+E95+E160</f>
        <v>108288.933</v>
      </c>
      <c r="F7" s="116">
        <f>F8+F11+F39+F50+F86+F95+F160</f>
        <v>40740.066395</v>
      </c>
      <c r="G7" s="116">
        <f>G8+G11+G39+G50+G86+G95+G160</f>
        <v>-22617.70577</v>
      </c>
      <c r="H7" s="116">
        <f>H8+H11+H39+H50+H86+H95+H160</f>
        <v>85671.22723</v>
      </c>
      <c r="I7" s="113"/>
      <c r="J7" s="131"/>
      <c r="K7" s="131"/>
      <c r="L7" s="132"/>
    </row>
    <row r="8" s="85" customFormat="1" ht="30" customHeight="1" spans="1:12">
      <c r="A8" s="113">
        <v>3</v>
      </c>
      <c r="B8" s="114"/>
      <c r="C8" s="115" t="s">
        <v>1856</v>
      </c>
      <c r="D8" s="115"/>
      <c r="E8" s="116">
        <f>SUM(E9:E10)</f>
        <v>20000</v>
      </c>
      <c r="F8" s="116">
        <f>SUM(F9:F10)</f>
        <v>0</v>
      </c>
      <c r="G8" s="116">
        <f>SUM(G9:G10)</f>
        <v>-15000</v>
      </c>
      <c r="H8" s="116">
        <f>SUM(H9:H10)</f>
        <v>5000</v>
      </c>
      <c r="I8" s="113"/>
      <c r="J8" s="131"/>
      <c r="K8" s="131"/>
      <c r="L8" s="132"/>
    </row>
    <row r="9" s="86" customFormat="1" ht="30" customHeight="1" spans="1:12">
      <c r="A9" s="117">
        <v>4</v>
      </c>
      <c r="B9" s="118" t="s">
        <v>2117</v>
      </c>
      <c r="C9" s="119" t="s">
        <v>2118</v>
      </c>
      <c r="D9" s="120" t="s">
        <v>2119</v>
      </c>
      <c r="E9" s="121">
        <v>10000</v>
      </c>
      <c r="F9" s="122">
        <v>0</v>
      </c>
      <c r="G9" s="122">
        <v>-5000</v>
      </c>
      <c r="H9" s="123">
        <f t="shared" ref="H9:H38" si="0">E9+G9</f>
        <v>5000</v>
      </c>
      <c r="I9" s="133" t="s">
        <v>2120</v>
      </c>
      <c r="J9" s="134" t="s">
        <v>2121</v>
      </c>
      <c r="K9" s="134" t="s">
        <v>2122</v>
      </c>
      <c r="L9" s="132">
        <v>2120802</v>
      </c>
    </row>
    <row r="10" s="86" customFormat="1" ht="30" customHeight="1" spans="1:12">
      <c r="A10" s="117">
        <v>5</v>
      </c>
      <c r="B10" s="118" t="s">
        <v>2117</v>
      </c>
      <c r="C10" s="119" t="s">
        <v>2118</v>
      </c>
      <c r="D10" s="120" t="s">
        <v>2123</v>
      </c>
      <c r="E10" s="121">
        <v>10000</v>
      </c>
      <c r="F10" s="122">
        <v>0</v>
      </c>
      <c r="G10" s="122">
        <v>-10000</v>
      </c>
      <c r="H10" s="123">
        <f t="shared" si="0"/>
        <v>0</v>
      </c>
      <c r="I10" s="133"/>
      <c r="J10" s="134" t="s">
        <v>2121</v>
      </c>
      <c r="K10" s="134" t="s">
        <v>2122</v>
      </c>
      <c r="L10" s="132">
        <v>2120802</v>
      </c>
    </row>
    <row r="11" s="85" customFormat="1" ht="30" customHeight="1" spans="1:12">
      <c r="A11" s="113">
        <v>6</v>
      </c>
      <c r="B11" s="114"/>
      <c r="C11" s="115" t="s">
        <v>2124</v>
      </c>
      <c r="D11" s="115"/>
      <c r="E11" s="116">
        <f>SUM(E12:E38)</f>
        <v>4934.959</v>
      </c>
      <c r="F11" s="116">
        <f>SUM(F12:F38)</f>
        <v>24599.991</v>
      </c>
      <c r="G11" s="116">
        <f>SUM(G12:G38)</f>
        <v>-1440.13</v>
      </c>
      <c r="H11" s="116">
        <f>SUM(H12:H38)</f>
        <v>3494.829</v>
      </c>
      <c r="I11" s="113"/>
      <c r="J11" s="131"/>
      <c r="K11" s="131"/>
      <c r="L11" s="131"/>
    </row>
    <row r="12" s="85" customFormat="1" ht="30" customHeight="1" spans="1:12">
      <c r="A12" s="117">
        <v>7</v>
      </c>
      <c r="B12" s="118" t="s">
        <v>1691</v>
      </c>
      <c r="C12" s="118" t="s">
        <v>1562</v>
      </c>
      <c r="D12" s="120" t="s">
        <v>2125</v>
      </c>
      <c r="E12" s="124">
        <v>225.959</v>
      </c>
      <c r="F12" s="124">
        <v>0</v>
      </c>
      <c r="G12" s="124">
        <v>-125.96</v>
      </c>
      <c r="H12" s="124">
        <f t="shared" si="0"/>
        <v>99.999</v>
      </c>
      <c r="I12" s="120" t="s">
        <v>2126</v>
      </c>
      <c r="J12" s="135" t="s">
        <v>2127</v>
      </c>
      <c r="K12" s="118" t="s">
        <v>2122</v>
      </c>
      <c r="L12" s="132">
        <v>2120802</v>
      </c>
    </row>
    <row r="13" s="85" customFormat="1" ht="30" customHeight="1" spans="1:12">
      <c r="A13" s="117">
        <v>8</v>
      </c>
      <c r="B13" s="118" t="s">
        <v>2117</v>
      </c>
      <c r="C13" s="119" t="s">
        <v>2118</v>
      </c>
      <c r="D13" s="120" t="s">
        <v>2128</v>
      </c>
      <c r="E13" s="124">
        <v>11</v>
      </c>
      <c r="F13" s="124">
        <v>0</v>
      </c>
      <c r="G13" s="124">
        <v>0</v>
      </c>
      <c r="H13" s="124">
        <f t="shared" si="0"/>
        <v>11</v>
      </c>
      <c r="I13" s="133" t="s">
        <v>2129</v>
      </c>
      <c r="J13" s="135" t="s">
        <v>2127</v>
      </c>
      <c r="K13" s="118" t="s">
        <v>2122</v>
      </c>
      <c r="L13" s="132">
        <v>2120801</v>
      </c>
    </row>
    <row r="14" s="85" customFormat="1" ht="30" customHeight="1" spans="1:12">
      <c r="A14" s="117">
        <v>9</v>
      </c>
      <c r="B14" s="118" t="s">
        <v>2117</v>
      </c>
      <c r="C14" s="119" t="s">
        <v>2118</v>
      </c>
      <c r="D14" s="120" t="s">
        <v>2130</v>
      </c>
      <c r="E14" s="124">
        <v>11</v>
      </c>
      <c r="F14" s="124">
        <v>-0.28</v>
      </c>
      <c r="G14" s="124">
        <v>-0.28</v>
      </c>
      <c r="H14" s="124">
        <f t="shared" si="0"/>
        <v>10.72</v>
      </c>
      <c r="I14" s="133" t="s">
        <v>2131</v>
      </c>
      <c r="J14" s="135" t="s">
        <v>2127</v>
      </c>
      <c r="K14" s="118" t="s">
        <v>2122</v>
      </c>
      <c r="L14" s="132">
        <v>2120802</v>
      </c>
    </row>
    <row r="15" s="87" customFormat="1" ht="30" customHeight="1" spans="1:12">
      <c r="A15" s="117">
        <v>10</v>
      </c>
      <c r="B15" s="119" t="s">
        <v>2117</v>
      </c>
      <c r="C15" s="118" t="s">
        <v>2118</v>
      </c>
      <c r="D15" s="120" t="s">
        <v>2132</v>
      </c>
      <c r="E15" s="124">
        <v>8</v>
      </c>
      <c r="F15" s="124">
        <v>0</v>
      </c>
      <c r="G15" s="124">
        <v>0</v>
      </c>
      <c r="H15" s="124">
        <f t="shared" si="0"/>
        <v>8</v>
      </c>
      <c r="I15" s="133" t="s">
        <v>2133</v>
      </c>
      <c r="J15" s="135" t="s">
        <v>2127</v>
      </c>
      <c r="K15" s="118" t="s">
        <v>2122</v>
      </c>
      <c r="L15" s="132">
        <v>2120801</v>
      </c>
    </row>
    <row r="16" s="85" customFormat="1" ht="30" customHeight="1" spans="1:12">
      <c r="A16" s="117">
        <v>11</v>
      </c>
      <c r="B16" s="118" t="s">
        <v>2117</v>
      </c>
      <c r="C16" s="119" t="s">
        <v>2118</v>
      </c>
      <c r="D16" s="120" t="s">
        <v>2134</v>
      </c>
      <c r="E16" s="124">
        <v>57</v>
      </c>
      <c r="F16" s="124">
        <v>0</v>
      </c>
      <c r="G16" s="124">
        <v>-26</v>
      </c>
      <c r="H16" s="124">
        <f t="shared" si="0"/>
        <v>31</v>
      </c>
      <c r="I16" s="133" t="s">
        <v>2135</v>
      </c>
      <c r="J16" s="135" t="s">
        <v>2127</v>
      </c>
      <c r="K16" s="118" t="s">
        <v>2122</v>
      </c>
      <c r="L16" s="132">
        <v>2120802</v>
      </c>
    </row>
    <row r="17" s="85" customFormat="1" ht="30" customHeight="1" spans="1:12">
      <c r="A17" s="117">
        <v>12</v>
      </c>
      <c r="B17" s="118" t="s">
        <v>2117</v>
      </c>
      <c r="C17" s="119" t="s">
        <v>2118</v>
      </c>
      <c r="D17" s="120" t="s">
        <v>2136</v>
      </c>
      <c r="E17" s="124">
        <v>500</v>
      </c>
      <c r="F17" s="124">
        <v>1768.12</v>
      </c>
      <c r="G17" s="124">
        <v>-500</v>
      </c>
      <c r="H17" s="124">
        <f t="shared" si="0"/>
        <v>0</v>
      </c>
      <c r="I17" s="133" t="s">
        <v>2137</v>
      </c>
      <c r="J17" s="135" t="s">
        <v>2127</v>
      </c>
      <c r="K17" s="118" t="s">
        <v>2122</v>
      </c>
      <c r="L17" s="132">
        <v>2120801</v>
      </c>
    </row>
    <row r="18" s="85" customFormat="1" ht="30" customHeight="1" spans="1:12">
      <c r="A18" s="117">
        <v>13</v>
      </c>
      <c r="B18" s="118" t="s">
        <v>2117</v>
      </c>
      <c r="C18" s="119" t="s">
        <v>2118</v>
      </c>
      <c r="D18" s="120" t="s">
        <v>2138</v>
      </c>
      <c r="E18" s="124">
        <v>2020</v>
      </c>
      <c r="F18" s="124">
        <v>3151.15</v>
      </c>
      <c r="G18" s="124">
        <v>0</v>
      </c>
      <c r="H18" s="124">
        <f t="shared" si="0"/>
        <v>2020</v>
      </c>
      <c r="I18" s="133" t="s">
        <v>2139</v>
      </c>
      <c r="J18" s="135" t="s">
        <v>2127</v>
      </c>
      <c r="K18" s="118" t="s">
        <v>2122</v>
      </c>
      <c r="L18" s="132">
        <v>2120802</v>
      </c>
    </row>
    <row r="19" s="87" customFormat="1" ht="30" customHeight="1" spans="1:12">
      <c r="A19" s="117">
        <v>14</v>
      </c>
      <c r="B19" s="119" t="s">
        <v>2117</v>
      </c>
      <c r="C19" s="118" t="s">
        <v>2118</v>
      </c>
      <c r="D19" s="120" t="s">
        <v>2140</v>
      </c>
      <c r="E19" s="124">
        <v>200</v>
      </c>
      <c r="F19" s="124">
        <v>0</v>
      </c>
      <c r="G19" s="124">
        <v>-200</v>
      </c>
      <c r="H19" s="124">
        <f t="shared" si="0"/>
        <v>0</v>
      </c>
      <c r="I19" s="133" t="s">
        <v>2141</v>
      </c>
      <c r="J19" s="135" t="s">
        <v>2127</v>
      </c>
      <c r="K19" s="118" t="s">
        <v>2122</v>
      </c>
      <c r="L19" s="132">
        <v>2120801</v>
      </c>
    </row>
    <row r="20" s="85" customFormat="1" ht="30" customHeight="1" spans="1:12">
      <c r="A20" s="117">
        <v>15</v>
      </c>
      <c r="B20" s="118" t="s">
        <v>2117</v>
      </c>
      <c r="C20" s="119" t="s">
        <v>2118</v>
      </c>
      <c r="D20" s="120" t="s">
        <v>2142</v>
      </c>
      <c r="E20" s="124">
        <v>32</v>
      </c>
      <c r="F20" s="124">
        <v>0</v>
      </c>
      <c r="G20" s="124">
        <v>0</v>
      </c>
      <c r="H20" s="124">
        <f t="shared" si="0"/>
        <v>32</v>
      </c>
      <c r="I20" s="133" t="s">
        <v>2143</v>
      </c>
      <c r="J20" s="135" t="s">
        <v>2127</v>
      </c>
      <c r="K20" s="118" t="s">
        <v>2122</v>
      </c>
      <c r="L20" s="132">
        <v>2120801</v>
      </c>
    </row>
    <row r="21" s="85" customFormat="1" ht="44" customHeight="1" spans="1:12">
      <c r="A21" s="117">
        <v>16</v>
      </c>
      <c r="B21" s="118" t="s">
        <v>2117</v>
      </c>
      <c r="C21" s="119" t="s">
        <v>2118</v>
      </c>
      <c r="D21" s="120" t="s">
        <v>2144</v>
      </c>
      <c r="E21" s="124">
        <v>100</v>
      </c>
      <c r="F21" s="124">
        <v>137.8</v>
      </c>
      <c r="G21" s="124">
        <v>-100</v>
      </c>
      <c r="H21" s="124">
        <f t="shared" si="0"/>
        <v>0</v>
      </c>
      <c r="I21" s="133" t="s">
        <v>2145</v>
      </c>
      <c r="J21" s="135" t="s">
        <v>2127</v>
      </c>
      <c r="K21" s="118" t="s">
        <v>2122</v>
      </c>
      <c r="L21" s="132">
        <v>2120801</v>
      </c>
    </row>
    <row r="22" s="87" customFormat="1" ht="30" customHeight="1" spans="1:12">
      <c r="A22" s="117">
        <v>17</v>
      </c>
      <c r="B22" s="119" t="s">
        <v>2117</v>
      </c>
      <c r="C22" s="118" t="s">
        <v>2118</v>
      </c>
      <c r="D22" s="120" t="s">
        <v>2146</v>
      </c>
      <c r="E22" s="124">
        <v>226</v>
      </c>
      <c r="F22" s="124">
        <v>2674</v>
      </c>
      <c r="G22" s="124">
        <v>0</v>
      </c>
      <c r="H22" s="124">
        <f t="shared" si="0"/>
        <v>226</v>
      </c>
      <c r="I22" s="133" t="s">
        <v>2147</v>
      </c>
      <c r="J22" s="135" t="s">
        <v>2127</v>
      </c>
      <c r="K22" s="118" t="s">
        <v>2122</v>
      </c>
      <c r="L22" s="136">
        <v>2120802</v>
      </c>
    </row>
    <row r="23" s="85" customFormat="1" ht="50" customHeight="1" spans="1:12">
      <c r="A23" s="117">
        <v>18</v>
      </c>
      <c r="B23" s="118" t="s">
        <v>2117</v>
      </c>
      <c r="C23" s="119" t="s">
        <v>2118</v>
      </c>
      <c r="D23" s="120" t="s">
        <v>2148</v>
      </c>
      <c r="E23" s="124">
        <v>200</v>
      </c>
      <c r="F23" s="124">
        <v>2318</v>
      </c>
      <c r="G23" s="124">
        <v>-200</v>
      </c>
      <c r="H23" s="124">
        <f t="shared" si="0"/>
        <v>0</v>
      </c>
      <c r="I23" s="133" t="s">
        <v>2149</v>
      </c>
      <c r="J23" s="135" t="s">
        <v>2127</v>
      </c>
      <c r="K23" s="118" t="s">
        <v>2122</v>
      </c>
      <c r="L23" s="132">
        <v>2120801</v>
      </c>
    </row>
    <row r="24" s="87" customFormat="1" ht="30" customHeight="1" spans="1:12">
      <c r="A24" s="117">
        <v>19</v>
      </c>
      <c r="B24" s="119" t="s">
        <v>2117</v>
      </c>
      <c r="C24" s="118" t="s">
        <v>2118</v>
      </c>
      <c r="D24" s="120" t="s">
        <v>2150</v>
      </c>
      <c r="E24" s="124">
        <v>100</v>
      </c>
      <c r="F24" s="124">
        <v>0</v>
      </c>
      <c r="G24" s="124">
        <v>-100</v>
      </c>
      <c r="H24" s="124">
        <f t="shared" si="0"/>
        <v>0</v>
      </c>
      <c r="I24" s="133" t="s">
        <v>2151</v>
      </c>
      <c r="J24" s="135" t="s">
        <v>2127</v>
      </c>
      <c r="K24" s="118" t="s">
        <v>2122</v>
      </c>
      <c r="L24" s="132">
        <v>2120802</v>
      </c>
    </row>
    <row r="25" s="85" customFormat="1" ht="30" customHeight="1" spans="1:12">
      <c r="A25" s="117">
        <v>20</v>
      </c>
      <c r="B25" s="118" t="s">
        <v>2117</v>
      </c>
      <c r="C25" s="119" t="s">
        <v>2118</v>
      </c>
      <c r="D25" s="120" t="s">
        <v>2152</v>
      </c>
      <c r="E25" s="124">
        <v>119</v>
      </c>
      <c r="F25" s="124">
        <v>-0.36</v>
      </c>
      <c r="G25" s="124">
        <v>-0.36</v>
      </c>
      <c r="H25" s="124">
        <f t="shared" si="0"/>
        <v>118.64</v>
      </c>
      <c r="I25" s="133" t="s">
        <v>2153</v>
      </c>
      <c r="J25" s="135" t="s">
        <v>2127</v>
      </c>
      <c r="K25" s="118" t="s">
        <v>2122</v>
      </c>
      <c r="L25" s="132">
        <v>2120802</v>
      </c>
    </row>
    <row r="26" s="85" customFormat="1" ht="30" customHeight="1" spans="1:12">
      <c r="A26" s="117">
        <v>21</v>
      </c>
      <c r="B26" s="118" t="s">
        <v>2117</v>
      </c>
      <c r="C26" s="119" t="s">
        <v>2118</v>
      </c>
      <c r="D26" s="120" t="s">
        <v>2154</v>
      </c>
      <c r="E26" s="124">
        <v>9</v>
      </c>
      <c r="F26" s="124">
        <v>0</v>
      </c>
      <c r="G26" s="124">
        <v>0</v>
      </c>
      <c r="H26" s="124">
        <f t="shared" si="0"/>
        <v>9</v>
      </c>
      <c r="I26" s="133" t="s">
        <v>2155</v>
      </c>
      <c r="J26" s="135" t="s">
        <v>2127</v>
      </c>
      <c r="K26" s="118" t="s">
        <v>2122</v>
      </c>
      <c r="L26" s="132">
        <v>2120801</v>
      </c>
    </row>
    <row r="27" s="85" customFormat="1" ht="30" customHeight="1" spans="1:12">
      <c r="A27" s="117">
        <v>22</v>
      </c>
      <c r="B27" s="118" t="s">
        <v>2117</v>
      </c>
      <c r="C27" s="119" t="s">
        <v>2118</v>
      </c>
      <c r="D27" s="120" t="s">
        <v>2156</v>
      </c>
      <c r="E27" s="124">
        <v>80</v>
      </c>
      <c r="F27" s="124">
        <v>373</v>
      </c>
      <c r="G27" s="124">
        <v>0</v>
      </c>
      <c r="H27" s="124">
        <f t="shared" si="0"/>
        <v>80</v>
      </c>
      <c r="I27" s="133" t="s">
        <v>2157</v>
      </c>
      <c r="J27" s="135" t="s">
        <v>2127</v>
      </c>
      <c r="K27" s="118" t="s">
        <v>2122</v>
      </c>
      <c r="L27" s="136">
        <v>2120802</v>
      </c>
    </row>
    <row r="28" s="87" customFormat="1" ht="30" customHeight="1" spans="1:12">
      <c r="A28" s="117">
        <v>23</v>
      </c>
      <c r="B28" s="119" t="s">
        <v>2117</v>
      </c>
      <c r="C28" s="118" t="s">
        <v>2118</v>
      </c>
      <c r="D28" s="120" t="s">
        <v>2158</v>
      </c>
      <c r="E28" s="124">
        <v>45</v>
      </c>
      <c r="F28" s="124">
        <v>155</v>
      </c>
      <c r="G28" s="124">
        <v>0</v>
      </c>
      <c r="H28" s="124">
        <f t="shared" si="0"/>
        <v>45</v>
      </c>
      <c r="I28" s="133" t="s">
        <v>2159</v>
      </c>
      <c r="J28" s="135" t="s">
        <v>2127</v>
      </c>
      <c r="K28" s="118" t="s">
        <v>2122</v>
      </c>
      <c r="L28" s="137">
        <v>2120806</v>
      </c>
    </row>
    <row r="29" s="85" customFormat="1" ht="30" customHeight="1" spans="1:12">
      <c r="A29" s="117">
        <v>24</v>
      </c>
      <c r="B29" s="118" t="s">
        <v>2117</v>
      </c>
      <c r="C29" s="118" t="s">
        <v>779</v>
      </c>
      <c r="D29" s="120" t="s">
        <v>2160</v>
      </c>
      <c r="E29" s="124">
        <v>45</v>
      </c>
      <c r="F29" s="124">
        <v>0</v>
      </c>
      <c r="G29" s="124">
        <v>0</v>
      </c>
      <c r="H29" s="124">
        <f t="shared" si="0"/>
        <v>45</v>
      </c>
      <c r="I29" s="133" t="s">
        <v>2161</v>
      </c>
      <c r="J29" s="135" t="s">
        <v>2127</v>
      </c>
      <c r="K29" s="118" t="s">
        <v>2122</v>
      </c>
      <c r="L29" s="132">
        <v>2120801</v>
      </c>
    </row>
    <row r="30" s="85" customFormat="1" ht="30" customHeight="1" spans="1:12">
      <c r="A30" s="117">
        <v>25</v>
      </c>
      <c r="B30" s="118" t="s">
        <v>2117</v>
      </c>
      <c r="C30" s="118" t="s">
        <v>2162</v>
      </c>
      <c r="D30" s="120" t="s">
        <v>2163</v>
      </c>
      <c r="E30" s="124">
        <v>50</v>
      </c>
      <c r="F30" s="124">
        <v>0</v>
      </c>
      <c r="G30" s="124">
        <v>0</v>
      </c>
      <c r="H30" s="124">
        <f t="shared" si="0"/>
        <v>50</v>
      </c>
      <c r="I30" s="133" t="s">
        <v>2164</v>
      </c>
      <c r="J30" s="135" t="s">
        <v>2127</v>
      </c>
      <c r="K30" s="118" t="s">
        <v>2122</v>
      </c>
      <c r="L30" s="138">
        <v>2120802</v>
      </c>
    </row>
    <row r="31" s="85" customFormat="1" ht="30" customHeight="1" spans="1:12">
      <c r="A31" s="117">
        <v>26</v>
      </c>
      <c r="B31" s="119" t="s">
        <v>2117</v>
      </c>
      <c r="C31" s="119" t="s">
        <v>2165</v>
      </c>
      <c r="D31" s="120" t="s">
        <v>2166</v>
      </c>
      <c r="E31" s="124">
        <v>300</v>
      </c>
      <c r="F31" s="124">
        <v>0</v>
      </c>
      <c r="G31" s="124">
        <v>0</v>
      </c>
      <c r="H31" s="124">
        <f t="shared" si="0"/>
        <v>300</v>
      </c>
      <c r="I31" s="133" t="s">
        <v>2167</v>
      </c>
      <c r="J31" s="135" t="s">
        <v>2127</v>
      </c>
      <c r="K31" s="118" t="s">
        <v>2122</v>
      </c>
      <c r="L31" s="139">
        <v>2120802</v>
      </c>
    </row>
    <row r="32" s="87" customFormat="1" ht="30" customHeight="1" spans="1:12">
      <c r="A32" s="117">
        <v>27</v>
      </c>
      <c r="B32" s="119" t="s">
        <v>2117</v>
      </c>
      <c r="C32" s="118" t="s">
        <v>2168</v>
      </c>
      <c r="D32" s="120" t="s">
        <v>2169</v>
      </c>
      <c r="E32" s="124">
        <v>200</v>
      </c>
      <c r="F32" s="124">
        <v>0</v>
      </c>
      <c r="G32" s="124">
        <v>-100</v>
      </c>
      <c r="H32" s="124">
        <f t="shared" si="0"/>
        <v>100</v>
      </c>
      <c r="I32" s="133" t="s">
        <v>2170</v>
      </c>
      <c r="J32" s="135" t="s">
        <v>2127</v>
      </c>
      <c r="K32" s="118" t="s">
        <v>2122</v>
      </c>
      <c r="L32" s="136">
        <v>2120801</v>
      </c>
    </row>
    <row r="33" s="85" customFormat="1" ht="30" customHeight="1" spans="1:12">
      <c r="A33" s="117">
        <v>28</v>
      </c>
      <c r="B33" s="119" t="s">
        <v>2117</v>
      </c>
      <c r="C33" s="118" t="s">
        <v>2168</v>
      </c>
      <c r="D33" s="120" t="s">
        <v>2171</v>
      </c>
      <c r="E33" s="124">
        <v>100</v>
      </c>
      <c r="F33" s="124">
        <v>0</v>
      </c>
      <c r="G33" s="124">
        <v>-50</v>
      </c>
      <c r="H33" s="124">
        <f t="shared" si="0"/>
        <v>50</v>
      </c>
      <c r="I33" s="133" t="s">
        <v>2172</v>
      </c>
      <c r="J33" s="135" t="s">
        <v>2127</v>
      </c>
      <c r="K33" s="118" t="s">
        <v>2122</v>
      </c>
      <c r="L33" s="132">
        <v>2120801</v>
      </c>
    </row>
    <row r="34" s="87" customFormat="1" ht="30" customHeight="1" spans="1:12">
      <c r="A34" s="117">
        <v>29</v>
      </c>
      <c r="B34" s="119" t="s">
        <v>2117</v>
      </c>
      <c r="C34" s="118" t="s">
        <v>2168</v>
      </c>
      <c r="D34" s="120" t="s">
        <v>2173</v>
      </c>
      <c r="E34" s="124">
        <v>47</v>
      </c>
      <c r="F34" s="124">
        <v>0</v>
      </c>
      <c r="G34" s="124">
        <v>-37.53</v>
      </c>
      <c r="H34" s="124">
        <f t="shared" si="0"/>
        <v>9.47</v>
      </c>
      <c r="I34" s="133" t="s">
        <v>2174</v>
      </c>
      <c r="J34" s="135" t="s">
        <v>2127</v>
      </c>
      <c r="K34" s="118" t="s">
        <v>2122</v>
      </c>
      <c r="L34" s="137">
        <v>2120803</v>
      </c>
    </row>
    <row r="35" s="85" customFormat="1" ht="30" customHeight="1" spans="1:12">
      <c r="A35" s="117">
        <v>30</v>
      </c>
      <c r="B35" s="119" t="s">
        <v>2117</v>
      </c>
      <c r="C35" s="118" t="s">
        <v>2168</v>
      </c>
      <c r="D35" s="120" t="s">
        <v>2175</v>
      </c>
      <c r="E35" s="124">
        <v>49</v>
      </c>
      <c r="F35" s="124">
        <v>0</v>
      </c>
      <c r="G35" s="124">
        <v>0</v>
      </c>
      <c r="H35" s="124">
        <f t="shared" si="0"/>
        <v>49</v>
      </c>
      <c r="I35" s="133" t="s">
        <v>2176</v>
      </c>
      <c r="J35" s="135" t="s">
        <v>2127</v>
      </c>
      <c r="K35" s="118" t="s">
        <v>2122</v>
      </c>
      <c r="L35" s="132">
        <v>2120801</v>
      </c>
    </row>
    <row r="36" s="85" customFormat="1" ht="30" customHeight="1" spans="1:12">
      <c r="A36" s="117">
        <v>31</v>
      </c>
      <c r="B36" s="118" t="s">
        <v>2117</v>
      </c>
      <c r="C36" s="118" t="s">
        <v>1591</v>
      </c>
      <c r="D36" s="125" t="s">
        <v>2177</v>
      </c>
      <c r="E36" s="124">
        <v>200</v>
      </c>
      <c r="F36" s="124">
        <v>0</v>
      </c>
      <c r="G36" s="124">
        <v>0</v>
      </c>
      <c r="H36" s="124">
        <f t="shared" si="0"/>
        <v>200</v>
      </c>
      <c r="I36" s="133" t="s">
        <v>2178</v>
      </c>
      <c r="J36" s="135" t="s">
        <v>2127</v>
      </c>
      <c r="K36" s="118" t="s">
        <v>2122</v>
      </c>
      <c r="L36" s="138">
        <v>2120801</v>
      </c>
    </row>
    <row r="37" s="85" customFormat="1" ht="30" customHeight="1" spans="1:12">
      <c r="A37" s="117">
        <v>32</v>
      </c>
      <c r="B37" s="118" t="s">
        <v>2117</v>
      </c>
      <c r="C37" s="126" t="s">
        <v>2118</v>
      </c>
      <c r="D37" s="79" t="s">
        <v>2179</v>
      </c>
      <c r="E37" s="124">
        <v>0</v>
      </c>
      <c r="F37" s="124">
        <v>2820</v>
      </c>
      <c r="G37" s="124">
        <v>0</v>
      </c>
      <c r="H37" s="124">
        <f t="shared" si="0"/>
        <v>0</v>
      </c>
      <c r="I37" s="133" t="s">
        <v>2180</v>
      </c>
      <c r="J37" s="135" t="s">
        <v>2127</v>
      </c>
      <c r="K37" s="118" t="s">
        <v>2122</v>
      </c>
      <c r="L37" s="132">
        <v>2120801</v>
      </c>
    </row>
    <row r="38" s="85" customFormat="1" ht="50" customHeight="1" spans="1:12">
      <c r="A38" s="117">
        <v>33</v>
      </c>
      <c r="B38" s="118" t="s">
        <v>2117</v>
      </c>
      <c r="C38" s="126" t="s">
        <v>2118</v>
      </c>
      <c r="D38" s="79" t="s">
        <v>2181</v>
      </c>
      <c r="E38" s="124">
        <v>0</v>
      </c>
      <c r="F38" s="124">
        <f>19703.561-8500</f>
        <v>11203.561</v>
      </c>
      <c r="G38" s="124">
        <v>0</v>
      </c>
      <c r="H38" s="124">
        <f t="shared" si="0"/>
        <v>0</v>
      </c>
      <c r="I38" s="133" t="s">
        <v>2182</v>
      </c>
      <c r="J38" s="135" t="s">
        <v>2127</v>
      </c>
      <c r="K38" s="118" t="s">
        <v>2122</v>
      </c>
      <c r="L38" s="132">
        <v>2120801</v>
      </c>
    </row>
    <row r="39" s="85" customFormat="1" ht="30" customHeight="1" spans="1:12">
      <c r="A39" s="113">
        <v>34</v>
      </c>
      <c r="B39" s="114"/>
      <c r="C39" s="115" t="s">
        <v>2183</v>
      </c>
      <c r="D39" s="115"/>
      <c r="E39" s="116">
        <f>SUM(E40:E49)</f>
        <v>100</v>
      </c>
      <c r="F39" s="116">
        <f>SUM(F40:F49)</f>
        <v>1211.37</v>
      </c>
      <c r="G39" s="116">
        <f>SUM(G40:G49)</f>
        <v>-99.84</v>
      </c>
      <c r="H39" s="116">
        <f>SUM(H40:H49)</f>
        <v>0.16</v>
      </c>
      <c r="I39" s="114"/>
      <c r="J39" s="131"/>
      <c r="K39" s="131"/>
      <c r="L39" s="131"/>
    </row>
    <row r="40" s="87" customFormat="1" ht="30" customHeight="1" spans="1:12">
      <c r="A40" s="117">
        <v>35</v>
      </c>
      <c r="B40" s="119" t="s">
        <v>2184</v>
      </c>
      <c r="C40" s="118" t="s">
        <v>2168</v>
      </c>
      <c r="D40" s="120" t="s">
        <v>2185</v>
      </c>
      <c r="E40" s="124">
        <v>100</v>
      </c>
      <c r="F40" s="127">
        <v>0</v>
      </c>
      <c r="G40" s="127">
        <v>-100</v>
      </c>
      <c r="H40" s="124">
        <f t="shared" ref="H40:H49" si="1">E40+G40</f>
        <v>0</v>
      </c>
      <c r="I40" s="125"/>
      <c r="J40" s="135" t="s">
        <v>2186</v>
      </c>
      <c r="K40" s="118" t="s">
        <v>2122</v>
      </c>
      <c r="L40" s="132">
        <v>2120802</v>
      </c>
    </row>
    <row r="41" s="86" customFormat="1" ht="30" customHeight="1" spans="1:12">
      <c r="A41" s="117">
        <v>36</v>
      </c>
      <c r="B41" s="119" t="s">
        <v>2184</v>
      </c>
      <c r="C41" s="118" t="s">
        <v>2168</v>
      </c>
      <c r="D41" s="79" t="s">
        <v>2187</v>
      </c>
      <c r="E41" s="124">
        <v>0</v>
      </c>
      <c r="F41" s="124">
        <v>23.8</v>
      </c>
      <c r="G41" s="124">
        <v>0</v>
      </c>
      <c r="H41" s="124">
        <f t="shared" si="1"/>
        <v>0</v>
      </c>
      <c r="I41" s="125" t="s">
        <v>2188</v>
      </c>
      <c r="J41" s="135" t="s">
        <v>2186</v>
      </c>
      <c r="K41" s="118" t="s">
        <v>2122</v>
      </c>
      <c r="L41" s="132">
        <v>2120806</v>
      </c>
    </row>
    <row r="42" s="86" customFormat="1" ht="30" customHeight="1" spans="1:12">
      <c r="A42" s="117">
        <v>37</v>
      </c>
      <c r="B42" s="126" t="s">
        <v>2117</v>
      </c>
      <c r="C42" s="126" t="s">
        <v>2189</v>
      </c>
      <c r="D42" s="79" t="s">
        <v>2190</v>
      </c>
      <c r="E42" s="124">
        <v>0</v>
      </c>
      <c r="F42" s="124">
        <v>13.83</v>
      </c>
      <c r="G42" s="124">
        <v>0</v>
      </c>
      <c r="H42" s="124">
        <f t="shared" si="1"/>
        <v>0</v>
      </c>
      <c r="I42" s="133" t="s">
        <v>2191</v>
      </c>
      <c r="J42" s="135" t="s">
        <v>2186</v>
      </c>
      <c r="K42" s="118" t="s">
        <v>2122</v>
      </c>
      <c r="L42" s="132">
        <v>2120806</v>
      </c>
    </row>
    <row r="43" s="86" customFormat="1" ht="30" customHeight="1" spans="1:12">
      <c r="A43" s="117">
        <v>38</v>
      </c>
      <c r="B43" s="126" t="s">
        <v>2117</v>
      </c>
      <c r="C43" s="126" t="s">
        <v>2168</v>
      </c>
      <c r="D43" s="79" t="s">
        <v>2192</v>
      </c>
      <c r="E43" s="124">
        <v>0</v>
      </c>
      <c r="F43" s="124">
        <v>299</v>
      </c>
      <c r="G43" s="124">
        <v>0</v>
      </c>
      <c r="H43" s="124">
        <f t="shared" si="1"/>
        <v>0</v>
      </c>
      <c r="I43" s="133" t="s">
        <v>2193</v>
      </c>
      <c r="J43" s="135" t="s">
        <v>2186</v>
      </c>
      <c r="K43" s="118" t="s">
        <v>2122</v>
      </c>
      <c r="L43" s="140">
        <v>2120803</v>
      </c>
    </row>
    <row r="44" s="86" customFormat="1" ht="30" customHeight="1" spans="1:12">
      <c r="A44" s="117">
        <v>39</v>
      </c>
      <c r="B44" s="126" t="s">
        <v>2117</v>
      </c>
      <c r="C44" s="126" t="s">
        <v>2194</v>
      </c>
      <c r="D44" s="79" t="s">
        <v>2195</v>
      </c>
      <c r="E44" s="124">
        <v>0</v>
      </c>
      <c r="F44" s="124">
        <v>0.16</v>
      </c>
      <c r="G44" s="124">
        <v>0.16</v>
      </c>
      <c r="H44" s="124">
        <f t="shared" si="1"/>
        <v>0.16</v>
      </c>
      <c r="I44" s="133" t="s">
        <v>2196</v>
      </c>
      <c r="J44" s="135" t="s">
        <v>2186</v>
      </c>
      <c r="K44" s="118" t="s">
        <v>2122</v>
      </c>
      <c r="L44" s="132">
        <v>2120802</v>
      </c>
    </row>
    <row r="45" s="86" customFormat="1" ht="120" customHeight="1" spans="1:12">
      <c r="A45" s="117">
        <v>40</v>
      </c>
      <c r="B45" s="126" t="s">
        <v>2117</v>
      </c>
      <c r="C45" s="126" t="s">
        <v>2194</v>
      </c>
      <c r="D45" s="79" t="s">
        <v>2197</v>
      </c>
      <c r="E45" s="124">
        <v>0</v>
      </c>
      <c r="F45" s="124">
        <v>33.18</v>
      </c>
      <c r="G45" s="124">
        <v>0</v>
      </c>
      <c r="H45" s="124">
        <f t="shared" si="1"/>
        <v>0</v>
      </c>
      <c r="I45" s="133" t="s">
        <v>2198</v>
      </c>
      <c r="J45" s="135" t="s">
        <v>2186</v>
      </c>
      <c r="K45" s="118" t="s">
        <v>2122</v>
      </c>
      <c r="L45" s="132">
        <v>2120802</v>
      </c>
    </row>
    <row r="46" s="86" customFormat="1" ht="30" customHeight="1" spans="1:12">
      <c r="A46" s="117">
        <v>41</v>
      </c>
      <c r="B46" s="126" t="s">
        <v>2117</v>
      </c>
      <c r="C46" s="126" t="s">
        <v>2194</v>
      </c>
      <c r="D46" s="79" t="s">
        <v>2199</v>
      </c>
      <c r="E46" s="124">
        <v>0</v>
      </c>
      <c r="F46" s="124">
        <v>21.36</v>
      </c>
      <c r="G46" s="124">
        <v>0</v>
      </c>
      <c r="H46" s="124">
        <f t="shared" si="1"/>
        <v>0</v>
      </c>
      <c r="I46" s="133" t="s">
        <v>2200</v>
      </c>
      <c r="J46" s="135" t="s">
        <v>2186</v>
      </c>
      <c r="K46" s="118" t="s">
        <v>2122</v>
      </c>
      <c r="L46" s="132">
        <v>2120802</v>
      </c>
    </row>
    <row r="47" s="86" customFormat="1" ht="90" customHeight="1" spans="1:12">
      <c r="A47" s="117">
        <v>42</v>
      </c>
      <c r="B47" s="126" t="s">
        <v>2117</v>
      </c>
      <c r="C47" s="126" t="s">
        <v>2194</v>
      </c>
      <c r="D47" s="79" t="s">
        <v>2201</v>
      </c>
      <c r="E47" s="124">
        <v>0</v>
      </c>
      <c r="F47" s="124">
        <v>6.93</v>
      </c>
      <c r="G47" s="124">
        <v>0</v>
      </c>
      <c r="H47" s="124">
        <f t="shared" si="1"/>
        <v>0</v>
      </c>
      <c r="I47" s="133" t="s">
        <v>2202</v>
      </c>
      <c r="J47" s="135" t="s">
        <v>2186</v>
      </c>
      <c r="K47" s="118" t="s">
        <v>2122</v>
      </c>
      <c r="L47" s="132">
        <v>2120802</v>
      </c>
    </row>
    <row r="48" s="86" customFormat="1" ht="90" customHeight="1" spans="1:12">
      <c r="A48" s="117">
        <v>43</v>
      </c>
      <c r="B48" s="126" t="s">
        <v>2117</v>
      </c>
      <c r="C48" s="126" t="s">
        <v>2194</v>
      </c>
      <c r="D48" s="79" t="s">
        <v>2203</v>
      </c>
      <c r="E48" s="124">
        <v>0</v>
      </c>
      <c r="F48" s="124">
        <v>2.39</v>
      </c>
      <c r="G48" s="124">
        <v>0</v>
      </c>
      <c r="H48" s="124">
        <f t="shared" si="1"/>
        <v>0</v>
      </c>
      <c r="I48" s="133" t="s">
        <v>2204</v>
      </c>
      <c r="J48" s="135" t="s">
        <v>2186</v>
      </c>
      <c r="K48" s="118" t="s">
        <v>2122</v>
      </c>
      <c r="L48" s="132">
        <v>2120802</v>
      </c>
    </row>
    <row r="49" s="86" customFormat="1" ht="150" customHeight="1" spans="1:12">
      <c r="A49" s="117">
        <v>44</v>
      </c>
      <c r="B49" s="126" t="s">
        <v>2117</v>
      </c>
      <c r="C49" s="126" t="s">
        <v>2194</v>
      </c>
      <c r="D49" s="79" t="s">
        <v>2205</v>
      </c>
      <c r="E49" s="124">
        <v>0</v>
      </c>
      <c r="F49" s="124">
        <v>810.72</v>
      </c>
      <c r="G49" s="124">
        <v>0</v>
      </c>
      <c r="H49" s="124">
        <f t="shared" si="1"/>
        <v>0</v>
      </c>
      <c r="I49" s="133" t="s">
        <v>2206</v>
      </c>
      <c r="J49" s="135" t="s">
        <v>2186</v>
      </c>
      <c r="K49" s="118" t="s">
        <v>2122</v>
      </c>
      <c r="L49" s="132">
        <v>2120802</v>
      </c>
    </row>
    <row r="50" s="87" customFormat="1" ht="30" customHeight="1" spans="1:12">
      <c r="A50" s="113">
        <v>45</v>
      </c>
      <c r="B50" s="114"/>
      <c r="C50" s="115" t="s">
        <v>2207</v>
      </c>
      <c r="D50" s="115"/>
      <c r="E50" s="116">
        <f>SUM(E51:E85)</f>
        <v>3816.2</v>
      </c>
      <c r="F50" s="116">
        <f>SUM(F51:F85)</f>
        <v>9255.640984</v>
      </c>
      <c r="G50" s="116">
        <f>SUM(G51:G85)</f>
        <v>-214.55</v>
      </c>
      <c r="H50" s="116">
        <f>SUM(H51:H85)</f>
        <v>3601.65</v>
      </c>
      <c r="I50" s="141"/>
      <c r="J50" s="131"/>
      <c r="K50" s="131"/>
      <c r="L50" s="132"/>
    </row>
    <row r="51" s="85" customFormat="1" ht="30" customHeight="1" spans="1:12">
      <c r="A51" s="117">
        <v>46</v>
      </c>
      <c r="B51" s="118" t="s">
        <v>627</v>
      </c>
      <c r="C51" s="118" t="s">
        <v>1357</v>
      </c>
      <c r="D51" s="120" t="s">
        <v>2208</v>
      </c>
      <c r="E51" s="124">
        <v>1.46</v>
      </c>
      <c r="F51" s="124">
        <v>0</v>
      </c>
      <c r="G51" s="124">
        <v>0</v>
      </c>
      <c r="H51" s="124">
        <f t="shared" ref="H51:H85" si="2">E51+G51</f>
        <v>1.46</v>
      </c>
      <c r="I51" s="125"/>
      <c r="J51" s="135" t="s">
        <v>2209</v>
      </c>
      <c r="K51" s="118" t="s">
        <v>2122</v>
      </c>
      <c r="L51" s="132">
        <v>2120803</v>
      </c>
    </row>
    <row r="52" s="87" customFormat="1" ht="30" customHeight="1" spans="1:12">
      <c r="A52" s="117">
        <v>47</v>
      </c>
      <c r="B52" s="118" t="s">
        <v>1691</v>
      </c>
      <c r="C52" s="118" t="s">
        <v>1494</v>
      </c>
      <c r="D52" s="120" t="s">
        <v>2210</v>
      </c>
      <c r="E52" s="124">
        <v>723.09</v>
      </c>
      <c r="F52" s="124">
        <v>0</v>
      </c>
      <c r="G52" s="124">
        <v>0</v>
      </c>
      <c r="H52" s="124">
        <f t="shared" si="2"/>
        <v>723.09</v>
      </c>
      <c r="I52" s="120" t="s">
        <v>2211</v>
      </c>
      <c r="J52" s="135" t="s">
        <v>2209</v>
      </c>
      <c r="K52" s="118" t="s">
        <v>2122</v>
      </c>
      <c r="L52" s="132">
        <v>2120899</v>
      </c>
    </row>
    <row r="53" s="87" customFormat="1" ht="30" customHeight="1" spans="1:12">
      <c r="A53" s="117">
        <v>48</v>
      </c>
      <c r="B53" s="118" t="s">
        <v>1691</v>
      </c>
      <c r="C53" s="118" t="s">
        <v>1562</v>
      </c>
      <c r="D53" s="120" t="s">
        <v>2212</v>
      </c>
      <c r="E53" s="124">
        <v>1000</v>
      </c>
      <c r="F53" s="124">
        <v>-290</v>
      </c>
      <c r="G53" s="124">
        <v>-290</v>
      </c>
      <c r="H53" s="124">
        <f t="shared" si="2"/>
        <v>710</v>
      </c>
      <c r="I53" s="120" t="s">
        <v>2213</v>
      </c>
      <c r="J53" s="135" t="s">
        <v>2209</v>
      </c>
      <c r="K53" s="118" t="s">
        <v>2122</v>
      </c>
      <c r="L53" s="132">
        <v>2120899</v>
      </c>
    </row>
    <row r="54" s="87" customFormat="1" ht="30" customHeight="1" spans="1:12">
      <c r="A54" s="117">
        <v>49</v>
      </c>
      <c r="B54" s="118" t="s">
        <v>1691</v>
      </c>
      <c r="C54" s="118" t="s">
        <v>1562</v>
      </c>
      <c r="D54" s="120" t="s">
        <v>2214</v>
      </c>
      <c r="E54" s="124">
        <v>595.55</v>
      </c>
      <c r="F54" s="124">
        <v>0</v>
      </c>
      <c r="G54" s="124">
        <v>-300</v>
      </c>
      <c r="H54" s="124">
        <f t="shared" si="2"/>
        <v>295.55</v>
      </c>
      <c r="I54" s="120" t="s">
        <v>2215</v>
      </c>
      <c r="J54" s="135" t="s">
        <v>2209</v>
      </c>
      <c r="K54" s="118" t="s">
        <v>2122</v>
      </c>
      <c r="L54" s="132">
        <v>2120899</v>
      </c>
    </row>
    <row r="55" s="87" customFormat="1" ht="30" customHeight="1" spans="1:12">
      <c r="A55" s="117">
        <v>50</v>
      </c>
      <c r="B55" s="118" t="s">
        <v>572</v>
      </c>
      <c r="C55" s="118" t="s">
        <v>2216</v>
      </c>
      <c r="D55" s="120" t="s">
        <v>2217</v>
      </c>
      <c r="E55" s="124">
        <v>40</v>
      </c>
      <c r="F55" s="124">
        <v>0</v>
      </c>
      <c r="G55" s="124">
        <v>0</v>
      </c>
      <c r="H55" s="124">
        <f t="shared" si="2"/>
        <v>40</v>
      </c>
      <c r="I55" s="126"/>
      <c r="J55" s="135" t="s">
        <v>2209</v>
      </c>
      <c r="K55" s="118" t="s">
        <v>2122</v>
      </c>
      <c r="L55" s="132">
        <v>2120899</v>
      </c>
    </row>
    <row r="56" s="86" customFormat="1" ht="30" customHeight="1" spans="1:12">
      <c r="A56" s="117">
        <v>51</v>
      </c>
      <c r="B56" s="118" t="s">
        <v>572</v>
      </c>
      <c r="C56" s="119" t="s">
        <v>1055</v>
      </c>
      <c r="D56" s="120" t="s">
        <v>2218</v>
      </c>
      <c r="E56" s="124">
        <v>124.82</v>
      </c>
      <c r="F56" s="124">
        <v>734.25722</v>
      </c>
      <c r="G56" s="124">
        <v>0</v>
      </c>
      <c r="H56" s="124">
        <f t="shared" si="2"/>
        <v>124.82</v>
      </c>
      <c r="I56" s="79" t="s">
        <v>2219</v>
      </c>
      <c r="J56" s="135" t="s">
        <v>2209</v>
      </c>
      <c r="K56" s="118" t="s">
        <v>2122</v>
      </c>
      <c r="L56" s="132">
        <v>2120899</v>
      </c>
    </row>
    <row r="57" s="86" customFormat="1" ht="30" customHeight="1" spans="1:12">
      <c r="A57" s="117">
        <v>52</v>
      </c>
      <c r="B57" s="118" t="s">
        <v>2117</v>
      </c>
      <c r="C57" s="118" t="s">
        <v>2165</v>
      </c>
      <c r="D57" s="120" t="s">
        <v>2220</v>
      </c>
      <c r="E57" s="124">
        <v>41.22</v>
      </c>
      <c r="F57" s="124">
        <v>0</v>
      </c>
      <c r="G57" s="124">
        <v>0</v>
      </c>
      <c r="H57" s="124">
        <f t="shared" si="2"/>
        <v>41.22</v>
      </c>
      <c r="I57" s="133" t="s">
        <v>2221</v>
      </c>
      <c r="J57" s="135" t="s">
        <v>2209</v>
      </c>
      <c r="K57" s="118" t="s">
        <v>2122</v>
      </c>
      <c r="L57" s="132">
        <v>2120803</v>
      </c>
    </row>
    <row r="58" s="87" customFormat="1" ht="30" customHeight="1" spans="1:12">
      <c r="A58" s="117">
        <v>53</v>
      </c>
      <c r="B58" s="118" t="s">
        <v>627</v>
      </c>
      <c r="C58" s="118" t="s">
        <v>833</v>
      </c>
      <c r="D58" s="120" t="s">
        <v>2222</v>
      </c>
      <c r="E58" s="124">
        <v>13.84</v>
      </c>
      <c r="F58" s="124">
        <v>0</v>
      </c>
      <c r="G58" s="124">
        <v>0</v>
      </c>
      <c r="H58" s="124">
        <f t="shared" si="2"/>
        <v>13.84</v>
      </c>
      <c r="I58" s="125"/>
      <c r="J58" s="135" t="s">
        <v>2209</v>
      </c>
      <c r="K58" s="118" t="s">
        <v>2122</v>
      </c>
      <c r="L58" s="132">
        <v>2120803</v>
      </c>
    </row>
    <row r="59" s="87" customFormat="1" ht="30" customHeight="1" spans="1:12">
      <c r="A59" s="117">
        <v>54</v>
      </c>
      <c r="B59" s="118" t="s">
        <v>627</v>
      </c>
      <c r="C59" s="118" t="s">
        <v>2223</v>
      </c>
      <c r="D59" s="120" t="s">
        <v>2224</v>
      </c>
      <c r="E59" s="124">
        <v>31.64</v>
      </c>
      <c r="F59" s="124">
        <v>189.78</v>
      </c>
      <c r="G59" s="124">
        <v>0</v>
      </c>
      <c r="H59" s="124">
        <f t="shared" si="2"/>
        <v>31.64</v>
      </c>
      <c r="I59" s="125"/>
      <c r="J59" s="135" t="s">
        <v>2209</v>
      </c>
      <c r="K59" s="118" t="s">
        <v>2122</v>
      </c>
      <c r="L59" s="132">
        <v>2120803</v>
      </c>
    </row>
    <row r="60" s="87" customFormat="1" ht="30" customHeight="1" spans="1:12">
      <c r="A60" s="117">
        <v>55</v>
      </c>
      <c r="B60" s="118" t="s">
        <v>627</v>
      </c>
      <c r="C60" s="118" t="s">
        <v>2225</v>
      </c>
      <c r="D60" s="120" t="s">
        <v>2226</v>
      </c>
      <c r="E60" s="124">
        <v>5.55</v>
      </c>
      <c r="F60" s="124">
        <v>0</v>
      </c>
      <c r="G60" s="124">
        <v>0</v>
      </c>
      <c r="H60" s="124">
        <f t="shared" si="2"/>
        <v>5.55</v>
      </c>
      <c r="I60" s="125"/>
      <c r="J60" s="135" t="s">
        <v>2209</v>
      </c>
      <c r="K60" s="118" t="s">
        <v>2122</v>
      </c>
      <c r="L60" s="132">
        <v>2120803</v>
      </c>
    </row>
    <row r="61" s="87" customFormat="1" ht="30" customHeight="1" spans="1:12">
      <c r="A61" s="117">
        <v>56</v>
      </c>
      <c r="B61" s="118" t="s">
        <v>627</v>
      </c>
      <c r="C61" s="118" t="s">
        <v>2227</v>
      </c>
      <c r="D61" s="120" t="s">
        <v>2228</v>
      </c>
      <c r="E61" s="124">
        <v>33.28</v>
      </c>
      <c r="F61" s="124">
        <v>0</v>
      </c>
      <c r="G61" s="124">
        <v>0</v>
      </c>
      <c r="H61" s="124">
        <f t="shared" si="2"/>
        <v>33.28</v>
      </c>
      <c r="I61" s="125"/>
      <c r="J61" s="135" t="s">
        <v>2209</v>
      </c>
      <c r="K61" s="118" t="s">
        <v>2122</v>
      </c>
      <c r="L61" s="132">
        <v>2120803</v>
      </c>
    </row>
    <row r="62" s="87" customFormat="1" ht="30" customHeight="1" spans="1:12">
      <c r="A62" s="117">
        <v>57</v>
      </c>
      <c r="B62" s="118" t="s">
        <v>627</v>
      </c>
      <c r="C62" s="118" t="s">
        <v>2227</v>
      </c>
      <c r="D62" s="120" t="s">
        <v>2229</v>
      </c>
      <c r="E62" s="124">
        <v>8.89</v>
      </c>
      <c r="F62" s="124">
        <v>90</v>
      </c>
      <c r="G62" s="124">
        <v>0</v>
      </c>
      <c r="H62" s="124">
        <f t="shared" si="2"/>
        <v>8.89</v>
      </c>
      <c r="I62" s="125" t="s">
        <v>2230</v>
      </c>
      <c r="J62" s="135" t="s">
        <v>2209</v>
      </c>
      <c r="K62" s="118" t="s">
        <v>2122</v>
      </c>
      <c r="L62" s="132">
        <v>2120803</v>
      </c>
    </row>
    <row r="63" s="87" customFormat="1" ht="30" customHeight="1" spans="1:12">
      <c r="A63" s="117">
        <v>58</v>
      </c>
      <c r="B63" s="118" t="s">
        <v>627</v>
      </c>
      <c r="C63" s="118" t="s">
        <v>1428</v>
      </c>
      <c r="D63" s="120" t="s">
        <v>2231</v>
      </c>
      <c r="E63" s="124">
        <v>10.15</v>
      </c>
      <c r="F63" s="124">
        <v>49.54</v>
      </c>
      <c r="G63" s="124">
        <v>0</v>
      </c>
      <c r="H63" s="124">
        <f t="shared" si="2"/>
        <v>10.15</v>
      </c>
      <c r="I63" s="125" t="s">
        <v>2232</v>
      </c>
      <c r="J63" s="135" t="s">
        <v>2209</v>
      </c>
      <c r="K63" s="118" t="s">
        <v>2122</v>
      </c>
      <c r="L63" s="132">
        <v>2120803</v>
      </c>
    </row>
    <row r="64" s="86" customFormat="1" ht="30" customHeight="1" spans="1:12">
      <c r="A64" s="117">
        <v>59</v>
      </c>
      <c r="B64" s="118" t="s">
        <v>627</v>
      </c>
      <c r="C64" s="119" t="s">
        <v>1428</v>
      </c>
      <c r="D64" s="120" t="s">
        <v>2233</v>
      </c>
      <c r="E64" s="124">
        <v>40</v>
      </c>
      <c r="F64" s="124">
        <v>42.35</v>
      </c>
      <c r="G64" s="124">
        <v>0</v>
      </c>
      <c r="H64" s="124">
        <f t="shared" si="2"/>
        <v>40</v>
      </c>
      <c r="I64" s="125" t="s">
        <v>2234</v>
      </c>
      <c r="J64" s="135" t="s">
        <v>2209</v>
      </c>
      <c r="K64" s="118" t="s">
        <v>2122</v>
      </c>
      <c r="L64" s="132">
        <v>2120803</v>
      </c>
    </row>
    <row r="65" s="87" customFormat="1" ht="30" customHeight="1" spans="1:12">
      <c r="A65" s="117">
        <v>60</v>
      </c>
      <c r="B65" s="118" t="s">
        <v>627</v>
      </c>
      <c r="C65" s="118" t="s">
        <v>1428</v>
      </c>
      <c r="D65" s="120" t="s">
        <v>2235</v>
      </c>
      <c r="E65" s="124">
        <v>16.71</v>
      </c>
      <c r="F65" s="124">
        <v>83.29</v>
      </c>
      <c r="G65" s="124">
        <v>0</v>
      </c>
      <c r="H65" s="124">
        <f t="shared" si="2"/>
        <v>16.71</v>
      </c>
      <c r="I65" s="125" t="s">
        <v>2236</v>
      </c>
      <c r="J65" s="135" t="s">
        <v>2209</v>
      </c>
      <c r="K65" s="118" t="s">
        <v>2122</v>
      </c>
      <c r="L65" s="132">
        <v>2120803</v>
      </c>
    </row>
    <row r="66" s="86" customFormat="1" ht="30" customHeight="1" spans="1:12">
      <c r="A66" s="117">
        <v>61</v>
      </c>
      <c r="B66" s="118" t="s">
        <v>627</v>
      </c>
      <c r="C66" s="142" t="s">
        <v>2237</v>
      </c>
      <c r="D66" s="120" t="s">
        <v>2238</v>
      </c>
      <c r="E66" s="124">
        <v>43.54</v>
      </c>
      <c r="F66" s="124">
        <v>600</v>
      </c>
      <c r="G66" s="124">
        <v>0</v>
      </c>
      <c r="H66" s="124">
        <f t="shared" si="2"/>
        <v>43.54</v>
      </c>
      <c r="I66" s="125" t="s">
        <v>2239</v>
      </c>
      <c r="J66" s="135" t="s">
        <v>2209</v>
      </c>
      <c r="K66" s="118" t="s">
        <v>2122</v>
      </c>
      <c r="L66" s="132">
        <v>2120803</v>
      </c>
    </row>
    <row r="67" s="86" customFormat="1" ht="30" customHeight="1" spans="1:12">
      <c r="A67" s="117">
        <v>62</v>
      </c>
      <c r="B67" s="118" t="s">
        <v>627</v>
      </c>
      <c r="C67" s="142" t="s">
        <v>2237</v>
      </c>
      <c r="D67" s="120" t="s">
        <v>2240</v>
      </c>
      <c r="E67" s="124">
        <v>33.92</v>
      </c>
      <c r="F67" s="124">
        <v>300</v>
      </c>
      <c r="G67" s="124">
        <v>0</v>
      </c>
      <c r="H67" s="124">
        <f t="shared" si="2"/>
        <v>33.92</v>
      </c>
      <c r="I67" s="125"/>
      <c r="J67" s="135" t="s">
        <v>2209</v>
      </c>
      <c r="K67" s="118" t="s">
        <v>2122</v>
      </c>
      <c r="L67" s="132">
        <v>2120803</v>
      </c>
    </row>
    <row r="68" s="87" customFormat="1" ht="30" customHeight="1" spans="1:12">
      <c r="A68" s="117">
        <v>63</v>
      </c>
      <c r="B68" s="118" t="s">
        <v>627</v>
      </c>
      <c r="C68" s="118" t="s">
        <v>1562</v>
      </c>
      <c r="D68" s="120" t="s">
        <v>2241</v>
      </c>
      <c r="E68" s="124">
        <v>15.3</v>
      </c>
      <c r="F68" s="124">
        <v>74.7</v>
      </c>
      <c r="G68" s="124">
        <v>0</v>
      </c>
      <c r="H68" s="124">
        <f t="shared" si="2"/>
        <v>15.3</v>
      </c>
      <c r="I68" s="125" t="s">
        <v>2242</v>
      </c>
      <c r="J68" s="135" t="s">
        <v>2209</v>
      </c>
      <c r="K68" s="118" t="s">
        <v>2122</v>
      </c>
      <c r="L68" s="132">
        <v>2120801</v>
      </c>
    </row>
    <row r="69" s="87" customFormat="1" ht="30" customHeight="1" spans="1:12">
      <c r="A69" s="117">
        <v>64</v>
      </c>
      <c r="B69" s="118" t="s">
        <v>627</v>
      </c>
      <c r="C69" s="118" t="s">
        <v>1357</v>
      </c>
      <c r="D69" s="120" t="s">
        <v>2243</v>
      </c>
      <c r="E69" s="124">
        <v>12.65</v>
      </c>
      <c r="F69" s="124">
        <v>3.48</v>
      </c>
      <c r="G69" s="124">
        <v>3.48</v>
      </c>
      <c r="H69" s="124">
        <f t="shared" si="2"/>
        <v>16.13</v>
      </c>
      <c r="I69" s="125" t="s">
        <v>2244</v>
      </c>
      <c r="J69" s="135" t="s">
        <v>2209</v>
      </c>
      <c r="K69" s="118" t="s">
        <v>2122</v>
      </c>
      <c r="L69" s="132">
        <v>2120803</v>
      </c>
    </row>
    <row r="70" s="87" customFormat="1" ht="30" customHeight="1" spans="1:12">
      <c r="A70" s="117">
        <v>65</v>
      </c>
      <c r="B70" s="118" t="s">
        <v>627</v>
      </c>
      <c r="C70" s="118" t="s">
        <v>2245</v>
      </c>
      <c r="D70" s="120" t="s">
        <v>2246</v>
      </c>
      <c r="E70" s="124">
        <v>39.16</v>
      </c>
      <c r="F70" s="124">
        <v>36.23</v>
      </c>
      <c r="G70" s="124">
        <v>36.23</v>
      </c>
      <c r="H70" s="124">
        <f t="shared" si="2"/>
        <v>75.39</v>
      </c>
      <c r="I70" s="125" t="s">
        <v>2247</v>
      </c>
      <c r="J70" s="135" t="s">
        <v>2209</v>
      </c>
      <c r="K70" s="118" t="s">
        <v>2122</v>
      </c>
      <c r="L70" s="132">
        <v>2120803</v>
      </c>
    </row>
    <row r="71" s="87" customFormat="1" ht="30" customHeight="1" spans="1:12">
      <c r="A71" s="117">
        <v>66</v>
      </c>
      <c r="B71" s="118" t="s">
        <v>627</v>
      </c>
      <c r="C71" s="118" t="s">
        <v>2248</v>
      </c>
      <c r="D71" s="120" t="s">
        <v>2249</v>
      </c>
      <c r="E71" s="124">
        <v>21.67</v>
      </c>
      <c r="F71" s="124">
        <v>117.48</v>
      </c>
      <c r="G71" s="124">
        <v>0</v>
      </c>
      <c r="H71" s="124">
        <f t="shared" si="2"/>
        <v>21.67</v>
      </c>
      <c r="I71" s="125" t="s">
        <v>2250</v>
      </c>
      <c r="J71" s="135" t="s">
        <v>2209</v>
      </c>
      <c r="K71" s="118" t="s">
        <v>2122</v>
      </c>
      <c r="L71" s="132">
        <v>2120803</v>
      </c>
    </row>
    <row r="72" s="87" customFormat="1" ht="30" customHeight="1" spans="1:12">
      <c r="A72" s="117">
        <v>67</v>
      </c>
      <c r="B72" s="118" t="s">
        <v>627</v>
      </c>
      <c r="C72" s="118" t="s">
        <v>2162</v>
      </c>
      <c r="D72" s="120" t="s">
        <v>2251</v>
      </c>
      <c r="E72" s="124">
        <v>42.47</v>
      </c>
      <c r="F72" s="124">
        <v>0</v>
      </c>
      <c r="G72" s="124">
        <v>0</v>
      </c>
      <c r="H72" s="124">
        <f t="shared" si="2"/>
        <v>42.47</v>
      </c>
      <c r="I72" s="125" t="s">
        <v>2252</v>
      </c>
      <c r="J72" s="135" t="s">
        <v>2209</v>
      </c>
      <c r="K72" s="118" t="s">
        <v>2122</v>
      </c>
      <c r="L72" s="132">
        <v>2120803</v>
      </c>
    </row>
    <row r="73" s="87" customFormat="1" ht="30" customHeight="1" spans="1:12">
      <c r="A73" s="117">
        <v>68</v>
      </c>
      <c r="B73" s="118" t="s">
        <v>627</v>
      </c>
      <c r="C73" s="118" t="s">
        <v>2162</v>
      </c>
      <c r="D73" s="120" t="s">
        <v>2253</v>
      </c>
      <c r="E73" s="124">
        <v>40</v>
      </c>
      <c r="F73" s="124">
        <v>0</v>
      </c>
      <c r="G73" s="124">
        <v>0</v>
      </c>
      <c r="H73" s="124">
        <f t="shared" si="2"/>
        <v>40</v>
      </c>
      <c r="I73" s="125" t="s">
        <v>2254</v>
      </c>
      <c r="J73" s="135" t="s">
        <v>2209</v>
      </c>
      <c r="K73" s="118" t="s">
        <v>2122</v>
      </c>
      <c r="L73" s="132">
        <v>2120803</v>
      </c>
    </row>
    <row r="74" s="87" customFormat="1" ht="30" customHeight="1" spans="1:12">
      <c r="A74" s="117">
        <v>69</v>
      </c>
      <c r="B74" s="118" t="s">
        <v>627</v>
      </c>
      <c r="C74" s="118" t="s">
        <v>2255</v>
      </c>
      <c r="D74" s="120" t="s">
        <v>2256</v>
      </c>
      <c r="E74" s="124">
        <v>73.03</v>
      </c>
      <c r="F74" s="124">
        <v>500.64</v>
      </c>
      <c r="G74" s="124">
        <v>0</v>
      </c>
      <c r="H74" s="124">
        <f t="shared" si="2"/>
        <v>73.03</v>
      </c>
      <c r="I74" s="125" t="s">
        <v>2257</v>
      </c>
      <c r="J74" s="135" t="s">
        <v>2209</v>
      </c>
      <c r="K74" s="118" t="s">
        <v>2122</v>
      </c>
      <c r="L74" s="132">
        <v>2120803</v>
      </c>
    </row>
    <row r="75" s="87" customFormat="1" ht="30" customHeight="1" spans="1:12">
      <c r="A75" s="117">
        <v>70</v>
      </c>
      <c r="B75" s="118" t="s">
        <v>2184</v>
      </c>
      <c r="C75" s="118" t="s">
        <v>2162</v>
      </c>
      <c r="D75" s="120" t="s">
        <v>2258</v>
      </c>
      <c r="E75" s="124">
        <v>0</v>
      </c>
      <c r="F75" s="124">
        <v>57.740584</v>
      </c>
      <c r="G75" s="124">
        <v>57.74</v>
      </c>
      <c r="H75" s="124">
        <f t="shared" si="2"/>
        <v>57.74</v>
      </c>
      <c r="I75" s="79" t="s">
        <v>2259</v>
      </c>
      <c r="J75" s="135" t="s">
        <v>2209</v>
      </c>
      <c r="K75" s="118" t="s">
        <v>2122</v>
      </c>
      <c r="L75" s="132">
        <v>2120803</v>
      </c>
    </row>
    <row r="76" s="87" customFormat="1" ht="30" customHeight="1" spans="1:12">
      <c r="A76" s="117">
        <v>71</v>
      </c>
      <c r="B76" s="118" t="s">
        <v>627</v>
      </c>
      <c r="C76" s="118" t="s">
        <v>2227</v>
      </c>
      <c r="D76" s="120" t="s">
        <v>2260</v>
      </c>
      <c r="E76" s="124">
        <v>0</v>
      </c>
      <c r="F76" s="124">
        <v>75</v>
      </c>
      <c r="G76" s="124">
        <v>0</v>
      </c>
      <c r="H76" s="124">
        <f t="shared" si="2"/>
        <v>0</v>
      </c>
      <c r="I76" s="125" t="s">
        <v>2261</v>
      </c>
      <c r="J76" s="135" t="s">
        <v>2209</v>
      </c>
      <c r="K76" s="118" t="s">
        <v>2122</v>
      </c>
      <c r="L76" s="132">
        <v>2120803</v>
      </c>
    </row>
    <row r="77" s="87" customFormat="1" ht="30" customHeight="1" spans="1:12">
      <c r="A77" s="117">
        <v>72</v>
      </c>
      <c r="B77" s="118" t="s">
        <v>627</v>
      </c>
      <c r="C77" s="118" t="s">
        <v>2245</v>
      </c>
      <c r="D77" s="120" t="s">
        <v>2262</v>
      </c>
      <c r="E77" s="124">
        <v>0</v>
      </c>
      <c r="F77" s="124">
        <v>1517.67426</v>
      </c>
      <c r="G77" s="124">
        <v>0</v>
      </c>
      <c r="H77" s="124">
        <f t="shared" si="2"/>
        <v>0</v>
      </c>
      <c r="I77" s="125" t="s">
        <v>2263</v>
      </c>
      <c r="J77" s="135" t="s">
        <v>2209</v>
      </c>
      <c r="K77" s="118" t="s">
        <v>2122</v>
      </c>
      <c r="L77" s="132">
        <v>2100299</v>
      </c>
    </row>
    <row r="78" s="87" customFormat="1" ht="30" customHeight="1" spans="1:12">
      <c r="A78" s="117">
        <v>73</v>
      </c>
      <c r="B78" s="118" t="s">
        <v>627</v>
      </c>
      <c r="C78" s="118" t="s">
        <v>2237</v>
      </c>
      <c r="D78" s="120" t="s">
        <v>2264</v>
      </c>
      <c r="E78" s="124">
        <v>0</v>
      </c>
      <c r="F78" s="124">
        <v>540</v>
      </c>
      <c r="G78" s="124">
        <v>0</v>
      </c>
      <c r="H78" s="124">
        <f t="shared" si="2"/>
        <v>0</v>
      </c>
      <c r="I78" s="125" t="s">
        <v>2265</v>
      </c>
      <c r="J78" s="135" t="s">
        <v>2209</v>
      </c>
      <c r="K78" s="118" t="s">
        <v>2122</v>
      </c>
      <c r="L78" s="132">
        <v>2120899</v>
      </c>
    </row>
    <row r="79" s="87" customFormat="1" ht="30" customHeight="1" spans="1:12">
      <c r="A79" s="117">
        <v>74</v>
      </c>
      <c r="B79" s="118" t="s">
        <v>627</v>
      </c>
      <c r="C79" s="118" t="s">
        <v>2237</v>
      </c>
      <c r="D79" s="120" t="s">
        <v>2266</v>
      </c>
      <c r="E79" s="124">
        <v>0</v>
      </c>
      <c r="F79" s="124">
        <v>14.894</v>
      </c>
      <c r="G79" s="124">
        <v>0</v>
      </c>
      <c r="H79" s="124">
        <f t="shared" si="2"/>
        <v>0</v>
      </c>
      <c r="I79" s="125" t="s">
        <v>2267</v>
      </c>
      <c r="J79" s="135" t="s">
        <v>2209</v>
      </c>
      <c r="K79" s="118" t="s">
        <v>2122</v>
      </c>
      <c r="L79" s="132">
        <v>2120803</v>
      </c>
    </row>
    <row r="80" s="87" customFormat="1" ht="30" customHeight="1" spans="1:12">
      <c r="A80" s="117">
        <v>75</v>
      </c>
      <c r="B80" s="118" t="s">
        <v>627</v>
      </c>
      <c r="C80" s="118" t="s">
        <v>2268</v>
      </c>
      <c r="D80" s="120" t="s">
        <v>2269</v>
      </c>
      <c r="E80" s="124">
        <v>0</v>
      </c>
      <c r="F80" s="124">
        <v>500</v>
      </c>
      <c r="G80" s="124">
        <v>0</v>
      </c>
      <c r="H80" s="124">
        <f t="shared" si="2"/>
        <v>0</v>
      </c>
      <c r="I80" s="125" t="s">
        <v>2270</v>
      </c>
      <c r="J80" s="135" t="s">
        <v>2209</v>
      </c>
      <c r="K80" s="118" t="s">
        <v>2122</v>
      </c>
      <c r="L80" s="132">
        <v>2120803</v>
      </c>
    </row>
    <row r="81" s="87" customFormat="1" ht="30" customHeight="1" spans="1:12">
      <c r="A81" s="117">
        <v>76</v>
      </c>
      <c r="B81" s="119" t="s">
        <v>572</v>
      </c>
      <c r="C81" s="118" t="s">
        <v>1055</v>
      </c>
      <c r="D81" s="120" t="s">
        <v>2271</v>
      </c>
      <c r="E81" s="124">
        <v>342.37</v>
      </c>
      <c r="F81" s="124">
        <v>1748.821582</v>
      </c>
      <c r="G81" s="124">
        <v>0</v>
      </c>
      <c r="H81" s="124">
        <f t="shared" si="2"/>
        <v>342.37</v>
      </c>
      <c r="I81" s="79" t="s">
        <v>2272</v>
      </c>
      <c r="J81" s="135" t="s">
        <v>2209</v>
      </c>
      <c r="K81" s="118" t="s">
        <v>2122</v>
      </c>
      <c r="L81" s="132" t="s">
        <v>1968</v>
      </c>
    </row>
    <row r="82" s="86" customFormat="1" ht="30" customHeight="1" spans="1:12">
      <c r="A82" s="117">
        <v>77</v>
      </c>
      <c r="B82" s="119" t="s">
        <v>572</v>
      </c>
      <c r="C82" s="118" t="s">
        <v>1055</v>
      </c>
      <c r="D82" s="120" t="s">
        <v>2273</v>
      </c>
      <c r="E82" s="124">
        <v>436.48</v>
      </c>
      <c r="F82" s="124">
        <v>1744.619075</v>
      </c>
      <c r="G82" s="124">
        <v>0</v>
      </c>
      <c r="H82" s="124">
        <f t="shared" si="2"/>
        <v>436.48</v>
      </c>
      <c r="I82" s="79" t="s">
        <v>2274</v>
      </c>
      <c r="J82" s="135" t="s">
        <v>2209</v>
      </c>
      <c r="K82" s="118" t="s">
        <v>2122</v>
      </c>
      <c r="L82" s="132" t="s">
        <v>1968</v>
      </c>
    </row>
    <row r="83" s="87" customFormat="1" ht="30" customHeight="1" spans="1:12">
      <c r="A83" s="117">
        <v>78</v>
      </c>
      <c r="B83" s="119" t="s">
        <v>572</v>
      </c>
      <c r="C83" s="118" t="s">
        <v>2248</v>
      </c>
      <c r="D83" s="120" t="s">
        <v>2275</v>
      </c>
      <c r="E83" s="124">
        <v>29.41</v>
      </c>
      <c r="F83" s="124">
        <v>147.144263</v>
      </c>
      <c r="G83" s="124">
        <v>0</v>
      </c>
      <c r="H83" s="124">
        <f t="shared" si="2"/>
        <v>29.41</v>
      </c>
      <c r="I83" s="79" t="s">
        <v>2276</v>
      </c>
      <c r="J83" s="135" t="s">
        <v>2209</v>
      </c>
      <c r="K83" s="118" t="s">
        <v>2122</v>
      </c>
      <c r="L83" s="132" t="s">
        <v>1968</v>
      </c>
    </row>
    <row r="84" s="87" customFormat="1" ht="50" customHeight="1" spans="1:12">
      <c r="A84" s="117">
        <v>79</v>
      </c>
      <c r="B84" s="143" t="s">
        <v>572</v>
      </c>
      <c r="C84" s="143" t="s">
        <v>2277</v>
      </c>
      <c r="D84" s="120" t="s">
        <v>2278</v>
      </c>
      <c r="E84" s="124">
        <v>0</v>
      </c>
      <c r="F84" s="124">
        <v>128</v>
      </c>
      <c r="G84" s="124">
        <v>78</v>
      </c>
      <c r="H84" s="124">
        <f t="shared" si="2"/>
        <v>78</v>
      </c>
      <c r="I84" s="79" t="s">
        <v>2279</v>
      </c>
      <c r="J84" s="135" t="s">
        <v>2209</v>
      </c>
      <c r="K84" s="118" t="s">
        <v>2122</v>
      </c>
      <c r="L84" s="132">
        <v>2120899</v>
      </c>
    </row>
    <row r="85" s="87" customFormat="1" ht="50" customHeight="1" spans="1:12">
      <c r="A85" s="117">
        <v>80</v>
      </c>
      <c r="B85" s="143" t="s">
        <v>572</v>
      </c>
      <c r="C85" s="143" t="s">
        <v>2277</v>
      </c>
      <c r="D85" s="120" t="s">
        <v>2280</v>
      </c>
      <c r="E85" s="124">
        <v>0</v>
      </c>
      <c r="F85" s="124">
        <v>250</v>
      </c>
      <c r="G85" s="124">
        <v>200</v>
      </c>
      <c r="H85" s="124">
        <f t="shared" si="2"/>
        <v>200</v>
      </c>
      <c r="I85" s="79" t="s">
        <v>2281</v>
      </c>
      <c r="J85" s="135" t="s">
        <v>2209</v>
      </c>
      <c r="K85" s="118" t="s">
        <v>2122</v>
      </c>
      <c r="L85" s="132" t="s">
        <v>1968</v>
      </c>
    </row>
    <row r="86" s="87" customFormat="1" ht="30" customHeight="1" spans="1:12">
      <c r="A86" s="113">
        <v>81</v>
      </c>
      <c r="B86" s="114"/>
      <c r="C86" s="115" t="s">
        <v>2282</v>
      </c>
      <c r="D86" s="115"/>
      <c r="E86" s="116">
        <f>SUM(E87:E94)</f>
        <v>8355.99</v>
      </c>
      <c r="F86" s="116">
        <f>SUM(F87:F94)</f>
        <v>121.26</v>
      </c>
      <c r="G86" s="116">
        <f>SUM(G87:G94)</f>
        <v>0.08423</v>
      </c>
      <c r="H86" s="116">
        <f>SUM(H87:H94)</f>
        <v>8356.07423</v>
      </c>
      <c r="I86" s="113"/>
      <c r="L86" s="132"/>
    </row>
    <row r="87" s="87" customFormat="1" ht="30" customHeight="1" spans="1:12">
      <c r="A87" s="117">
        <v>82</v>
      </c>
      <c r="B87" s="119" t="s">
        <v>571</v>
      </c>
      <c r="C87" s="118" t="s">
        <v>1562</v>
      </c>
      <c r="D87" s="120" t="s">
        <v>2283</v>
      </c>
      <c r="E87" s="124">
        <v>90.04</v>
      </c>
      <c r="F87" s="124">
        <v>0</v>
      </c>
      <c r="G87" s="124">
        <v>0</v>
      </c>
      <c r="H87" s="124">
        <f t="shared" ref="H87:H94" si="3">E87+G87</f>
        <v>90.04</v>
      </c>
      <c r="I87" s="125" t="s">
        <v>2284</v>
      </c>
      <c r="J87" s="135" t="s">
        <v>2285</v>
      </c>
      <c r="K87" s="118" t="s">
        <v>2122</v>
      </c>
      <c r="L87" s="132">
        <v>2120803</v>
      </c>
    </row>
    <row r="88" s="85" customFormat="1" ht="30" customHeight="1" spans="1:12">
      <c r="A88" s="117">
        <v>83</v>
      </c>
      <c r="B88" s="119" t="s">
        <v>571</v>
      </c>
      <c r="C88" s="118" t="s">
        <v>1562</v>
      </c>
      <c r="D88" s="120" t="s">
        <v>2286</v>
      </c>
      <c r="E88" s="124">
        <v>7793.52</v>
      </c>
      <c r="F88" s="124">
        <v>0</v>
      </c>
      <c r="G88" s="124">
        <v>0</v>
      </c>
      <c r="H88" s="124">
        <f t="shared" si="3"/>
        <v>7793.52</v>
      </c>
      <c r="I88" s="125" t="s">
        <v>2287</v>
      </c>
      <c r="J88" s="135" t="s">
        <v>2285</v>
      </c>
      <c r="K88" s="118" t="s">
        <v>2122</v>
      </c>
      <c r="L88" s="132">
        <v>2120803</v>
      </c>
    </row>
    <row r="89" s="85" customFormat="1" ht="30" customHeight="1" spans="1:12">
      <c r="A89" s="117">
        <v>84</v>
      </c>
      <c r="B89" s="119" t="s">
        <v>571</v>
      </c>
      <c r="C89" s="118" t="s">
        <v>2168</v>
      </c>
      <c r="D89" s="120" t="s">
        <v>2288</v>
      </c>
      <c r="E89" s="124">
        <v>171.26</v>
      </c>
      <c r="F89" s="124">
        <v>121.26</v>
      </c>
      <c r="G89" s="124">
        <v>0</v>
      </c>
      <c r="H89" s="124">
        <f t="shared" si="3"/>
        <v>171.26</v>
      </c>
      <c r="I89" s="125" t="s">
        <v>2289</v>
      </c>
      <c r="J89" s="135" t="s">
        <v>2285</v>
      </c>
      <c r="K89" s="118" t="s">
        <v>2122</v>
      </c>
      <c r="L89" s="132">
        <v>2120899</v>
      </c>
    </row>
    <row r="90" s="87" customFormat="1" ht="30" customHeight="1" spans="1:12">
      <c r="A90" s="117">
        <v>85</v>
      </c>
      <c r="B90" s="119" t="s">
        <v>571</v>
      </c>
      <c r="C90" s="118" t="s">
        <v>2165</v>
      </c>
      <c r="D90" s="120" t="s">
        <v>2290</v>
      </c>
      <c r="E90" s="124">
        <v>74.8</v>
      </c>
      <c r="F90" s="124">
        <v>0</v>
      </c>
      <c r="G90" s="124">
        <v>0</v>
      </c>
      <c r="H90" s="124">
        <f t="shared" si="3"/>
        <v>74.8</v>
      </c>
      <c r="I90" s="125"/>
      <c r="J90" s="135" t="s">
        <v>2285</v>
      </c>
      <c r="K90" s="118" t="s">
        <v>2122</v>
      </c>
      <c r="L90" s="132">
        <v>2120803</v>
      </c>
    </row>
    <row r="91" s="87" customFormat="1" ht="30" customHeight="1" spans="1:12">
      <c r="A91" s="117">
        <v>86</v>
      </c>
      <c r="B91" s="119" t="s">
        <v>571</v>
      </c>
      <c r="C91" s="118" t="s">
        <v>2162</v>
      </c>
      <c r="D91" s="120" t="s">
        <v>2291</v>
      </c>
      <c r="E91" s="124">
        <v>19.28</v>
      </c>
      <c r="F91" s="124">
        <v>0</v>
      </c>
      <c r="G91" s="124">
        <v>0</v>
      </c>
      <c r="H91" s="124">
        <f t="shared" si="3"/>
        <v>19.28</v>
      </c>
      <c r="I91" s="125"/>
      <c r="J91" s="135" t="s">
        <v>2285</v>
      </c>
      <c r="K91" s="118" t="s">
        <v>2122</v>
      </c>
      <c r="L91" s="132">
        <v>2120803</v>
      </c>
    </row>
    <row r="92" s="87" customFormat="1" ht="30" customHeight="1" spans="1:12">
      <c r="A92" s="117">
        <v>87</v>
      </c>
      <c r="B92" s="119" t="s">
        <v>571</v>
      </c>
      <c r="C92" s="118" t="s">
        <v>2216</v>
      </c>
      <c r="D92" s="120" t="s">
        <v>2292</v>
      </c>
      <c r="E92" s="124">
        <v>79.25</v>
      </c>
      <c r="F92" s="124">
        <v>0</v>
      </c>
      <c r="G92" s="124">
        <v>0</v>
      </c>
      <c r="H92" s="124">
        <f t="shared" si="3"/>
        <v>79.25</v>
      </c>
      <c r="I92" s="125"/>
      <c r="J92" s="135" t="s">
        <v>2285</v>
      </c>
      <c r="K92" s="118" t="s">
        <v>2122</v>
      </c>
      <c r="L92" s="132">
        <v>2120803</v>
      </c>
    </row>
    <row r="93" s="87" customFormat="1" ht="30" customHeight="1" spans="1:12">
      <c r="A93" s="117">
        <v>88</v>
      </c>
      <c r="B93" s="119" t="s">
        <v>571</v>
      </c>
      <c r="C93" s="118" t="s">
        <v>2255</v>
      </c>
      <c r="D93" s="120" t="s">
        <v>2293</v>
      </c>
      <c r="E93" s="124">
        <v>34</v>
      </c>
      <c r="F93" s="124">
        <v>0</v>
      </c>
      <c r="G93" s="124">
        <v>0</v>
      </c>
      <c r="H93" s="124">
        <f t="shared" si="3"/>
        <v>34</v>
      </c>
      <c r="I93" s="125"/>
      <c r="J93" s="135" t="s">
        <v>2285</v>
      </c>
      <c r="K93" s="118" t="s">
        <v>2122</v>
      </c>
      <c r="L93" s="132">
        <v>2120803</v>
      </c>
    </row>
    <row r="94" s="87" customFormat="1" ht="30" customHeight="1" spans="1:12">
      <c r="A94" s="117">
        <v>89</v>
      </c>
      <c r="B94" s="119" t="s">
        <v>571</v>
      </c>
      <c r="C94" s="118" t="s">
        <v>1562</v>
      </c>
      <c r="D94" s="120" t="s">
        <v>2294</v>
      </c>
      <c r="E94" s="124">
        <v>93.84</v>
      </c>
      <c r="F94" s="124">
        <v>0</v>
      </c>
      <c r="G94" s="124">
        <v>0.08423</v>
      </c>
      <c r="H94" s="124">
        <f t="shared" si="3"/>
        <v>93.92423</v>
      </c>
      <c r="I94" s="125" t="s">
        <v>2295</v>
      </c>
      <c r="J94" s="135" t="s">
        <v>2285</v>
      </c>
      <c r="K94" s="118" t="s">
        <v>2122</v>
      </c>
      <c r="L94" s="132">
        <v>2120899</v>
      </c>
    </row>
    <row r="95" s="87" customFormat="1" ht="30" customHeight="1" spans="1:12">
      <c r="A95" s="113">
        <v>90</v>
      </c>
      <c r="B95" s="114"/>
      <c r="C95" s="115" t="s">
        <v>2296</v>
      </c>
      <c r="D95" s="115"/>
      <c r="E95" s="116">
        <f>SUM(E96:E159)</f>
        <v>63681.784</v>
      </c>
      <c r="F95" s="116">
        <f>SUM(F96:F159)</f>
        <v>7051.804411</v>
      </c>
      <c r="G95" s="116">
        <f>SUM(G96:G159)</f>
        <v>-63.269999999998</v>
      </c>
      <c r="H95" s="116">
        <f>SUM(H96:H159)</f>
        <v>63618.514</v>
      </c>
      <c r="I95" s="113"/>
      <c r="J95" s="131"/>
      <c r="K95" s="131"/>
      <c r="L95" s="132"/>
    </row>
    <row r="96" s="87" customFormat="1" ht="30" customHeight="1" spans="1:12">
      <c r="A96" s="117">
        <v>91</v>
      </c>
      <c r="B96" s="119" t="s">
        <v>627</v>
      </c>
      <c r="C96" s="118" t="s">
        <v>1665</v>
      </c>
      <c r="D96" s="120" t="s">
        <v>2297</v>
      </c>
      <c r="E96" s="124">
        <v>128.83</v>
      </c>
      <c r="F96" s="124">
        <v>0</v>
      </c>
      <c r="G96" s="124">
        <v>0</v>
      </c>
      <c r="H96" s="124">
        <f t="shared" ref="H96:H151" si="4">E96+G96</f>
        <v>128.83</v>
      </c>
      <c r="I96" s="125" t="s">
        <v>2298</v>
      </c>
      <c r="J96" s="135" t="s">
        <v>1909</v>
      </c>
      <c r="K96" s="118" t="s">
        <v>2122</v>
      </c>
      <c r="L96" s="132">
        <v>2120811</v>
      </c>
    </row>
    <row r="97" s="86" customFormat="1" ht="30" customHeight="1" spans="1:12">
      <c r="A97" s="117">
        <v>92</v>
      </c>
      <c r="B97" s="118" t="s">
        <v>627</v>
      </c>
      <c r="C97" s="118" t="s">
        <v>2227</v>
      </c>
      <c r="D97" s="120" t="s">
        <v>2299</v>
      </c>
      <c r="E97" s="124">
        <v>18</v>
      </c>
      <c r="F97" s="124">
        <v>0</v>
      </c>
      <c r="G97" s="124">
        <v>0</v>
      </c>
      <c r="H97" s="124">
        <f t="shared" si="4"/>
        <v>18</v>
      </c>
      <c r="I97" s="125"/>
      <c r="J97" s="135" t="s">
        <v>1909</v>
      </c>
      <c r="K97" s="118" t="s">
        <v>2122</v>
      </c>
      <c r="L97" s="132">
        <v>2120811</v>
      </c>
    </row>
    <row r="98" s="87" customFormat="1" ht="110" customHeight="1" spans="1:12">
      <c r="A98" s="117">
        <v>93</v>
      </c>
      <c r="B98" s="119" t="s">
        <v>627</v>
      </c>
      <c r="C98" s="118" t="s">
        <v>2227</v>
      </c>
      <c r="D98" s="120" t="s">
        <v>2300</v>
      </c>
      <c r="E98" s="124">
        <v>15.19</v>
      </c>
      <c r="F98" s="124">
        <v>63.98</v>
      </c>
      <c r="G98" s="124">
        <v>30</v>
      </c>
      <c r="H98" s="124">
        <f t="shared" si="4"/>
        <v>45.19</v>
      </c>
      <c r="I98" s="125" t="s">
        <v>2301</v>
      </c>
      <c r="J98" s="135" t="s">
        <v>1909</v>
      </c>
      <c r="K98" s="118" t="s">
        <v>2122</v>
      </c>
      <c r="L98" s="132">
        <v>2120811</v>
      </c>
    </row>
    <row r="99" s="86" customFormat="1" ht="30" customHeight="1" spans="1:12">
      <c r="A99" s="117">
        <v>94</v>
      </c>
      <c r="B99" s="144" t="s">
        <v>565</v>
      </c>
      <c r="C99" s="118" t="s">
        <v>1665</v>
      </c>
      <c r="D99" s="120" t="s">
        <v>2302</v>
      </c>
      <c r="E99" s="145">
        <v>12058.25</v>
      </c>
      <c r="F99" s="145">
        <f>11719.7+4913.81-12058.25</f>
        <v>4575.26</v>
      </c>
      <c r="G99" s="145">
        <f>11719.7+4913.81-12058.25</f>
        <v>4575.26</v>
      </c>
      <c r="H99" s="124">
        <f t="shared" si="4"/>
        <v>16633.51</v>
      </c>
      <c r="I99" s="125"/>
      <c r="J99" s="135" t="s">
        <v>1909</v>
      </c>
      <c r="K99" s="118" t="s">
        <v>2122</v>
      </c>
      <c r="L99" s="146">
        <v>2320498</v>
      </c>
    </row>
    <row r="100" s="86" customFormat="1" ht="30" customHeight="1" spans="1:12">
      <c r="A100" s="117">
        <v>95</v>
      </c>
      <c r="B100" s="144" t="s">
        <v>565</v>
      </c>
      <c r="C100" s="118" t="s">
        <v>1665</v>
      </c>
      <c r="D100" s="120" t="s">
        <v>2303</v>
      </c>
      <c r="E100" s="145">
        <v>241.17</v>
      </c>
      <c r="F100" s="145">
        <v>145</v>
      </c>
      <c r="G100" s="145">
        <v>145</v>
      </c>
      <c r="H100" s="124">
        <f t="shared" si="4"/>
        <v>386.17</v>
      </c>
      <c r="I100" s="125"/>
      <c r="J100" s="135" t="s">
        <v>1909</v>
      </c>
      <c r="K100" s="118" t="s">
        <v>2122</v>
      </c>
      <c r="L100" s="146">
        <v>2330498</v>
      </c>
    </row>
    <row r="101" s="86" customFormat="1" ht="30" customHeight="1" spans="1:12">
      <c r="A101" s="117">
        <v>96</v>
      </c>
      <c r="B101" s="144" t="s">
        <v>565</v>
      </c>
      <c r="C101" s="118" t="s">
        <v>1665</v>
      </c>
      <c r="D101" s="120" t="s">
        <v>2304</v>
      </c>
      <c r="E101" s="145">
        <v>19900</v>
      </c>
      <c r="F101" s="145"/>
      <c r="G101" s="145"/>
      <c r="H101" s="124">
        <f t="shared" si="4"/>
        <v>19900</v>
      </c>
      <c r="I101" s="125"/>
      <c r="J101" s="135" t="s">
        <v>1909</v>
      </c>
      <c r="K101" s="118" t="s">
        <v>2122</v>
      </c>
      <c r="L101" s="146">
        <v>2310411</v>
      </c>
    </row>
    <row r="102" s="86" customFormat="1" ht="30" customHeight="1" spans="1:12">
      <c r="A102" s="117">
        <v>97</v>
      </c>
      <c r="B102" s="144" t="s">
        <v>565</v>
      </c>
      <c r="C102" s="118" t="s">
        <v>1665</v>
      </c>
      <c r="D102" s="120" t="s">
        <v>2305</v>
      </c>
      <c r="E102" s="145">
        <v>3330.41</v>
      </c>
      <c r="F102" s="145"/>
      <c r="G102" s="145"/>
      <c r="H102" s="124">
        <f t="shared" si="4"/>
        <v>3330.41</v>
      </c>
      <c r="I102" s="125"/>
      <c r="J102" s="135" t="s">
        <v>1909</v>
      </c>
      <c r="K102" s="118" t="s">
        <v>2122</v>
      </c>
      <c r="L102" s="146">
        <v>2320411</v>
      </c>
    </row>
    <row r="103" s="86" customFormat="1" ht="30" customHeight="1" spans="1:12">
      <c r="A103" s="117">
        <v>98</v>
      </c>
      <c r="B103" s="144" t="s">
        <v>565</v>
      </c>
      <c r="C103" s="118" t="s">
        <v>1665</v>
      </c>
      <c r="D103" s="120" t="s">
        <v>2306</v>
      </c>
      <c r="E103" s="145">
        <v>33.14</v>
      </c>
      <c r="F103" s="145"/>
      <c r="G103" s="145"/>
      <c r="H103" s="124">
        <f t="shared" si="4"/>
        <v>33.14</v>
      </c>
      <c r="I103" s="125"/>
      <c r="J103" s="135" t="s">
        <v>1909</v>
      </c>
      <c r="K103" s="118" t="s">
        <v>2122</v>
      </c>
      <c r="L103" s="146">
        <v>2330411</v>
      </c>
    </row>
    <row r="104" s="86" customFormat="1" ht="30" customHeight="1" spans="1:12">
      <c r="A104" s="117">
        <v>99</v>
      </c>
      <c r="B104" s="144" t="s">
        <v>565</v>
      </c>
      <c r="C104" s="118" t="s">
        <v>1665</v>
      </c>
      <c r="D104" s="120" t="s">
        <v>2307</v>
      </c>
      <c r="E104" s="145">
        <v>5200</v>
      </c>
      <c r="F104" s="145"/>
      <c r="G104" s="145"/>
      <c r="H104" s="124">
        <f t="shared" si="4"/>
        <v>5200</v>
      </c>
      <c r="I104" s="125"/>
      <c r="J104" s="135" t="s">
        <v>1909</v>
      </c>
      <c r="K104" s="118" t="s">
        <v>2122</v>
      </c>
      <c r="L104" s="146">
        <v>2310431</v>
      </c>
    </row>
    <row r="105" s="86" customFormat="1" ht="30" customHeight="1" spans="1:12">
      <c r="A105" s="117">
        <v>100</v>
      </c>
      <c r="B105" s="144" t="s">
        <v>565</v>
      </c>
      <c r="C105" s="118" t="s">
        <v>1665</v>
      </c>
      <c r="D105" s="120" t="s">
        <v>2308</v>
      </c>
      <c r="E105" s="145">
        <v>1037.6</v>
      </c>
      <c r="F105" s="145"/>
      <c r="G105" s="145"/>
      <c r="H105" s="124">
        <f t="shared" si="4"/>
        <v>1037.6</v>
      </c>
      <c r="I105" s="125"/>
      <c r="J105" s="135" t="s">
        <v>1909</v>
      </c>
      <c r="K105" s="118" t="s">
        <v>2122</v>
      </c>
      <c r="L105" s="146">
        <v>2320431</v>
      </c>
    </row>
    <row r="106" s="86" customFormat="1" ht="30" customHeight="1" spans="1:12">
      <c r="A106" s="117">
        <v>101</v>
      </c>
      <c r="B106" s="144" t="s">
        <v>565</v>
      </c>
      <c r="C106" s="118" t="s">
        <v>1665</v>
      </c>
      <c r="D106" s="120" t="s">
        <v>2309</v>
      </c>
      <c r="E106" s="145">
        <v>6</v>
      </c>
      <c r="F106" s="145"/>
      <c r="G106" s="145"/>
      <c r="H106" s="124">
        <f t="shared" si="4"/>
        <v>6</v>
      </c>
      <c r="I106" s="125"/>
      <c r="J106" s="135" t="s">
        <v>1909</v>
      </c>
      <c r="K106" s="118" t="s">
        <v>2122</v>
      </c>
      <c r="L106" s="146">
        <v>2330431</v>
      </c>
    </row>
    <row r="107" s="86" customFormat="1" ht="35" customHeight="1" spans="1:12">
      <c r="A107" s="117">
        <v>102</v>
      </c>
      <c r="B107" s="118" t="s">
        <v>2117</v>
      </c>
      <c r="C107" s="118" t="s">
        <v>2118</v>
      </c>
      <c r="D107" s="120" t="s">
        <v>2310</v>
      </c>
      <c r="E107" s="124">
        <v>49.924</v>
      </c>
      <c r="F107" s="124">
        <v>103</v>
      </c>
      <c r="G107" s="124">
        <v>0</v>
      </c>
      <c r="H107" s="124">
        <f t="shared" si="4"/>
        <v>49.924</v>
      </c>
      <c r="I107" s="133" t="s">
        <v>2311</v>
      </c>
      <c r="J107" s="135" t="s">
        <v>1909</v>
      </c>
      <c r="K107" s="118" t="s">
        <v>2122</v>
      </c>
      <c r="L107" s="132">
        <v>2120806</v>
      </c>
    </row>
    <row r="108" s="86" customFormat="1" ht="30" customHeight="1" spans="1:12">
      <c r="A108" s="117">
        <v>103</v>
      </c>
      <c r="B108" s="118" t="s">
        <v>2117</v>
      </c>
      <c r="C108" s="118" t="s">
        <v>2118</v>
      </c>
      <c r="D108" s="120" t="s">
        <v>2312</v>
      </c>
      <c r="E108" s="124">
        <v>63.9</v>
      </c>
      <c r="F108" s="124">
        <v>10</v>
      </c>
      <c r="G108" s="124">
        <v>0</v>
      </c>
      <c r="H108" s="124">
        <f t="shared" si="4"/>
        <v>63.9</v>
      </c>
      <c r="I108" s="133"/>
      <c r="J108" s="135" t="s">
        <v>1909</v>
      </c>
      <c r="K108" s="118" t="s">
        <v>2122</v>
      </c>
      <c r="L108" s="132">
        <v>2120806</v>
      </c>
    </row>
    <row r="109" s="86" customFormat="1" ht="30" customHeight="1" spans="1:12">
      <c r="A109" s="117">
        <v>104</v>
      </c>
      <c r="B109" s="118" t="s">
        <v>2117</v>
      </c>
      <c r="C109" s="118" t="s">
        <v>1591</v>
      </c>
      <c r="D109" s="120" t="s">
        <v>2313</v>
      </c>
      <c r="E109" s="124">
        <v>274</v>
      </c>
      <c r="F109" s="124">
        <v>0</v>
      </c>
      <c r="G109" s="124">
        <v>0</v>
      </c>
      <c r="H109" s="124">
        <f t="shared" si="4"/>
        <v>274</v>
      </c>
      <c r="I109" s="133" t="s">
        <v>2314</v>
      </c>
      <c r="J109" s="135" t="s">
        <v>1909</v>
      </c>
      <c r="K109" s="118" t="s">
        <v>2122</v>
      </c>
      <c r="L109" s="132">
        <v>2120806</v>
      </c>
    </row>
    <row r="110" s="86" customFormat="1" ht="30" customHeight="1" spans="1:12">
      <c r="A110" s="117">
        <v>105</v>
      </c>
      <c r="B110" s="118" t="s">
        <v>2117</v>
      </c>
      <c r="C110" s="118" t="s">
        <v>1591</v>
      </c>
      <c r="D110" s="120" t="s">
        <v>2315</v>
      </c>
      <c r="E110" s="124">
        <v>36</v>
      </c>
      <c r="F110" s="124">
        <v>0</v>
      </c>
      <c r="G110" s="124">
        <v>0</v>
      </c>
      <c r="H110" s="124">
        <f t="shared" si="4"/>
        <v>36</v>
      </c>
      <c r="I110" s="133" t="s">
        <v>2316</v>
      </c>
      <c r="J110" s="135" t="s">
        <v>1909</v>
      </c>
      <c r="K110" s="118" t="s">
        <v>2122</v>
      </c>
      <c r="L110" s="132">
        <v>2120806</v>
      </c>
    </row>
    <row r="111" s="86" customFormat="1" ht="30" customHeight="1" spans="1:12">
      <c r="A111" s="117">
        <v>106</v>
      </c>
      <c r="B111" s="118" t="s">
        <v>2117</v>
      </c>
      <c r="C111" s="118" t="s">
        <v>1591</v>
      </c>
      <c r="D111" s="120" t="s">
        <v>2317</v>
      </c>
      <c r="E111" s="124">
        <v>40</v>
      </c>
      <c r="F111" s="124">
        <v>0</v>
      </c>
      <c r="G111" s="124">
        <v>0</v>
      </c>
      <c r="H111" s="124">
        <f t="shared" si="4"/>
        <v>40</v>
      </c>
      <c r="I111" s="133" t="s">
        <v>2318</v>
      </c>
      <c r="J111" s="135" t="s">
        <v>1909</v>
      </c>
      <c r="K111" s="118" t="s">
        <v>2122</v>
      </c>
      <c r="L111" s="132">
        <v>2120806</v>
      </c>
    </row>
    <row r="112" s="86" customFormat="1" ht="30" customHeight="1" spans="1:12">
      <c r="A112" s="117">
        <v>107</v>
      </c>
      <c r="B112" s="118" t="s">
        <v>2117</v>
      </c>
      <c r="C112" s="118" t="s">
        <v>1591</v>
      </c>
      <c r="D112" s="120" t="s">
        <v>2319</v>
      </c>
      <c r="E112" s="124">
        <v>37</v>
      </c>
      <c r="F112" s="124">
        <v>0</v>
      </c>
      <c r="G112" s="124">
        <v>0</v>
      </c>
      <c r="H112" s="124">
        <f t="shared" si="4"/>
        <v>37</v>
      </c>
      <c r="I112" s="133" t="s">
        <v>2320</v>
      </c>
      <c r="J112" s="135" t="s">
        <v>1909</v>
      </c>
      <c r="K112" s="118" t="s">
        <v>2122</v>
      </c>
      <c r="L112" s="132">
        <v>21211</v>
      </c>
    </row>
    <row r="113" s="86" customFormat="1" ht="30" customHeight="1" spans="1:12">
      <c r="A113" s="117">
        <v>108</v>
      </c>
      <c r="B113" s="118" t="s">
        <v>2117</v>
      </c>
      <c r="C113" s="118" t="s">
        <v>1591</v>
      </c>
      <c r="D113" s="120" t="s">
        <v>2321</v>
      </c>
      <c r="E113" s="124">
        <v>170</v>
      </c>
      <c r="F113" s="124">
        <v>0</v>
      </c>
      <c r="G113" s="124">
        <v>-50</v>
      </c>
      <c r="H113" s="124">
        <f t="shared" si="4"/>
        <v>120</v>
      </c>
      <c r="I113" s="133" t="s">
        <v>2322</v>
      </c>
      <c r="J113" s="135" t="s">
        <v>1909</v>
      </c>
      <c r="K113" s="118" t="s">
        <v>2122</v>
      </c>
      <c r="L113" s="132">
        <v>2120806</v>
      </c>
    </row>
    <row r="114" s="86" customFormat="1" ht="30" customHeight="1" spans="1:12">
      <c r="A114" s="117">
        <v>109</v>
      </c>
      <c r="B114" s="118" t="s">
        <v>2117</v>
      </c>
      <c r="C114" s="118" t="s">
        <v>1591</v>
      </c>
      <c r="D114" s="120" t="s">
        <v>494</v>
      </c>
      <c r="E114" s="124">
        <v>90</v>
      </c>
      <c r="F114" s="124">
        <v>0</v>
      </c>
      <c r="G114" s="124">
        <v>0</v>
      </c>
      <c r="H114" s="124">
        <f t="shared" si="4"/>
        <v>90</v>
      </c>
      <c r="I114" s="133" t="s">
        <v>2323</v>
      </c>
      <c r="J114" s="135" t="s">
        <v>1909</v>
      </c>
      <c r="K114" s="118" t="s">
        <v>2122</v>
      </c>
      <c r="L114" s="132">
        <v>2120806</v>
      </c>
    </row>
    <row r="115" s="86" customFormat="1" ht="30" customHeight="1" spans="1:12">
      <c r="A115" s="117">
        <v>110</v>
      </c>
      <c r="B115" s="118" t="s">
        <v>2117</v>
      </c>
      <c r="C115" s="118" t="s">
        <v>1591</v>
      </c>
      <c r="D115" s="120" t="s">
        <v>2324</v>
      </c>
      <c r="E115" s="124">
        <v>40</v>
      </c>
      <c r="F115" s="124">
        <v>0</v>
      </c>
      <c r="G115" s="124">
        <v>0</v>
      </c>
      <c r="H115" s="124">
        <f t="shared" si="4"/>
        <v>40</v>
      </c>
      <c r="I115" s="133" t="s">
        <v>2325</v>
      </c>
      <c r="J115" s="135" t="s">
        <v>1909</v>
      </c>
      <c r="K115" s="118" t="s">
        <v>2122</v>
      </c>
      <c r="L115" s="132">
        <v>2120806</v>
      </c>
    </row>
    <row r="116" s="86" customFormat="1" ht="30" customHeight="1" spans="1:12">
      <c r="A116" s="117">
        <v>111</v>
      </c>
      <c r="B116" s="118" t="s">
        <v>2117</v>
      </c>
      <c r="C116" s="118" t="s">
        <v>1591</v>
      </c>
      <c r="D116" s="120" t="s">
        <v>2326</v>
      </c>
      <c r="E116" s="124">
        <v>50</v>
      </c>
      <c r="F116" s="124">
        <v>0</v>
      </c>
      <c r="G116" s="124">
        <v>0</v>
      </c>
      <c r="H116" s="124">
        <f t="shared" si="4"/>
        <v>50</v>
      </c>
      <c r="I116" s="133" t="s">
        <v>2327</v>
      </c>
      <c r="J116" s="135" t="s">
        <v>1909</v>
      </c>
      <c r="K116" s="118" t="s">
        <v>2122</v>
      </c>
      <c r="L116" s="132">
        <v>2120806</v>
      </c>
    </row>
    <row r="117" s="86" customFormat="1" ht="56" customHeight="1" spans="1:12">
      <c r="A117" s="117">
        <v>112</v>
      </c>
      <c r="B117" s="118" t="s">
        <v>2117</v>
      </c>
      <c r="C117" s="118" t="s">
        <v>1591</v>
      </c>
      <c r="D117" s="120" t="s">
        <v>2328</v>
      </c>
      <c r="E117" s="124">
        <v>110</v>
      </c>
      <c r="F117" s="124">
        <v>32</v>
      </c>
      <c r="G117" s="124">
        <v>0</v>
      </c>
      <c r="H117" s="124">
        <f t="shared" si="4"/>
        <v>110</v>
      </c>
      <c r="I117" s="133" t="s">
        <v>2329</v>
      </c>
      <c r="J117" s="135" t="s">
        <v>1909</v>
      </c>
      <c r="K117" s="118" t="s">
        <v>2122</v>
      </c>
      <c r="L117" s="132">
        <v>2120806</v>
      </c>
    </row>
    <row r="118" s="87" customFormat="1" ht="30" customHeight="1" spans="1:12">
      <c r="A118" s="117">
        <v>113</v>
      </c>
      <c r="B118" s="119" t="s">
        <v>2117</v>
      </c>
      <c r="C118" s="118" t="s">
        <v>1591</v>
      </c>
      <c r="D118" s="120" t="s">
        <v>2330</v>
      </c>
      <c r="E118" s="124">
        <v>50</v>
      </c>
      <c r="F118" s="124">
        <v>0</v>
      </c>
      <c r="G118" s="124">
        <v>0</v>
      </c>
      <c r="H118" s="124">
        <f t="shared" si="4"/>
        <v>50</v>
      </c>
      <c r="I118" s="133" t="s">
        <v>2331</v>
      </c>
      <c r="J118" s="135" t="s">
        <v>1909</v>
      </c>
      <c r="K118" s="118" t="s">
        <v>2122</v>
      </c>
      <c r="L118" s="132">
        <v>2120806</v>
      </c>
    </row>
    <row r="119" s="86" customFormat="1" ht="30" customHeight="1" spans="1:12">
      <c r="A119" s="117">
        <v>114</v>
      </c>
      <c r="B119" s="118" t="s">
        <v>2117</v>
      </c>
      <c r="C119" s="118" t="s">
        <v>1591</v>
      </c>
      <c r="D119" s="120" t="s">
        <v>2332</v>
      </c>
      <c r="E119" s="124">
        <v>19</v>
      </c>
      <c r="F119" s="124">
        <v>0</v>
      </c>
      <c r="G119" s="124">
        <v>0</v>
      </c>
      <c r="H119" s="124">
        <f t="shared" si="4"/>
        <v>19</v>
      </c>
      <c r="I119" s="133" t="s">
        <v>2333</v>
      </c>
      <c r="J119" s="135" t="s">
        <v>1909</v>
      </c>
      <c r="K119" s="118" t="s">
        <v>2122</v>
      </c>
      <c r="L119" s="132">
        <v>2120806</v>
      </c>
    </row>
    <row r="120" s="86" customFormat="1" ht="50" customHeight="1" spans="1:12">
      <c r="A120" s="117">
        <v>115</v>
      </c>
      <c r="B120" s="118" t="s">
        <v>2117</v>
      </c>
      <c r="C120" s="118" t="s">
        <v>1591</v>
      </c>
      <c r="D120" s="120" t="s">
        <v>2334</v>
      </c>
      <c r="E120" s="124">
        <v>70</v>
      </c>
      <c r="F120" s="124">
        <v>30</v>
      </c>
      <c r="G120" s="124">
        <v>-20</v>
      </c>
      <c r="H120" s="124">
        <f t="shared" si="4"/>
        <v>50</v>
      </c>
      <c r="I120" s="133" t="s">
        <v>2335</v>
      </c>
      <c r="J120" s="135" t="s">
        <v>1909</v>
      </c>
      <c r="K120" s="118" t="s">
        <v>2122</v>
      </c>
      <c r="L120" s="132">
        <v>2120806</v>
      </c>
    </row>
    <row r="121" s="86" customFormat="1" ht="30" customHeight="1" spans="1:12">
      <c r="A121" s="117">
        <v>116</v>
      </c>
      <c r="B121" s="118" t="s">
        <v>2117</v>
      </c>
      <c r="C121" s="118" t="s">
        <v>1591</v>
      </c>
      <c r="D121" s="120" t="s">
        <v>2336</v>
      </c>
      <c r="E121" s="124">
        <v>15</v>
      </c>
      <c r="F121" s="124">
        <v>0</v>
      </c>
      <c r="G121" s="124">
        <v>0</v>
      </c>
      <c r="H121" s="124">
        <f t="shared" si="4"/>
        <v>15</v>
      </c>
      <c r="I121" s="133"/>
      <c r="J121" s="135" t="s">
        <v>1909</v>
      </c>
      <c r="K121" s="118" t="s">
        <v>2122</v>
      </c>
      <c r="L121" s="132">
        <v>2120806</v>
      </c>
    </row>
    <row r="122" s="86" customFormat="1" ht="30" customHeight="1" spans="1:12">
      <c r="A122" s="117">
        <v>117</v>
      </c>
      <c r="B122" s="118" t="s">
        <v>2117</v>
      </c>
      <c r="C122" s="118" t="s">
        <v>1591</v>
      </c>
      <c r="D122" s="120" t="s">
        <v>2337</v>
      </c>
      <c r="E122" s="124">
        <v>4.5</v>
      </c>
      <c r="F122" s="124">
        <v>0</v>
      </c>
      <c r="G122" s="124">
        <v>0</v>
      </c>
      <c r="H122" s="124">
        <f t="shared" si="4"/>
        <v>4.5</v>
      </c>
      <c r="I122" s="133" t="s">
        <v>2338</v>
      </c>
      <c r="J122" s="135" t="s">
        <v>1909</v>
      </c>
      <c r="K122" s="118" t="s">
        <v>2122</v>
      </c>
      <c r="L122" s="132">
        <v>2120806</v>
      </c>
    </row>
    <row r="123" s="86" customFormat="1" ht="30" customHeight="1" spans="1:12">
      <c r="A123" s="117">
        <v>118</v>
      </c>
      <c r="B123" s="118" t="s">
        <v>2117</v>
      </c>
      <c r="C123" s="118" t="s">
        <v>1591</v>
      </c>
      <c r="D123" s="120" t="s">
        <v>2339</v>
      </c>
      <c r="E123" s="124">
        <v>25</v>
      </c>
      <c r="F123" s="124">
        <v>0</v>
      </c>
      <c r="G123" s="124">
        <v>0</v>
      </c>
      <c r="H123" s="124">
        <f t="shared" si="4"/>
        <v>25</v>
      </c>
      <c r="I123" s="133" t="s">
        <v>2340</v>
      </c>
      <c r="J123" s="135" t="s">
        <v>1909</v>
      </c>
      <c r="K123" s="118" t="s">
        <v>2122</v>
      </c>
      <c r="L123" s="132">
        <v>2120806</v>
      </c>
    </row>
    <row r="124" s="86" customFormat="1" ht="30" customHeight="1" spans="1:12">
      <c r="A124" s="117">
        <v>119</v>
      </c>
      <c r="B124" s="118" t="s">
        <v>2117</v>
      </c>
      <c r="C124" s="118" t="s">
        <v>1591</v>
      </c>
      <c r="D124" s="120" t="s">
        <v>2341</v>
      </c>
      <c r="E124" s="124">
        <v>50.92</v>
      </c>
      <c r="F124" s="124">
        <v>5.92</v>
      </c>
      <c r="G124" s="124">
        <v>0</v>
      </c>
      <c r="H124" s="124">
        <f t="shared" si="4"/>
        <v>50.92</v>
      </c>
      <c r="I124" s="133" t="s">
        <v>2342</v>
      </c>
      <c r="J124" s="135" t="s">
        <v>1909</v>
      </c>
      <c r="K124" s="118" t="s">
        <v>2122</v>
      </c>
      <c r="L124" s="132">
        <v>2120806</v>
      </c>
    </row>
    <row r="125" s="86" customFormat="1" ht="30" customHeight="1" spans="1:12">
      <c r="A125" s="117">
        <v>120</v>
      </c>
      <c r="B125" s="118" t="s">
        <v>2117</v>
      </c>
      <c r="C125" s="118" t="s">
        <v>1591</v>
      </c>
      <c r="D125" s="120" t="s">
        <v>2343</v>
      </c>
      <c r="E125" s="124">
        <v>540</v>
      </c>
      <c r="F125" s="124">
        <v>238.77</v>
      </c>
      <c r="G125" s="124">
        <v>-100</v>
      </c>
      <c r="H125" s="124">
        <f t="shared" si="4"/>
        <v>440</v>
      </c>
      <c r="I125" s="133" t="s">
        <v>2344</v>
      </c>
      <c r="J125" s="135" t="s">
        <v>1909</v>
      </c>
      <c r="K125" s="118" t="s">
        <v>2122</v>
      </c>
      <c r="L125" s="132">
        <v>2120806</v>
      </c>
    </row>
    <row r="126" s="86" customFormat="1" ht="30" customHeight="1" spans="1:12">
      <c r="A126" s="117">
        <v>121</v>
      </c>
      <c r="B126" s="118" t="s">
        <v>2117</v>
      </c>
      <c r="C126" s="118" t="s">
        <v>1591</v>
      </c>
      <c r="D126" s="120" t="s">
        <v>2345</v>
      </c>
      <c r="E126" s="124">
        <v>90</v>
      </c>
      <c r="F126" s="124">
        <v>0</v>
      </c>
      <c r="G126" s="124">
        <v>-90</v>
      </c>
      <c r="H126" s="124">
        <f t="shared" si="4"/>
        <v>0</v>
      </c>
      <c r="I126" s="133" t="s">
        <v>2346</v>
      </c>
      <c r="J126" s="135" t="s">
        <v>1909</v>
      </c>
      <c r="K126" s="118" t="s">
        <v>2122</v>
      </c>
      <c r="L126" s="132">
        <v>2120806</v>
      </c>
    </row>
    <row r="127" s="86" customFormat="1" ht="30" customHeight="1" spans="1:12">
      <c r="A127" s="117">
        <v>122</v>
      </c>
      <c r="B127" s="118" t="s">
        <v>2117</v>
      </c>
      <c r="C127" s="118" t="s">
        <v>1591</v>
      </c>
      <c r="D127" s="120" t="s">
        <v>2347</v>
      </c>
      <c r="E127" s="124">
        <v>32</v>
      </c>
      <c r="F127" s="124">
        <v>0</v>
      </c>
      <c r="G127" s="124">
        <v>0</v>
      </c>
      <c r="H127" s="124">
        <f t="shared" si="4"/>
        <v>32</v>
      </c>
      <c r="I127" s="133" t="s">
        <v>2348</v>
      </c>
      <c r="J127" s="135" t="s">
        <v>1909</v>
      </c>
      <c r="K127" s="118" t="s">
        <v>2122</v>
      </c>
      <c r="L127" s="132">
        <v>21211</v>
      </c>
    </row>
    <row r="128" s="86" customFormat="1" ht="36" customHeight="1" spans="1:12">
      <c r="A128" s="117">
        <v>123</v>
      </c>
      <c r="B128" s="118" t="s">
        <v>2117</v>
      </c>
      <c r="C128" s="118" t="s">
        <v>1591</v>
      </c>
      <c r="D128" s="120" t="s">
        <v>2349</v>
      </c>
      <c r="E128" s="124">
        <v>27</v>
      </c>
      <c r="F128" s="124">
        <v>0</v>
      </c>
      <c r="G128" s="124">
        <v>-14</v>
      </c>
      <c r="H128" s="124">
        <f t="shared" si="4"/>
        <v>13</v>
      </c>
      <c r="I128" s="133" t="s">
        <v>2350</v>
      </c>
      <c r="J128" s="135" t="s">
        <v>1909</v>
      </c>
      <c r="K128" s="118" t="s">
        <v>2122</v>
      </c>
      <c r="L128" s="132">
        <v>21211</v>
      </c>
    </row>
    <row r="129" s="86" customFormat="1" ht="30" customHeight="1" spans="1:12">
      <c r="A129" s="117">
        <v>124</v>
      </c>
      <c r="B129" s="118" t="s">
        <v>2117</v>
      </c>
      <c r="C129" s="118" t="s">
        <v>1591</v>
      </c>
      <c r="D129" s="120" t="s">
        <v>2351</v>
      </c>
      <c r="E129" s="124">
        <v>11</v>
      </c>
      <c r="F129" s="124">
        <v>0</v>
      </c>
      <c r="G129" s="124">
        <v>0</v>
      </c>
      <c r="H129" s="124">
        <f t="shared" si="4"/>
        <v>11</v>
      </c>
      <c r="I129" s="133" t="s">
        <v>2352</v>
      </c>
      <c r="J129" s="135" t="s">
        <v>1909</v>
      </c>
      <c r="K129" s="118" t="s">
        <v>2122</v>
      </c>
      <c r="L129" s="132">
        <v>21211</v>
      </c>
    </row>
    <row r="130" s="86" customFormat="1" ht="30" customHeight="1" spans="1:12">
      <c r="A130" s="117">
        <v>125</v>
      </c>
      <c r="B130" s="118" t="s">
        <v>2117</v>
      </c>
      <c r="C130" s="118" t="s">
        <v>1591</v>
      </c>
      <c r="D130" s="120" t="s">
        <v>2353</v>
      </c>
      <c r="E130" s="124">
        <v>90</v>
      </c>
      <c r="F130" s="124">
        <v>0</v>
      </c>
      <c r="G130" s="124">
        <v>-40</v>
      </c>
      <c r="H130" s="124">
        <f t="shared" si="4"/>
        <v>50</v>
      </c>
      <c r="I130" s="133" t="s">
        <v>2354</v>
      </c>
      <c r="J130" s="135" t="s">
        <v>1909</v>
      </c>
      <c r="K130" s="118" t="s">
        <v>2122</v>
      </c>
      <c r="L130" s="132">
        <v>21211</v>
      </c>
    </row>
    <row r="131" s="86" customFormat="1" ht="30" customHeight="1" spans="1:12">
      <c r="A131" s="117">
        <v>126</v>
      </c>
      <c r="B131" s="118" t="s">
        <v>2117</v>
      </c>
      <c r="C131" s="118" t="s">
        <v>2216</v>
      </c>
      <c r="D131" s="120" t="s">
        <v>2355</v>
      </c>
      <c r="E131" s="124">
        <v>2900</v>
      </c>
      <c r="F131" s="124">
        <v>0</v>
      </c>
      <c r="G131" s="124">
        <v>-2900</v>
      </c>
      <c r="H131" s="124">
        <f t="shared" si="4"/>
        <v>0</v>
      </c>
      <c r="I131" s="133" t="s">
        <v>2356</v>
      </c>
      <c r="J131" s="135" t="s">
        <v>1909</v>
      </c>
      <c r="K131" s="118" t="s">
        <v>2122</v>
      </c>
      <c r="L131" s="132">
        <v>21211</v>
      </c>
    </row>
    <row r="132" s="86" customFormat="1" ht="30" customHeight="1" spans="1:12">
      <c r="A132" s="117">
        <v>127</v>
      </c>
      <c r="B132" s="118" t="s">
        <v>2117</v>
      </c>
      <c r="C132" s="118" t="s">
        <v>1591</v>
      </c>
      <c r="D132" s="120" t="s">
        <v>2357</v>
      </c>
      <c r="E132" s="124">
        <v>90</v>
      </c>
      <c r="F132" s="124">
        <v>240.06</v>
      </c>
      <c r="G132" s="124">
        <v>0</v>
      </c>
      <c r="H132" s="124">
        <f t="shared" si="4"/>
        <v>90</v>
      </c>
      <c r="I132" s="133" t="s">
        <v>2358</v>
      </c>
      <c r="J132" s="135" t="s">
        <v>1909</v>
      </c>
      <c r="K132" s="118" t="s">
        <v>2122</v>
      </c>
      <c r="L132" s="132">
        <v>2120806</v>
      </c>
    </row>
    <row r="133" s="87" customFormat="1" ht="30" customHeight="1" spans="1:12">
      <c r="A133" s="117">
        <v>128</v>
      </c>
      <c r="B133" s="119" t="s">
        <v>565</v>
      </c>
      <c r="C133" s="118" t="s">
        <v>598</v>
      </c>
      <c r="D133" s="120" t="s">
        <v>2359</v>
      </c>
      <c r="E133" s="124">
        <v>2245.91</v>
      </c>
      <c r="F133" s="124">
        <v>0</v>
      </c>
      <c r="G133" s="124">
        <v>0</v>
      </c>
      <c r="H133" s="124">
        <f t="shared" si="4"/>
        <v>2245.91</v>
      </c>
      <c r="I133" s="125" t="s">
        <v>2360</v>
      </c>
      <c r="J133" s="135" t="s">
        <v>1909</v>
      </c>
      <c r="K133" s="118" t="s">
        <v>2122</v>
      </c>
      <c r="L133" s="152" t="s">
        <v>1968</v>
      </c>
    </row>
    <row r="134" s="87" customFormat="1" ht="30" customHeight="1" spans="1:12">
      <c r="A134" s="117">
        <v>129</v>
      </c>
      <c r="B134" s="119" t="s">
        <v>2184</v>
      </c>
      <c r="C134" s="118" t="s">
        <v>692</v>
      </c>
      <c r="D134" s="120" t="s">
        <v>2361</v>
      </c>
      <c r="E134" s="124">
        <v>1400</v>
      </c>
      <c r="F134" s="124">
        <v>0</v>
      </c>
      <c r="G134" s="124">
        <v>400</v>
      </c>
      <c r="H134" s="124">
        <f t="shared" si="4"/>
        <v>1800</v>
      </c>
      <c r="I134" s="153" t="s">
        <v>2362</v>
      </c>
      <c r="J134" s="135" t="s">
        <v>1909</v>
      </c>
      <c r="K134" s="118" t="s">
        <v>2122</v>
      </c>
      <c r="L134" s="132">
        <v>2120899</v>
      </c>
    </row>
    <row r="135" s="87" customFormat="1" ht="30" customHeight="1" spans="1:12">
      <c r="A135" s="117">
        <v>130</v>
      </c>
      <c r="B135" s="119" t="s">
        <v>2184</v>
      </c>
      <c r="C135" s="118" t="s">
        <v>692</v>
      </c>
      <c r="D135" s="120" t="s">
        <v>2363</v>
      </c>
      <c r="E135" s="124">
        <v>2000</v>
      </c>
      <c r="F135" s="124">
        <v>0</v>
      </c>
      <c r="G135" s="124">
        <v>-429</v>
      </c>
      <c r="H135" s="124">
        <f t="shared" si="4"/>
        <v>1571</v>
      </c>
      <c r="I135" s="153" t="s">
        <v>2362</v>
      </c>
      <c r="J135" s="135" t="s">
        <v>1909</v>
      </c>
      <c r="K135" s="118" t="s">
        <v>2122</v>
      </c>
      <c r="L135" s="132">
        <v>2120899</v>
      </c>
    </row>
    <row r="136" s="87" customFormat="1" ht="30" customHeight="1" spans="1:12">
      <c r="A136" s="117">
        <v>131</v>
      </c>
      <c r="B136" s="119" t="s">
        <v>2184</v>
      </c>
      <c r="C136" s="118" t="s">
        <v>692</v>
      </c>
      <c r="D136" s="120" t="s">
        <v>2364</v>
      </c>
      <c r="E136" s="124">
        <v>926</v>
      </c>
      <c r="F136" s="124">
        <v>0</v>
      </c>
      <c r="G136" s="124">
        <v>0</v>
      </c>
      <c r="H136" s="124">
        <f t="shared" si="4"/>
        <v>926</v>
      </c>
      <c r="I136" s="153" t="s">
        <v>2365</v>
      </c>
      <c r="J136" s="135" t="s">
        <v>1909</v>
      </c>
      <c r="K136" s="118" t="s">
        <v>2122</v>
      </c>
      <c r="L136" s="132">
        <v>2120899</v>
      </c>
    </row>
    <row r="137" s="87" customFormat="1" ht="30" customHeight="1" spans="1:12">
      <c r="A137" s="117">
        <v>132</v>
      </c>
      <c r="B137" s="119" t="s">
        <v>572</v>
      </c>
      <c r="C137" s="118" t="s">
        <v>1055</v>
      </c>
      <c r="D137" s="120" t="s">
        <v>2366</v>
      </c>
      <c r="E137" s="124">
        <v>50</v>
      </c>
      <c r="F137" s="124">
        <v>150</v>
      </c>
      <c r="G137" s="124">
        <v>-30</v>
      </c>
      <c r="H137" s="124">
        <f t="shared" si="4"/>
        <v>20</v>
      </c>
      <c r="I137" s="79" t="s">
        <v>2367</v>
      </c>
      <c r="J137" s="135" t="s">
        <v>1909</v>
      </c>
      <c r="K137" s="118" t="s">
        <v>2122</v>
      </c>
      <c r="L137" s="132">
        <v>2120899</v>
      </c>
    </row>
    <row r="138" s="87" customFormat="1" ht="30" customHeight="1" spans="1:12">
      <c r="A138" s="117">
        <v>133</v>
      </c>
      <c r="B138" s="119" t="s">
        <v>572</v>
      </c>
      <c r="C138" s="118" t="s">
        <v>1055</v>
      </c>
      <c r="D138" s="120" t="s">
        <v>2368</v>
      </c>
      <c r="E138" s="124">
        <v>200</v>
      </c>
      <c r="F138" s="124">
        <v>0</v>
      </c>
      <c r="G138" s="124">
        <v>-120</v>
      </c>
      <c r="H138" s="124">
        <f t="shared" si="4"/>
        <v>80</v>
      </c>
      <c r="I138" s="79"/>
      <c r="J138" s="135" t="s">
        <v>1909</v>
      </c>
      <c r="K138" s="118" t="s">
        <v>2122</v>
      </c>
      <c r="L138" s="132">
        <v>2120899</v>
      </c>
    </row>
    <row r="139" s="87" customFormat="1" ht="30" customHeight="1" spans="1:12">
      <c r="A139" s="117">
        <v>134</v>
      </c>
      <c r="B139" s="119" t="s">
        <v>572</v>
      </c>
      <c r="C139" s="118" t="s">
        <v>1055</v>
      </c>
      <c r="D139" s="120" t="s">
        <v>2369</v>
      </c>
      <c r="E139" s="124">
        <v>2000</v>
      </c>
      <c r="F139" s="124">
        <v>1534</v>
      </c>
      <c r="G139" s="124">
        <v>-1000</v>
      </c>
      <c r="H139" s="124">
        <f t="shared" si="4"/>
        <v>1000</v>
      </c>
      <c r="I139" s="79" t="s">
        <v>2370</v>
      </c>
      <c r="J139" s="135" t="s">
        <v>1909</v>
      </c>
      <c r="K139" s="118" t="s">
        <v>2122</v>
      </c>
      <c r="L139" s="132">
        <v>2120899</v>
      </c>
    </row>
    <row r="140" s="87" customFormat="1" ht="30" customHeight="1" spans="1:12">
      <c r="A140" s="117">
        <v>135</v>
      </c>
      <c r="B140" s="119" t="s">
        <v>572</v>
      </c>
      <c r="C140" s="118" t="s">
        <v>1665</v>
      </c>
      <c r="D140" s="120" t="s">
        <v>2371</v>
      </c>
      <c r="E140" s="124">
        <v>300</v>
      </c>
      <c r="F140" s="124">
        <v>-300</v>
      </c>
      <c r="G140" s="124">
        <v>-300</v>
      </c>
      <c r="H140" s="124">
        <f t="shared" si="4"/>
        <v>0</v>
      </c>
      <c r="I140" s="79"/>
      <c r="J140" s="135" t="s">
        <v>1909</v>
      </c>
      <c r="K140" s="118" t="s">
        <v>2122</v>
      </c>
      <c r="L140" s="132">
        <v>2120899</v>
      </c>
    </row>
    <row r="141" s="87" customFormat="1" ht="30" customHeight="1" spans="1:12">
      <c r="A141" s="117">
        <v>136</v>
      </c>
      <c r="B141" s="119" t="s">
        <v>572</v>
      </c>
      <c r="C141" s="118" t="s">
        <v>1665</v>
      </c>
      <c r="D141" s="120" t="s">
        <v>2372</v>
      </c>
      <c r="E141" s="124">
        <v>500</v>
      </c>
      <c r="F141" s="124">
        <v>0</v>
      </c>
      <c r="G141" s="124">
        <v>-200</v>
      </c>
      <c r="H141" s="124">
        <f t="shared" si="4"/>
        <v>300</v>
      </c>
      <c r="I141" s="79"/>
      <c r="J141" s="135" t="s">
        <v>1909</v>
      </c>
      <c r="K141" s="118" t="s">
        <v>2122</v>
      </c>
      <c r="L141" s="132">
        <v>2120899</v>
      </c>
    </row>
    <row r="142" s="87" customFormat="1" ht="30" customHeight="1" spans="1:12">
      <c r="A142" s="117">
        <v>137</v>
      </c>
      <c r="B142" s="119" t="s">
        <v>572</v>
      </c>
      <c r="C142" s="118" t="s">
        <v>1591</v>
      </c>
      <c r="D142" s="120" t="s">
        <v>2373</v>
      </c>
      <c r="E142" s="124">
        <v>38.04</v>
      </c>
      <c r="F142" s="124">
        <v>76.08</v>
      </c>
      <c r="G142" s="124">
        <v>38.04</v>
      </c>
      <c r="H142" s="124">
        <f t="shared" si="4"/>
        <v>76.08</v>
      </c>
      <c r="I142" s="79" t="s">
        <v>2374</v>
      </c>
      <c r="J142" s="135" t="s">
        <v>1909</v>
      </c>
      <c r="K142" s="118" t="s">
        <v>2122</v>
      </c>
      <c r="L142" s="132">
        <v>21211</v>
      </c>
    </row>
    <row r="143" s="87" customFormat="1" ht="30" customHeight="1" spans="1:12">
      <c r="A143" s="117">
        <v>138</v>
      </c>
      <c r="B143" s="119" t="s">
        <v>572</v>
      </c>
      <c r="C143" s="143" t="s">
        <v>1055</v>
      </c>
      <c r="D143" s="147" t="s">
        <v>2375</v>
      </c>
      <c r="E143" s="124">
        <v>2058</v>
      </c>
      <c r="F143" s="148">
        <v>0</v>
      </c>
      <c r="G143" s="148">
        <v>0</v>
      </c>
      <c r="H143" s="124">
        <f t="shared" si="4"/>
        <v>2058</v>
      </c>
      <c r="I143" s="154"/>
      <c r="J143" s="135" t="s">
        <v>1909</v>
      </c>
      <c r="K143" s="118" t="s">
        <v>2122</v>
      </c>
      <c r="L143" s="132">
        <v>2120899</v>
      </c>
    </row>
    <row r="144" s="86" customFormat="1" ht="30" customHeight="1" spans="1:12">
      <c r="A144" s="117">
        <v>139</v>
      </c>
      <c r="B144" s="119" t="s">
        <v>572</v>
      </c>
      <c r="C144" s="126" t="s">
        <v>1117</v>
      </c>
      <c r="D144" s="147" t="s">
        <v>2376</v>
      </c>
      <c r="E144" s="124">
        <v>4170</v>
      </c>
      <c r="F144" s="124">
        <v>0</v>
      </c>
      <c r="G144" s="124">
        <v>0</v>
      </c>
      <c r="H144" s="124">
        <f t="shared" si="4"/>
        <v>4170</v>
      </c>
      <c r="I144" s="125"/>
      <c r="J144" s="135" t="s">
        <v>1909</v>
      </c>
      <c r="K144" s="118" t="s">
        <v>2122</v>
      </c>
      <c r="L144" s="132">
        <v>2120899</v>
      </c>
    </row>
    <row r="145" s="86" customFormat="1" ht="30" customHeight="1" spans="1:12">
      <c r="A145" s="117">
        <v>140</v>
      </c>
      <c r="B145" s="118" t="s">
        <v>569</v>
      </c>
      <c r="C145" s="119" t="s">
        <v>2377</v>
      </c>
      <c r="D145" s="120" t="s">
        <v>2378</v>
      </c>
      <c r="E145" s="124">
        <v>60</v>
      </c>
      <c r="F145" s="124">
        <v>0</v>
      </c>
      <c r="G145" s="124">
        <v>0</v>
      </c>
      <c r="H145" s="124">
        <f t="shared" si="4"/>
        <v>60</v>
      </c>
      <c r="I145" s="79"/>
      <c r="J145" s="135" t="s">
        <v>1909</v>
      </c>
      <c r="K145" s="118" t="s">
        <v>2122</v>
      </c>
      <c r="L145" s="132">
        <v>2120899</v>
      </c>
    </row>
    <row r="146" s="86" customFormat="1" ht="30" customHeight="1" spans="1:12">
      <c r="A146" s="117">
        <v>141</v>
      </c>
      <c r="B146" s="118" t="s">
        <v>569</v>
      </c>
      <c r="C146" s="119" t="s">
        <v>2377</v>
      </c>
      <c r="D146" s="120" t="s">
        <v>2379</v>
      </c>
      <c r="E146" s="124">
        <v>40</v>
      </c>
      <c r="F146" s="124">
        <v>0</v>
      </c>
      <c r="G146" s="124">
        <v>0</v>
      </c>
      <c r="H146" s="124">
        <f t="shared" si="4"/>
        <v>40</v>
      </c>
      <c r="I146" s="79"/>
      <c r="J146" s="135" t="s">
        <v>1909</v>
      </c>
      <c r="K146" s="118" t="s">
        <v>2122</v>
      </c>
      <c r="L146" s="132">
        <v>2120899</v>
      </c>
    </row>
    <row r="147" s="87" customFormat="1" ht="30" customHeight="1" spans="1:12">
      <c r="A147" s="117">
        <v>142</v>
      </c>
      <c r="B147" s="119" t="s">
        <v>2117</v>
      </c>
      <c r="C147" s="118" t="s">
        <v>2165</v>
      </c>
      <c r="D147" s="120" t="s">
        <v>2380</v>
      </c>
      <c r="E147" s="124">
        <v>750</v>
      </c>
      <c r="F147" s="124">
        <v>0</v>
      </c>
      <c r="G147" s="124">
        <v>0</v>
      </c>
      <c r="H147" s="124">
        <f t="shared" si="4"/>
        <v>750</v>
      </c>
      <c r="I147" s="133" t="s">
        <v>2381</v>
      </c>
      <c r="J147" s="135" t="s">
        <v>1909</v>
      </c>
      <c r="K147" s="118" t="s">
        <v>2122</v>
      </c>
      <c r="L147" s="132">
        <v>2120802</v>
      </c>
    </row>
    <row r="148" s="87" customFormat="1" ht="30" customHeight="1" spans="1:12">
      <c r="A148" s="117">
        <v>143</v>
      </c>
      <c r="B148" s="119" t="s">
        <v>627</v>
      </c>
      <c r="C148" s="118" t="s">
        <v>1357</v>
      </c>
      <c r="D148" s="120" t="s">
        <v>2382</v>
      </c>
      <c r="E148" s="124">
        <v>0</v>
      </c>
      <c r="F148" s="124">
        <v>1.43</v>
      </c>
      <c r="G148" s="124">
        <v>1.43</v>
      </c>
      <c r="H148" s="124">
        <f t="shared" si="4"/>
        <v>1.43</v>
      </c>
      <c r="I148" s="125" t="s">
        <v>2383</v>
      </c>
      <c r="J148" s="135" t="s">
        <v>1909</v>
      </c>
      <c r="K148" s="118" t="s">
        <v>2122</v>
      </c>
      <c r="L148" s="132">
        <v>2120803</v>
      </c>
    </row>
    <row r="149" s="87" customFormat="1" ht="42" customHeight="1" spans="1:12">
      <c r="A149" s="117">
        <v>144</v>
      </c>
      <c r="B149" s="143" t="s">
        <v>627</v>
      </c>
      <c r="C149" s="126" t="s">
        <v>1562</v>
      </c>
      <c r="D149" s="120" t="s">
        <v>2384</v>
      </c>
      <c r="E149" s="124">
        <v>0</v>
      </c>
      <c r="F149" s="124">
        <v>10</v>
      </c>
      <c r="G149" s="124">
        <v>0</v>
      </c>
      <c r="H149" s="124">
        <f t="shared" si="4"/>
        <v>0</v>
      </c>
      <c r="I149" s="125" t="s">
        <v>2385</v>
      </c>
      <c r="J149" s="135" t="s">
        <v>1909</v>
      </c>
      <c r="K149" s="118" t="s">
        <v>2122</v>
      </c>
      <c r="L149" s="132">
        <v>2121399</v>
      </c>
    </row>
    <row r="150" s="87" customFormat="1" ht="30" customHeight="1" spans="1:12">
      <c r="A150" s="117">
        <v>145</v>
      </c>
      <c r="B150" s="143" t="s">
        <v>627</v>
      </c>
      <c r="C150" s="126" t="s">
        <v>1562</v>
      </c>
      <c r="D150" s="120" t="s">
        <v>2386</v>
      </c>
      <c r="E150" s="124">
        <v>0</v>
      </c>
      <c r="F150" s="124">
        <v>3.5</v>
      </c>
      <c r="G150" s="124">
        <v>0</v>
      </c>
      <c r="H150" s="124">
        <f t="shared" si="4"/>
        <v>0</v>
      </c>
      <c r="I150" s="125"/>
      <c r="J150" s="135" t="s">
        <v>1909</v>
      </c>
      <c r="K150" s="118" t="s">
        <v>2122</v>
      </c>
      <c r="L150" s="132">
        <v>2121399</v>
      </c>
    </row>
    <row r="151" s="87" customFormat="1" ht="30" customHeight="1" spans="1:12">
      <c r="A151" s="117">
        <v>146</v>
      </c>
      <c r="B151" s="126" t="s">
        <v>2117</v>
      </c>
      <c r="C151" s="126" t="s">
        <v>2118</v>
      </c>
      <c r="D151" s="120" t="s">
        <v>2387</v>
      </c>
      <c r="E151" s="124">
        <v>0</v>
      </c>
      <c r="F151" s="124">
        <v>38</v>
      </c>
      <c r="G151" s="124">
        <v>38</v>
      </c>
      <c r="H151" s="124">
        <f t="shared" si="4"/>
        <v>38</v>
      </c>
      <c r="I151" s="133" t="s">
        <v>2388</v>
      </c>
      <c r="J151" s="135" t="s">
        <v>1909</v>
      </c>
      <c r="K151" s="118" t="s">
        <v>2122</v>
      </c>
      <c r="L151" s="132">
        <v>2120801</v>
      </c>
    </row>
    <row r="152" s="87" customFormat="1" ht="30" customHeight="1" spans="1:12">
      <c r="A152" s="117">
        <v>147</v>
      </c>
      <c r="B152" s="126" t="s">
        <v>2117</v>
      </c>
      <c r="C152" s="126" t="s">
        <v>2118</v>
      </c>
      <c r="D152" s="120" t="s">
        <v>2389</v>
      </c>
      <c r="E152" s="124">
        <v>0</v>
      </c>
      <c r="F152" s="124">
        <v>10.2177</v>
      </c>
      <c r="G152" s="124">
        <v>0</v>
      </c>
      <c r="H152" s="124">
        <v>0</v>
      </c>
      <c r="I152" s="133" t="s">
        <v>2390</v>
      </c>
      <c r="J152" s="135" t="s">
        <v>1909</v>
      </c>
      <c r="K152" s="118" t="s">
        <v>2122</v>
      </c>
      <c r="L152" s="132">
        <v>2120801</v>
      </c>
    </row>
    <row r="153" s="87" customFormat="1" ht="30" customHeight="1" spans="1:12">
      <c r="A153" s="117">
        <v>148</v>
      </c>
      <c r="B153" s="126" t="s">
        <v>2117</v>
      </c>
      <c r="C153" s="126" t="s">
        <v>1591</v>
      </c>
      <c r="D153" s="120" t="s">
        <v>2391</v>
      </c>
      <c r="E153" s="124">
        <v>0</v>
      </c>
      <c r="F153" s="124">
        <v>4.86</v>
      </c>
      <c r="G153" s="124">
        <v>0</v>
      </c>
      <c r="H153" s="124">
        <v>0</v>
      </c>
      <c r="I153" s="133" t="s">
        <v>2392</v>
      </c>
      <c r="J153" s="135" t="s">
        <v>1909</v>
      </c>
      <c r="K153" s="118" t="s">
        <v>2122</v>
      </c>
      <c r="L153" s="132">
        <v>2120806</v>
      </c>
    </row>
    <row r="154" s="87" customFormat="1" ht="30" customHeight="1" spans="1:12">
      <c r="A154" s="117">
        <v>149</v>
      </c>
      <c r="B154" s="126" t="s">
        <v>2117</v>
      </c>
      <c r="C154" s="126" t="s">
        <v>1591</v>
      </c>
      <c r="D154" s="120" t="s">
        <v>2393</v>
      </c>
      <c r="E154" s="124">
        <v>0</v>
      </c>
      <c r="F154" s="124">
        <v>10</v>
      </c>
      <c r="G154" s="124">
        <v>0</v>
      </c>
      <c r="H154" s="124">
        <v>0</v>
      </c>
      <c r="I154" s="133" t="s">
        <v>2394</v>
      </c>
      <c r="J154" s="135" t="s">
        <v>1909</v>
      </c>
      <c r="K154" s="118" t="s">
        <v>2122</v>
      </c>
      <c r="L154" s="132">
        <v>2120806</v>
      </c>
    </row>
    <row r="155" s="87" customFormat="1" ht="30" customHeight="1" spans="1:12">
      <c r="A155" s="117">
        <v>150</v>
      </c>
      <c r="B155" s="126" t="s">
        <v>2117</v>
      </c>
      <c r="C155" s="126" t="s">
        <v>1591</v>
      </c>
      <c r="D155" s="120" t="s">
        <v>2395</v>
      </c>
      <c r="E155" s="124">
        <v>0</v>
      </c>
      <c r="F155" s="124">
        <v>2</v>
      </c>
      <c r="G155" s="124">
        <v>2</v>
      </c>
      <c r="H155" s="124">
        <v>2</v>
      </c>
      <c r="I155" s="133" t="s">
        <v>2396</v>
      </c>
      <c r="J155" s="135" t="s">
        <v>1909</v>
      </c>
      <c r="K155" s="118" t="s">
        <v>2122</v>
      </c>
      <c r="L155" s="132">
        <v>2120806</v>
      </c>
    </row>
    <row r="156" s="87" customFormat="1" ht="30" customHeight="1" spans="1:12">
      <c r="A156" s="117">
        <v>151</v>
      </c>
      <c r="B156" s="126" t="s">
        <v>2117</v>
      </c>
      <c r="C156" s="126" t="s">
        <v>1591</v>
      </c>
      <c r="D156" s="120" t="s">
        <v>2397</v>
      </c>
      <c r="E156" s="124">
        <v>0</v>
      </c>
      <c r="F156" s="124">
        <v>20</v>
      </c>
      <c r="G156" s="124">
        <v>0</v>
      </c>
      <c r="H156" s="124">
        <v>0</v>
      </c>
      <c r="I156" s="133" t="s">
        <v>2398</v>
      </c>
      <c r="J156" s="135" t="s">
        <v>1909</v>
      </c>
      <c r="K156" s="118" t="s">
        <v>2122</v>
      </c>
      <c r="L156" s="132">
        <v>2120806</v>
      </c>
    </row>
    <row r="157" s="87" customFormat="1" ht="30" customHeight="1" spans="1:12">
      <c r="A157" s="117">
        <v>152</v>
      </c>
      <c r="B157" s="126" t="s">
        <v>2117</v>
      </c>
      <c r="C157" s="126" t="s">
        <v>1591</v>
      </c>
      <c r="D157" s="120" t="s">
        <v>2399</v>
      </c>
      <c r="E157" s="124">
        <v>0</v>
      </c>
      <c r="F157" s="124">
        <v>20</v>
      </c>
      <c r="G157" s="124">
        <v>0</v>
      </c>
      <c r="H157" s="124">
        <v>0</v>
      </c>
      <c r="I157" s="133" t="s">
        <v>2400</v>
      </c>
      <c r="J157" s="135" t="s">
        <v>1909</v>
      </c>
      <c r="K157" s="118" t="s">
        <v>2122</v>
      </c>
      <c r="L157" s="132">
        <v>2120806</v>
      </c>
    </row>
    <row r="158" s="87" customFormat="1" ht="30" customHeight="1" spans="1:12">
      <c r="A158" s="117">
        <v>153</v>
      </c>
      <c r="B158" s="126" t="s">
        <v>2117</v>
      </c>
      <c r="C158" s="126" t="s">
        <v>1591</v>
      </c>
      <c r="D158" s="120" t="s">
        <v>2401</v>
      </c>
      <c r="E158" s="124">
        <v>0</v>
      </c>
      <c r="F158" s="124">
        <v>19.08</v>
      </c>
      <c r="G158" s="124">
        <v>0</v>
      </c>
      <c r="H158" s="124">
        <v>0</v>
      </c>
      <c r="I158" s="133" t="s">
        <v>2402</v>
      </c>
      <c r="J158" s="135" t="s">
        <v>1909</v>
      </c>
      <c r="K158" s="118" t="s">
        <v>2122</v>
      </c>
      <c r="L158" s="132">
        <v>2120806</v>
      </c>
    </row>
    <row r="159" s="87" customFormat="1" ht="49" customHeight="1" spans="1:12">
      <c r="A159" s="117">
        <v>154</v>
      </c>
      <c r="B159" s="126" t="s">
        <v>2117</v>
      </c>
      <c r="C159" s="126" t="s">
        <v>2165</v>
      </c>
      <c r="D159" s="120" t="s">
        <v>2403</v>
      </c>
      <c r="E159" s="124">
        <v>0</v>
      </c>
      <c r="F159" s="124">
        <v>8.646711</v>
      </c>
      <c r="G159" s="124">
        <v>0</v>
      </c>
      <c r="H159" s="124">
        <v>0</v>
      </c>
      <c r="I159" s="133" t="s">
        <v>2404</v>
      </c>
      <c r="J159" s="135" t="s">
        <v>1909</v>
      </c>
      <c r="K159" s="118" t="s">
        <v>2122</v>
      </c>
      <c r="L159" s="132">
        <v>2120806</v>
      </c>
    </row>
    <row r="160" s="85" customFormat="1" ht="30" customHeight="1" spans="1:12">
      <c r="A160" s="113">
        <v>155</v>
      </c>
      <c r="B160" s="114"/>
      <c r="C160" s="115" t="s">
        <v>2405</v>
      </c>
      <c r="D160" s="115"/>
      <c r="E160" s="116">
        <f t="shared" ref="E160:H160" si="5">SUM(E161:E164)</f>
        <v>7400</v>
      </c>
      <c r="F160" s="116">
        <f t="shared" si="5"/>
        <v>-1500</v>
      </c>
      <c r="G160" s="116">
        <f t="shared" si="5"/>
        <v>-5800</v>
      </c>
      <c r="H160" s="116">
        <f t="shared" si="5"/>
        <v>1600</v>
      </c>
      <c r="I160" s="113"/>
      <c r="J160" s="131"/>
      <c r="K160" s="131"/>
      <c r="L160" s="132"/>
    </row>
    <row r="161" s="87" customFormat="1" ht="30" customHeight="1" spans="1:12">
      <c r="A161" s="117">
        <v>156</v>
      </c>
      <c r="B161" s="119" t="s">
        <v>571</v>
      </c>
      <c r="C161" s="118" t="s">
        <v>1665</v>
      </c>
      <c r="D161" s="120" t="s">
        <v>2406</v>
      </c>
      <c r="E161" s="124">
        <v>150</v>
      </c>
      <c r="F161" s="124">
        <v>0</v>
      </c>
      <c r="G161" s="124">
        <v>-50</v>
      </c>
      <c r="H161" s="124">
        <f t="shared" ref="H161:H164" si="6">E161+G161</f>
        <v>100</v>
      </c>
      <c r="I161" s="125" t="s">
        <v>2407</v>
      </c>
      <c r="J161" s="135" t="s">
        <v>2285</v>
      </c>
      <c r="K161" s="118" t="s">
        <v>2122</v>
      </c>
      <c r="L161" s="132">
        <v>2120899</v>
      </c>
    </row>
    <row r="162" s="87" customFormat="1" ht="30" customHeight="1" spans="1:12">
      <c r="A162" s="117">
        <v>157</v>
      </c>
      <c r="B162" s="119" t="s">
        <v>627</v>
      </c>
      <c r="C162" s="118" t="s">
        <v>1665</v>
      </c>
      <c r="D162" s="120" t="s">
        <v>2408</v>
      </c>
      <c r="E162" s="124">
        <v>3000</v>
      </c>
      <c r="F162" s="124">
        <v>-1500</v>
      </c>
      <c r="G162" s="124">
        <v>-2000</v>
      </c>
      <c r="H162" s="124">
        <f t="shared" si="6"/>
        <v>1000</v>
      </c>
      <c r="I162" s="125" t="s">
        <v>2407</v>
      </c>
      <c r="J162" s="135" t="s">
        <v>2209</v>
      </c>
      <c r="K162" s="118" t="s">
        <v>2122</v>
      </c>
      <c r="L162" s="132">
        <v>2120803</v>
      </c>
    </row>
    <row r="163" s="87" customFormat="1" ht="30" customHeight="1" spans="1:12">
      <c r="A163" s="117">
        <v>158</v>
      </c>
      <c r="B163" s="119" t="s">
        <v>2117</v>
      </c>
      <c r="C163" s="118" t="s">
        <v>1665</v>
      </c>
      <c r="D163" s="120" t="s">
        <v>2409</v>
      </c>
      <c r="E163" s="124">
        <v>1250</v>
      </c>
      <c r="F163" s="124">
        <v>0</v>
      </c>
      <c r="G163" s="124">
        <v>-750</v>
      </c>
      <c r="H163" s="124">
        <f t="shared" si="6"/>
        <v>500</v>
      </c>
      <c r="I163" s="133" t="s">
        <v>2407</v>
      </c>
      <c r="J163" s="135" t="s">
        <v>2127</v>
      </c>
      <c r="K163" s="118" t="s">
        <v>2122</v>
      </c>
      <c r="L163" s="132">
        <v>2120801</v>
      </c>
    </row>
    <row r="164" s="87" customFormat="1" ht="30" customHeight="1" spans="1:12">
      <c r="A164" s="117">
        <v>159</v>
      </c>
      <c r="B164" s="119" t="s">
        <v>569</v>
      </c>
      <c r="C164" s="118" t="s">
        <v>1665</v>
      </c>
      <c r="D164" s="120" t="s">
        <v>2410</v>
      </c>
      <c r="E164" s="124">
        <v>3000</v>
      </c>
      <c r="F164" s="124">
        <v>0</v>
      </c>
      <c r="G164" s="124">
        <v>-3000</v>
      </c>
      <c r="H164" s="124">
        <f t="shared" si="6"/>
        <v>0</v>
      </c>
      <c r="I164" s="79" t="s">
        <v>2407</v>
      </c>
      <c r="J164" s="135" t="s">
        <v>1909</v>
      </c>
      <c r="K164" s="118" t="s">
        <v>2122</v>
      </c>
      <c r="L164" s="132">
        <v>2120899</v>
      </c>
    </row>
    <row r="165" s="85" customFormat="1" ht="30" customHeight="1" spans="1:12">
      <c r="A165" s="113">
        <v>160</v>
      </c>
      <c r="B165" s="114"/>
      <c r="C165" s="115" t="s">
        <v>2411</v>
      </c>
      <c r="D165" s="115"/>
      <c r="E165" s="116">
        <f t="shared" ref="E165:H165" si="7">SUM(E166:E185)</f>
        <v>4849.298282</v>
      </c>
      <c r="F165" s="116">
        <f t="shared" si="7"/>
        <v>196.68</v>
      </c>
      <c r="G165" s="116">
        <f t="shared" si="7"/>
        <v>-956.34</v>
      </c>
      <c r="H165" s="116">
        <f t="shared" si="7"/>
        <v>3892.958282</v>
      </c>
      <c r="I165" s="113"/>
      <c r="J165" s="131"/>
      <c r="K165" s="131"/>
      <c r="L165" s="132"/>
    </row>
    <row r="166" s="87" customFormat="1" ht="30" customHeight="1" spans="1:12">
      <c r="A166" s="117">
        <v>161</v>
      </c>
      <c r="B166" s="119" t="s">
        <v>2184</v>
      </c>
      <c r="C166" s="118" t="s">
        <v>2412</v>
      </c>
      <c r="D166" s="120" t="s">
        <v>2413</v>
      </c>
      <c r="E166" s="124">
        <v>13.298282</v>
      </c>
      <c r="F166" s="124">
        <v>0</v>
      </c>
      <c r="G166" s="124">
        <v>0</v>
      </c>
      <c r="H166" s="124">
        <f t="shared" ref="H166:H185" si="8">E166+G166</f>
        <v>13.298282</v>
      </c>
      <c r="I166" s="155"/>
      <c r="J166" s="135" t="s">
        <v>1909</v>
      </c>
      <c r="K166" s="118" t="s">
        <v>2414</v>
      </c>
      <c r="L166" s="152">
        <v>2121302</v>
      </c>
    </row>
    <row r="167" s="87" customFormat="1" ht="30" customHeight="1" spans="1:12">
      <c r="A167" s="117">
        <v>162</v>
      </c>
      <c r="B167" s="119" t="s">
        <v>2184</v>
      </c>
      <c r="C167" s="118" t="s">
        <v>692</v>
      </c>
      <c r="D167" s="120" t="s">
        <v>2415</v>
      </c>
      <c r="E167" s="124">
        <v>341</v>
      </c>
      <c r="F167" s="124">
        <v>0</v>
      </c>
      <c r="G167" s="124">
        <v>-24.34</v>
      </c>
      <c r="H167" s="124">
        <f t="shared" si="8"/>
        <v>316.66</v>
      </c>
      <c r="I167" s="155"/>
      <c r="J167" s="135" t="s">
        <v>1909</v>
      </c>
      <c r="K167" s="118" t="s">
        <v>2414</v>
      </c>
      <c r="L167" s="152">
        <v>2121302</v>
      </c>
    </row>
    <row r="168" s="87" customFormat="1" ht="30" customHeight="1" spans="1:12">
      <c r="A168" s="117">
        <v>163</v>
      </c>
      <c r="B168" s="119" t="s">
        <v>2184</v>
      </c>
      <c r="C168" s="118" t="s">
        <v>692</v>
      </c>
      <c r="D168" s="120" t="s">
        <v>2416</v>
      </c>
      <c r="E168" s="124">
        <v>114</v>
      </c>
      <c r="F168" s="124">
        <v>0</v>
      </c>
      <c r="G168" s="124">
        <v>0</v>
      </c>
      <c r="H168" s="124">
        <f t="shared" si="8"/>
        <v>114</v>
      </c>
      <c r="I168" s="155"/>
      <c r="J168" s="135" t="s">
        <v>1909</v>
      </c>
      <c r="K168" s="118" t="s">
        <v>2414</v>
      </c>
      <c r="L168" s="152">
        <v>2121302</v>
      </c>
    </row>
    <row r="169" s="87" customFormat="1" ht="30" customHeight="1" spans="1:12">
      <c r="A169" s="117">
        <v>164</v>
      </c>
      <c r="B169" s="119" t="s">
        <v>2184</v>
      </c>
      <c r="C169" s="118" t="s">
        <v>692</v>
      </c>
      <c r="D169" s="120" t="s">
        <v>2413</v>
      </c>
      <c r="E169" s="124">
        <v>300</v>
      </c>
      <c r="F169" s="124">
        <v>0</v>
      </c>
      <c r="G169" s="124">
        <v>-140</v>
      </c>
      <c r="H169" s="124">
        <f t="shared" si="8"/>
        <v>160</v>
      </c>
      <c r="I169" s="155"/>
      <c r="J169" s="135" t="s">
        <v>1909</v>
      </c>
      <c r="K169" s="118" t="s">
        <v>2414</v>
      </c>
      <c r="L169" s="152">
        <v>2121302</v>
      </c>
    </row>
    <row r="170" s="87" customFormat="1" ht="30" customHeight="1" spans="1:12">
      <c r="A170" s="117">
        <v>165</v>
      </c>
      <c r="B170" s="119" t="s">
        <v>2184</v>
      </c>
      <c r="C170" s="118" t="s">
        <v>692</v>
      </c>
      <c r="D170" s="120" t="s">
        <v>2417</v>
      </c>
      <c r="E170" s="124">
        <v>413</v>
      </c>
      <c r="F170" s="124">
        <v>0</v>
      </c>
      <c r="G170" s="124">
        <v>-13</v>
      </c>
      <c r="H170" s="124">
        <f t="shared" si="8"/>
        <v>400</v>
      </c>
      <c r="I170" s="155"/>
      <c r="J170" s="135" t="s">
        <v>1909</v>
      </c>
      <c r="K170" s="118" t="s">
        <v>2414</v>
      </c>
      <c r="L170" s="152">
        <v>2121302</v>
      </c>
    </row>
    <row r="171" s="87" customFormat="1" ht="30" customHeight="1" spans="1:12">
      <c r="A171" s="117">
        <v>166</v>
      </c>
      <c r="B171" s="119" t="s">
        <v>2184</v>
      </c>
      <c r="C171" s="118" t="s">
        <v>692</v>
      </c>
      <c r="D171" s="120" t="s">
        <v>2418</v>
      </c>
      <c r="E171" s="124">
        <v>1000</v>
      </c>
      <c r="F171" s="124">
        <v>0</v>
      </c>
      <c r="G171" s="124">
        <v>-443</v>
      </c>
      <c r="H171" s="122">
        <f t="shared" si="8"/>
        <v>557</v>
      </c>
      <c r="I171" s="155"/>
      <c r="J171" s="135" t="s">
        <v>1909</v>
      </c>
      <c r="K171" s="118" t="s">
        <v>2414</v>
      </c>
      <c r="L171" s="152">
        <v>2121302</v>
      </c>
    </row>
    <row r="172" s="87" customFormat="1" ht="30" customHeight="1" spans="1:12">
      <c r="A172" s="117">
        <v>167</v>
      </c>
      <c r="B172" s="119" t="s">
        <v>2184</v>
      </c>
      <c r="C172" s="118" t="s">
        <v>692</v>
      </c>
      <c r="D172" s="120" t="s">
        <v>2419</v>
      </c>
      <c r="E172" s="124">
        <v>1274</v>
      </c>
      <c r="F172" s="124">
        <v>0</v>
      </c>
      <c r="G172" s="124">
        <v>-170</v>
      </c>
      <c r="H172" s="124">
        <f t="shared" si="8"/>
        <v>1104</v>
      </c>
      <c r="I172" s="155"/>
      <c r="J172" s="135" t="s">
        <v>1909</v>
      </c>
      <c r="K172" s="118" t="s">
        <v>2414</v>
      </c>
      <c r="L172" s="152">
        <v>2121302</v>
      </c>
    </row>
    <row r="173" s="87" customFormat="1" ht="30" customHeight="1" spans="1:12">
      <c r="A173" s="117">
        <v>168</v>
      </c>
      <c r="B173" s="119" t="s">
        <v>2184</v>
      </c>
      <c r="C173" s="118" t="s">
        <v>2420</v>
      </c>
      <c r="D173" s="120" t="s">
        <v>2421</v>
      </c>
      <c r="E173" s="124">
        <v>800</v>
      </c>
      <c r="F173" s="124">
        <v>0</v>
      </c>
      <c r="G173" s="124">
        <v>-113</v>
      </c>
      <c r="H173" s="122">
        <f t="shared" si="8"/>
        <v>687</v>
      </c>
      <c r="I173" s="156"/>
      <c r="J173" s="135" t="s">
        <v>1909</v>
      </c>
      <c r="K173" s="118" t="s">
        <v>2414</v>
      </c>
      <c r="L173" s="132">
        <v>2121301</v>
      </c>
    </row>
    <row r="174" s="87" customFormat="1" ht="30" customHeight="1" spans="1:12">
      <c r="A174" s="117">
        <v>169</v>
      </c>
      <c r="B174" s="119" t="s">
        <v>2184</v>
      </c>
      <c r="C174" s="118" t="s">
        <v>2420</v>
      </c>
      <c r="D174" s="120" t="s">
        <v>2422</v>
      </c>
      <c r="E174" s="124">
        <v>25</v>
      </c>
      <c r="F174" s="124">
        <v>0</v>
      </c>
      <c r="G174" s="124">
        <v>0</v>
      </c>
      <c r="H174" s="124">
        <f t="shared" si="8"/>
        <v>25</v>
      </c>
      <c r="I174" s="153"/>
      <c r="J174" s="135" t="s">
        <v>1909</v>
      </c>
      <c r="K174" s="118" t="s">
        <v>2414</v>
      </c>
      <c r="L174" s="132">
        <v>2121301</v>
      </c>
    </row>
    <row r="175" s="86" customFormat="1" ht="30" customHeight="1" spans="1:12">
      <c r="A175" s="117">
        <v>170</v>
      </c>
      <c r="B175" s="118" t="s">
        <v>627</v>
      </c>
      <c r="C175" s="118" t="s">
        <v>1562</v>
      </c>
      <c r="D175" s="120" t="s">
        <v>2423</v>
      </c>
      <c r="E175" s="124">
        <v>3</v>
      </c>
      <c r="F175" s="124">
        <v>-3</v>
      </c>
      <c r="G175" s="124">
        <v>-3</v>
      </c>
      <c r="H175" s="124">
        <f t="shared" si="8"/>
        <v>0</v>
      </c>
      <c r="I175" s="125" t="s">
        <v>2424</v>
      </c>
      <c r="J175" s="135" t="s">
        <v>1909</v>
      </c>
      <c r="K175" s="118" t="s">
        <v>2414</v>
      </c>
      <c r="L175" s="132">
        <v>2121399</v>
      </c>
    </row>
    <row r="176" s="86" customFormat="1" ht="30" customHeight="1" spans="1:12">
      <c r="A176" s="117">
        <v>171</v>
      </c>
      <c r="B176" s="143" t="s">
        <v>627</v>
      </c>
      <c r="C176" s="149" t="s">
        <v>1357</v>
      </c>
      <c r="D176" s="150" t="s">
        <v>2425</v>
      </c>
      <c r="E176" s="124">
        <v>0</v>
      </c>
      <c r="F176" s="124">
        <v>4.5</v>
      </c>
      <c r="G176" s="124"/>
      <c r="H176" s="124">
        <f t="shared" si="8"/>
        <v>0</v>
      </c>
      <c r="I176" s="125" t="s">
        <v>2426</v>
      </c>
      <c r="J176" s="135" t="s">
        <v>1909</v>
      </c>
      <c r="K176" s="118" t="s">
        <v>2414</v>
      </c>
      <c r="L176" s="132">
        <v>2121399</v>
      </c>
    </row>
    <row r="177" s="86" customFormat="1" ht="30" customHeight="1" spans="1:12">
      <c r="A177" s="117">
        <v>172</v>
      </c>
      <c r="B177" s="118" t="s">
        <v>580</v>
      </c>
      <c r="C177" s="118" t="s">
        <v>1591</v>
      </c>
      <c r="D177" s="120" t="s">
        <v>2427</v>
      </c>
      <c r="E177" s="124">
        <v>20</v>
      </c>
      <c r="F177" s="124">
        <v>0</v>
      </c>
      <c r="G177" s="124">
        <v>0</v>
      </c>
      <c r="H177" s="124">
        <f t="shared" si="8"/>
        <v>20</v>
      </c>
      <c r="I177" s="133" t="s">
        <v>2428</v>
      </c>
      <c r="J177" s="135" t="s">
        <v>1909</v>
      </c>
      <c r="K177" s="118" t="s">
        <v>2414</v>
      </c>
      <c r="L177" s="132">
        <v>2121399</v>
      </c>
    </row>
    <row r="178" s="86" customFormat="1" ht="30" customHeight="1" spans="1:12">
      <c r="A178" s="117">
        <v>173</v>
      </c>
      <c r="B178" s="118" t="s">
        <v>580</v>
      </c>
      <c r="C178" s="118" t="s">
        <v>1591</v>
      </c>
      <c r="D178" s="120" t="s">
        <v>2429</v>
      </c>
      <c r="E178" s="124">
        <v>27</v>
      </c>
      <c r="F178" s="124">
        <v>0</v>
      </c>
      <c r="G178" s="124">
        <v>0</v>
      </c>
      <c r="H178" s="124">
        <f t="shared" si="8"/>
        <v>27</v>
      </c>
      <c r="I178" s="133" t="s">
        <v>2430</v>
      </c>
      <c r="J178" s="135" t="s">
        <v>1909</v>
      </c>
      <c r="K178" s="118" t="s">
        <v>2414</v>
      </c>
      <c r="L178" s="132">
        <v>2121399</v>
      </c>
    </row>
    <row r="179" s="86" customFormat="1" ht="30" customHeight="1" spans="1:12">
      <c r="A179" s="117">
        <v>174</v>
      </c>
      <c r="B179" s="118" t="s">
        <v>580</v>
      </c>
      <c r="C179" s="126" t="s">
        <v>1591</v>
      </c>
      <c r="D179" s="120" t="s">
        <v>2431</v>
      </c>
      <c r="E179" s="124">
        <v>279</v>
      </c>
      <c r="F179" s="124">
        <v>0</v>
      </c>
      <c r="G179" s="124">
        <v>-50</v>
      </c>
      <c r="H179" s="124">
        <f t="shared" si="8"/>
        <v>229</v>
      </c>
      <c r="I179" s="133" t="s">
        <v>2432</v>
      </c>
      <c r="J179" s="135" t="s">
        <v>1909</v>
      </c>
      <c r="K179" s="118" t="s">
        <v>2414</v>
      </c>
      <c r="L179" s="132">
        <v>2121399</v>
      </c>
    </row>
    <row r="180" s="86" customFormat="1" ht="30" customHeight="1" spans="1:12">
      <c r="A180" s="117">
        <v>175</v>
      </c>
      <c r="B180" s="118" t="s">
        <v>580</v>
      </c>
      <c r="C180" s="118" t="s">
        <v>1591</v>
      </c>
      <c r="D180" s="120" t="s">
        <v>2433</v>
      </c>
      <c r="E180" s="124">
        <v>72</v>
      </c>
      <c r="F180" s="124">
        <v>0</v>
      </c>
      <c r="G180" s="124">
        <v>0</v>
      </c>
      <c r="H180" s="124">
        <f t="shared" si="8"/>
        <v>72</v>
      </c>
      <c r="I180" s="133" t="s">
        <v>2434</v>
      </c>
      <c r="J180" s="135" t="s">
        <v>1909</v>
      </c>
      <c r="K180" s="118" t="s">
        <v>2414</v>
      </c>
      <c r="L180" s="132">
        <v>2121399</v>
      </c>
    </row>
    <row r="181" s="86" customFormat="1" ht="30" customHeight="1" spans="1:12">
      <c r="A181" s="117">
        <v>176</v>
      </c>
      <c r="B181" s="118" t="s">
        <v>580</v>
      </c>
      <c r="C181" s="118" t="s">
        <v>1591</v>
      </c>
      <c r="D181" s="120" t="s">
        <v>2435</v>
      </c>
      <c r="E181" s="124">
        <v>45</v>
      </c>
      <c r="F181" s="124">
        <v>0</v>
      </c>
      <c r="G181" s="124">
        <v>0</v>
      </c>
      <c r="H181" s="124">
        <f t="shared" si="8"/>
        <v>45</v>
      </c>
      <c r="I181" s="133" t="s">
        <v>2436</v>
      </c>
      <c r="J181" s="135" t="s">
        <v>1909</v>
      </c>
      <c r="K181" s="118" t="s">
        <v>2414</v>
      </c>
      <c r="L181" s="132">
        <v>2121399</v>
      </c>
    </row>
    <row r="182" s="86" customFormat="1" ht="30" customHeight="1" spans="1:12">
      <c r="A182" s="117">
        <v>177</v>
      </c>
      <c r="B182" s="118" t="s">
        <v>580</v>
      </c>
      <c r="C182" s="118" t="s">
        <v>1591</v>
      </c>
      <c r="D182" s="120" t="s">
        <v>2437</v>
      </c>
      <c r="E182" s="124">
        <v>23</v>
      </c>
      <c r="F182" s="124">
        <v>0</v>
      </c>
      <c r="G182" s="124">
        <v>0</v>
      </c>
      <c r="H182" s="124">
        <f t="shared" si="8"/>
        <v>23</v>
      </c>
      <c r="I182" s="133" t="s">
        <v>2438</v>
      </c>
      <c r="J182" s="135" t="s">
        <v>1909</v>
      </c>
      <c r="K182" s="118" t="s">
        <v>2414</v>
      </c>
      <c r="L182" s="132">
        <v>2121399</v>
      </c>
    </row>
    <row r="183" s="86" customFormat="1" ht="43" customHeight="1" spans="1:12">
      <c r="A183" s="117">
        <v>178</v>
      </c>
      <c r="B183" s="118" t="s">
        <v>580</v>
      </c>
      <c r="C183" s="126" t="s">
        <v>1591</v>
      </c>
      <c r="D183" s="79" t="s">
        <v>2439</v>
      </c>
      <c r="E183" s="124">
        <v>0</v>
      </c>
      <c r="F183" s="124">
        <v>100</v>
      </c>
      <c r="G183" s="124">
        <v>0</v>
      </c>
      <c r="H183" s="124">
        <f t="shared" si="8"/>
        <v>0</v>
      </c>
      <c r="I183" s="133" t="s">
        <v>2440</v>
      </c>
      <c r="J183" s="135" t="s">
        <v>1909</v>
      </c>
      <c r="K183" s="118" t="s">
        <v>2414</v>
      </c>
      <c r="L183" s="132">
        <v>2120806</v>
      </c>
    </row>
    <row r="184" s="87" customFormat="1" ht="30" customHeight="1" spans="1:12">
      <c r="A184" s="117">
        <v>179</v>
      </c>
      <c r="B184" s="119" t="s">
        <v>580</v>
      </c>
      <c r="C184" s="118" t="s">
        <v>1665</v>
      </c>
      <c r="D184" s="120" t="s">
        <v>2441</v>
      </c>
      <c r="E184" s="124">
        <v>100</v>
      </c>
      <c r="F184" s="124">
        <v>0</v>
      </c>
      <c r="G184" s="124">
        <v>0</v>
      </c>
      <c r="H184" s="124">
        <f t="shared" si="8"/>
        <v>100</v>
      </c>
      <c r="I184" s="133" t="s">
        <v>2407</v>
      </c>
      <c r="J184" s="135" t="s">
        <v>1909</v>
      </c>
      <c r="K184" s="118" t="s">
        <v>2414</v>
      </c>
      <c r="L184" s="132">
        <v>2121399</v>
      </c>
    </row>
    <row r="185" s="86" customFormat="1" ht="30" customHeight="1" spans="1:12">
      <c r="A185" s="117">
        <v>180</v>
      </c>
      <c r="B185" s="119" t="s">
        <v>572</v>
      </c>
      <c r="C185" s="118" t="s">
        <v>2168</v>
      </c>
      <c r="D185" s="79" t="s">
        <v>2442</v>
      </c>
      <c r="E185" s="124">
        <v>0</v>
      </c>
      <c r="F185" s="124">
        <v>95.18</v>
      </c>
      <c r="G185" s="124">
        <v>0</v>
      </c>
      <c r="H185" s="124">
        <f t="shared" si="8"/>
        <v>0</v>
      </c>
      <c r="I185" s="79" t="s">
        <v>2443</v>
      </c>
      <c r="J185" s="135" t="s">
        <v>1909</v>
      </c>
      <c r="K185" s="118" t="s">
        <v>2414</v>
      </c>
      <c r="L185" s="132">
        <v>2120899</v>
      </c>
    </row>
    <row r="186" s="86" customFormat="1" ht="30" customHeight="1" spans="1:12">
      <c r="A186" s="113">
        <v>181</v>
      </c>
      <c r="B186" s="114"/>
      <c r="C186" s="115" t="s">
        <v>2444</v>
      </c>
      <c r="D186" s="115"/>
      <c r="E186" s="116">
        <f t="shared" ref="E186:H186" si="9">SUM(E187:E191)</f>
        <v>65.239224</v>
      </c>
      <c r="F186" s="116">
        <f t="shared" si="9"/>
        <v>0</v>
      </c>
      <c r="G186" s="116">
        <f t="shared" si="9"/>
        <v>0</v>
      </c>
      <c r="H186" s="116">
        <f t="shared" si="9"/>
        <v>65.239224</v>
      </c>
      <c r="I186" s="157"/>
      <c r="J186" s="87"/>
      <c r="K186" s="87"/>
      <c r="L186" s="132"/>
    </row>
    <row r="187" s="87" customFormat="1" ht="30" customHeight="1" spans="1:12">
      <c r="A187" s="117">
        <v>182</v>
      </c>
      <c r="B187" s="125" t="s">
        <v>576</v>
      </c>
      <c r="C187" s="118" t="s">
        <v>673</v>
      </c>
      <c r="D187" s="120" t="s">
        <v>677</v>
      </c>
      <c r="E187" s="124">
        <v>1</v>
      </c>
      <c r="F187" s="124">
        <v>0</v>
      </c>
      <c r="G187" s="124">
        <v>0</v>
      </c>
      <c r="H187" s="124">
        <f t="shared" ref="H187:H191" si="10">E187+G187</f>
        <v>1</v>
      </c>
      <c r="I187" s="125"/>
      <c r="J187" s="158" t="s">
        <v>1909</v>
      </c>
      <c r="K187" s="119" t="s">
        <v>2445</v>
      </c>
      <c r="L187" s="132">
        <v>2296006</v>
      </c>
    </row>
    <row r="188" s="87" customFormat="1" ht="30" customHeight="1" spans="1:12">
      <c r="A188" s="117">
        <v>183</v>
      </c>
      <c r="B188" s="125" t="s">
        <v>576</v>
      </c>
      <c r="C188" s="118" t="s">
        <v>673</v>
      </c>
      <c r="D188" s="120" t="s">
        <v>2446</v>
      </c>
      <c r="E188" s="124">
        <v>5.239224</v>
      </c>
      <c r="F188" s="124">
        <v>0</v>
      </c>
      <c r="G188" s="124">
        <v>0</v>
      </c>
      <c r="H188" s="124">
        <f t="shared" si="10"/>
        <v>5.239224</v>
      </c>
      <c r="I188" s="125" t="s">
        <v>1930</v>
      </c>
      <c r="J188" s="158" t="s">
        <v>1909</v>
      </c>
      <c r="K188" s="119" t="s">
        <v>2445</v>
      </c>
      <c r="L188" s="132">
        <v>2296006</v>
      </c>
    </row>
    <row r="189" s="87" customFormat="1" ht="30" customHeight="1" spans="1:12">
      <c r="A189" s="117">
        <v>184</v>
      </c>
      <c r="B189" s="125" t="s">
        <v>576</v>
      </c>
      <c r="C189" s="118" t="s">
        <v>673</v>
      </c>
      <c r="D189" s="120" t="s">
        <v>2446</v>
      </c>
      <c r="E189" s="124">
        <v>14</v>
      </c>
      <c r="F189" s="124">
        <v>0</v>
      </c>
      <c r="G189" s="124">
        <v>0</v>
      </c>
      <c r="H189" s="124">
        <f t="shared" si="10"/>
        <v>14</v>
      </c>
      <c r="I189" s="125"/>
      <c r="J189" s="158" t="s">
        <v>1909</v>
      </c>
      <c r="K189" s="119" t="s">
        <v>2445</v>
      </c>
      <c r="L189" s="132">
        <v>2296006</v>
      </c>
    </row>
    <row r="190" s="85" customFormat="1" ht="30" customHeight="1" spans="1:12">
      <c r="A190" s="117">
        <v>185</v>
      </c>
      <c r="B190" s="125" t="s">
        <v>576</v>
      </c>
      <c r="C190" s="118" t="s">
        <v>995</v>
      </c>
      <c r="D190" s="120" t="s">
        <v>2447</v>
      </c>
      <c r="E190" s="124">
        <v>33</v>
      </c>
      <c r="F190" s="124">
        <v>0</v>
      </c>
      <c r="G190" s="124">
        <v>0</v>
      </c>
      <c r="H190" s="124">
        <f t="shared" si="10"/>
        <v>33</v>
      </c>
      <c r="I190" s="125"/>
      <c r="J190" s="158" t="s">
        <v>1909</v>
      </c>
      <c r="K190" s="119" t="s">
        <v>2445</v>
      </c>
      <c r="L190" s="132">
        <v>2296099</v>
      </c>
    </row>
    <row r="191" s="87" customFormat="1" ht="30" customHeight="1" spans="1:12">
      <c r="A191" s="117">
        <v>186</v>
      </c>
      <c r="B191" s="125" t="s">
        <v>576</v>
      </c>
      <c r="C191" s="118" t="s">
        <v>2448</v>
      </c>
      <c r="D191" s="120" t="s">
        <v>2449</v>
      </c>
      <c r="E191" s="124">
        <v>12</v>
      </c>
      <c r="F191" s="124">
        <v>0</v>
      </c>
      <c r="G191" s="124">
        <v>0</v>
      </c>
      <c r="H191" s="124">
        <f t="shared" si="10"/>
        <v>12</v>
      </c>
      <c r="I191" s="125"/>
      <c r="J191" s="158" t="s">
        <v>1909</v>
      </c>
      <c r="K191" s="119" t="s">
        <v>2445</v>
      </c>
      <c r="L191" s="132">
        <v>2296013</v>
      </c>
    </row>
    <row r="192" s="86" customFormat="1" ht="30" customHeight="1" spans="1:12">
      <c r="A192" s="113">
        <v>187</v>
      </c>
      <c r="B192" s="114"/>
      <c r="C192" s="115" t="s">
        <v>2450</v>
      </c>
      <c r="D192" s="115"/>
      <c r="E192" s="116">
        <v>29690</v>
      </c>
      <c r="F192" s="151"/>
      <c r="G192" s="151"/>
      <c r="H192" s="116">
        <v>29690</v>
      </c>
      <c r="I192" s="159" t="s">
        <v>2451</v>
      </c>
      <c r="J192" s="87"/>
      <c r="K192" s="87"/>
      <c r="L192" s="87"/>
    </row>
    <row r="193" s="86" customFormat="1" ht="30" customHeight="1" spans="1:12">
      <c r="A193" s="113">
        <v>188</v>
      </c>
      <c r="B193" s="114"/>
      <c r="C193" s="115" t="s">
        <v>2452</v>
      </c>
      <c r="D193" s="115"/>
      <c r="E193" s="116">
        <f>13522+7156</f>
        <v>20678</v>
      </c>
      <c r="F193" s="151"/>
      <c r="G193" s="151"/>
      <c r="H193" s="116">
        <f>13522+7156</f>
        <v>20678</v>
      </c>
      <c r="I193" s="159" t="s">
        <v>2453</v>
      </c>
      <c r="J193" s="87"/>
      <c r="K193" s="87"/>
      <c r="L193" s="87"/>
    </row>
    <row r="194" s="86" customFormat="1" ht="30" customHeight="1" spans="1:12">
      <c r="A194" s="113">
        <v>189</v>
      </c>
      <c r="B194" s="114"/>
      <c r="C194" s="115" t="s">
        <v>2454</v>
      </c>
      <c r="D194" s="115"/>
      <c r="E194" s="116">
        <v>295000</v>
      </c>
      <c r="F194" s="160"/>
      <c r="G194" s="160"/>
      <c r="H194" s="116">
        <v>295000</v>
      </c>
      <c r="I194" s="159"/>
      <c r="J194" s="87"/>
      <c r="K194" s="87"/>
      <c r="L194" s="87"/>
    </row>
    <row r="195" s="87" customFormat="1" ht="30" customHeight="1" spans="1:12">
      <c r="A195" s="113">
        <v>190</v>
      </c>
      <c r="B195" s="114"/>
      <c r="C195" s="115" t="s">
        <v>2455</v>
      </c>
      <c r="D195" s="115"/>
      <c r="E195" s="116">
        <v>78450</v>
      </c>
      <c r="F195" s="161">
        <v>17952</v>
      </c>
      <c r="G195" s="161">
        <v>17952</v>
      </c>
      <c r="H195" s="116">
        <f>78450+17952</f>
        <v>96402</v>
      </c>
      <c r="I195" s="163" t="s">
        <v>2456</v>
      </c>
      <c r="J195" s="131"/>
      <c r="K195" s="131"/>
      <c r="L195" s="131"/>
    </row>
    <row r="196" s="88" customFormat="1" customHeight="1" spans="1:12">
      <c r="A196" s="90"/>
      <c r="B196" s="91"/>
      <c r="C196" s="91"/>
      <c r="D196" s="91"/>
      <c r="E196" s="92"/>
      <c r="F196" s="93"/>
      <c r="G196" s="162"/>
      <c r="H196" s="162"/>
      <c r="I196" s="164"/>
      <c r="J196" s="85"/>
      <c r="K196" s="85"/>
      <c r="L196" s="85"/>
    </row>
    <row r="197" s="88" customFormat="1" customHeight="1" spans="1:12">
      <c r="A197" s="90"/>
      <c r="B197" s="91"/>
      <c r="C197" s="91"/>
      <c r="D197" s="91"/>
      <c r="E197" s="92"/>
      <c r="F197" s="93"/>
      <c r="G197" s="94"/>
      <c r="H197" s="94"/>
      <c r="I197" s="95"/>
      <c r="J197" s="85"/>
      <c r="K197" s="85"/>
      <c r="L197" s="85"/>
    </row>
    <row r="198" s="89" customFormat="1" customHeight="1" spans="1:12">
      <c r="A198" s="90"/>
      <c r="B198" s="91"/>
      <c r="C198" s="91"/>
      <c r="D198" s="91"/>
      <c r="E198" s="92"/>
      <c r="F198" s="93"/>
      <c r="G198" s="94"/>
      <c r="H198" s="94"/>
      <c r="I198" s="95"/>
      <c r="J198" s="85"/>
      <c r="K198" s="85"/>
      <c r="L198" s="85"/>
    </row>
  </sheetData>
  <mergeCells count="30">
    <mergeCell ref="A2:I2"/>
    <mergeCell ref="A3:C3"/>
    <mergeCell ref="H3:I3"/>
    <mergeCell ref="F4:G4"/>
    <mergeCell ref="C6:D6"/>
    <mergeCell ref="C7:D7"/>
    <mergeCell ref="C8:D8"/>
    <mergeCell ref="C11:D11"/>
    <mergeCell ref="C39:D39"/>
    <mergeCell ref="C50:D50"/>
    <mergeCell ref="C86:D86"/>
    <mergeCell ref="C95:D95"/>
    <mergeCell ref="C160:D160"/>
    <mergeCell ref="C165:D165"/>
    <mergeCell ref="C186:D186"/>
    <mergeCell ref="C192:D192"/>
    <mergeCell ref="C193:D193"/>
    <mergeCell ref="C194:D194"/>
    <mergeCell ref="C195:D195"/>
    <mergeCell ref="A4:A5"/>
    <mergeCell ref="B4:B5"/>
    <mergeCell ref="C4:C5"/>
    <mergeCell ref="D4:D5"/>
    <mergeCell ref="E4:E5"/>
    <mergeCell ref="H4:H5"/>
    <mergeCell ref="I4:I5"/>
    <mergeCell ref="I9:I10"/>
    <mergeCell ref="J4:J5"/>
    <mergeCell ref="K4:K5"/>
    <mergeCell ref="L4:L5"/>
  </mergeCells>
  <printOptions horizontalCentered="1"/>
  <pageMargins left="0.393055555555556" right="0.393055555555556" top="0.590277777777778" bottom="0.590277777777778" header="0.196527777777778" footer="0.196527777777778"/>
  <pageSetup paperSize="9" scale="94" fitToHeight="0" orientation="landscape" horizontalDpi="600"/>
  <headerFooter alignWithMargins="0"/>
  <rowBreaks count="1" manualBreakCount="1">
    <brk id="196" max="7" man="1"/>
  </rowBreaks>
  <colBreaks count="1" manualBreakCount="1">
    <brk id="9" max="1048575" man="1"/>
  </col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36"/>
  <sheetViews>
    <sheetView zoomScale="90" zoomScaleNormal="90" workbookViewId="0">
      <selection activeCell="A3" sqref="A3"/>
    </sheetView>
  </sheetViews>
  <sheetFormatPr defaultColWidth="9" defaultRowHeight="14.25"/>
  <cols>
    <col min="1" max="1" width="60.625" style="30" customWidth="1"/>
    <col min="2" max="4" width="30.625" style="36" customWidth="1"/>
    <col min="5" max="5" width="12.5" style="30" hidden="1" customWidth="1"/>
    <col min="6" max="6" width="30.625" style="8" customWidth="1"/>
    <col min="7" max="253" width="9" style="30"/>
    <col min="254" max="16384" width="9" style="37"/>
  </cols>
  <sheetData>
    <row r="1" s="30" customFormat="1" ht="20" customHeight="1" spans="1:256">
      <c r="A1" s="38" t="s">
        <v>2457</v>
      </c>
      <c r="B1" s="70"/>
      <c r="C1" s="70"/>
      <c r="D1" s="36"/>
      <c r="F1" s="8"/>
      <c r="IT1" s="37"/>
      <c r="IU1" s="37"/>
      <c r="IV1" s="37"/>
    </row>
    <row r="2" s="30" customFormat="1" ht="30" customHeight="1" spans="1:256">
      <c r="A2" s="39" t="s">
        <v>2458</v>
      </c>
      <c r="B2" s="40"/>
      <c r="C2" s="40"/>
      <c r="D2" s="40"/>
      <c r="E2" s="39"/>
      <c r="F2" s="39"/>
      <c r="IT2" s="37"/>
      <c r="IU2" s="37"/>
      <c r="IV2" s="37"/>
    </row>
    <row r="3" s="31" customFormat="1" ht="20" customHeight="1" spans="2:6">
      <c r="B3" s="43"/>
      <c r="C3" s="43"/>
      <c r="D3" s="43"/>
      <c r="F3" s="44" t="s">
        <v>22</v>
      </c>
    </row>
    <row r="4" s="31" customFormat="1" ht="30" customHeight="1" spans="1:6">
      <c r="A4" s="71" t="s">
        <v>23</v>
      </c>
      <c r="B4" s="72" t="s">
        <v>24</v>
      </c>
      <c r="C4" s="47" t="s">
        <v>25</v>
      </c>
      <c r="D4" s="47" t="s">
        <v>26</v>
      </c>
      <c r="E4" s="71" t="s">
        <v>2459</v>
      </c>
      <c r="F4" s="71" t="s">
        <v>28</v>
      </c>
    </row>
    <row r="5" s="33" customFormat="1" ht="25" customHeight="1" spans="1:256">
      <c r="A5" s="73" t="s">
        <v>2460</v>
      </c>
      <c r="B5" s="60">
        <f>SUM(B6,B14)</f>
        <v>34455</v>
      </c>
      <c r="C5" s="60">
        <f>SUM(C6,C14)</f>
        <v>32207</v>
      </c>
      <c r="D5" s="60">
        <f>SUM(D6,D14)</f>
        <v>66662</v>
      </c>
      <c r="E5" s="74">
        <f>SUM(E6,E14)</f>
        <v>43860</v>
      </c>
      <c r="F5" s="75"/>
      <c r="IT5" s="69"/>
      <c r="IU5" s="69"/>
      <c r="IV5" s="69"/>
    </row>
    <row r="6" s="30" customFormat="1" ht="25" customHeight="1" spans="1:256">
      <c r="A6" s="58" t="s">
        <v>2461</v>
      </c>
      <c r="B6" s="55">
        <f>SUM(B7:B13)</f>
        <v>11529</v>
      </c>
      <c r="C6" s="55">
        <f t="shared" ref="C6:C15" si="0">D6-B6</f>
        <v>31927</v>
      </c>
      <c r="D6" s="55">
        <f>SUM(D7:D13)</f>
        <v>43456</v>
      </c>
      <c r="E6" s="76">
        <f>SUM(E7:E13)</f>
        <v>34815</v>
      </c>
      <c r="F6" s="77"/>
      <c r="IT6" s="37"/>
      <c r="IU6" s="37"/>
      <c r="IV6" s="37"/>
    </row>
    <row r="7" s="30" customFormat="1" ht="25" customHeight="1" spans="1:256">
      <c r="A7" s="58" t="s">
        <v>2462</v>
      </c>
      <c r="B7" s="55">
        <v>1462</v>
      </c>
      <c r="C7" s="55">
        <f t="shared" si="0"/>
        <v>0</v>
      </c>
      <c r="D7" s="55">
        <v>1462</v>
      </c>
      <c r="E7" s="76">
        <v>715</v>
      </c>
      <c r="F7" s="77"/>
      <c r="IT7" s="37"/>
      <c r="IU7" s="37"/>
      <c r="IV7" s="37"/>
    </row>
    <row r="8" s="30" customFormat="1" ht="25" customHeight="1" spans="1:256">
      <c r="A8" s="58" t="s">
        <v>2463</v>
      </c>
      <c r="B8" s="55">
        <v>9425</v>
      </c>
      <c r="C8" s="55">
        <f t="shared" si="0"/>
        <v>0</v>
      </c>
      <c r="D8" s="55">
        <v>9425</v>
      </c>
      <c r="E8" s="76">
        <v>6797</v>
      </c>
      <c r="F8" s="77"/>
      <c r="IT8" s="37"/>
      <c r="IU8" s="37"/>
      <c r="IV8" s="37"/>
    </row>
    <row r="9" s="30" customFormat="1" ht="25" customHeight="1" spans="1:256">
      <c r="A9" s="58" t="s">
        <v>2464</v>
      </c>
      <c r="B9" s="55">
        <v>217</v>
      </c>
      <c r="C9" s="55">
        <f t="shared" si="0"/>
        <v>18</v>
      </c>
      <c r="D9" s="55">
        <v>235</v>
      </c>
      <c r="E9" s="76">
        <v>120</v>
      </c>
      <c r="F9" s="77"/>
      <c r="IT9" s="37"/>
      <c r="IU9" s="37"/>
      <c r="IV9" s="37"/>
    </row>
    <row r="10" s="30" customFormat="1" ht="25" customHeight="1" spans="1:256">
      <c r="A10" s="58" t="s">
        <v>2465</v>
      </c>
      <c r="B10" s="55">
        <v>140</v>
      </c>
      <c r="C10" s="55">
        <f t="shared" si="0"/>
        <v>0</v>
      </c>
      <c r="D10" s="55">
        <v>140</v>
      </c>
      <c r="E10" s="76">
        <v>0</v>
      </c>
      <c r="F10" s="77"/>
      <c r="IT10" s="37"/>
      <c r="IU10" s="37"/>
      <c r="IV10" s="37"/>
    </row>
    <row r="11" s="30" customFormat="1" ht="25" customHeight="1" spans="1:256">
      <c r="A11" s="58" t="s">
        <v>2466</v>
      </c>
      <c r="B11" s="55">
        <v>274</v>
      </c>
      <c r="C11" s="55">
        <f t="shared" si="0"/>
        <v>31894</v>
      </c>
      <c r="D11" s="55">
        <v>32168</v>
      </c>
      <c r="E11" s="76">
        <v>27169</v>
      </c>
      <c r="F11" s="77"/>
      <c r="IT11" s="37"/>
      <c r="IU11" s="37"/>
      <c r="IV11" s="37"/>
    </row>
    <row r="12" s="30" customFormat="1" ht="25" customHeight="1" spans="1:256">
      <c r="A12" s="58" t="s">
        <v>2467</v>
      </c>
      <c r="B12" s="55">
        <v>0</v>
      </c>
      <c r="C12" s="55">
        <f t="shared" si="0"/>
        <v>1</v>
      </c>
      <c r="D12" s="55">
        <v>1</v>
      </c>
      <c r="E12" s="76">
        <v>0</v>
      </c>
      <c r="F12" s="77"/>
      <c r="IT12" s="37"/>
      <c r="IU12" s="37"/>
      <c r="IV12" s="37"/>
    </row>
    <row r="13" s="30" customFormat="1" ht="25" customHeight="1" spans="1:256">
      <c r="A13" s="58" t="s">
        <v>2468</v>
      </c>
      <c r="B13" s="78">
        <v>11</v>
      </c>
      <c r="C13" s="55">
        <f t="shared" si="0"/>
        <v>14</v>
      </c>
      <c r="D13" s="55">
        <v>25</v>
      </c>
      <c r="E13" s="76">
        <v>14</v>
      </c>
      <c r="F13" s="77"/>
      <c r="IT13" s="37"/>
      <c r="IU13" s="37"/>
      <c r="IV13" s="37"/>
    </row>
    <row r="14" s="30" customFormat="1" ht="25" customHeight="1" spans="1:256">
      <c r="A14" s="58" t="s">
        <v>2469</v>
      </c>
      <c r="B14" s="55">
        <f>SUM(B15:B19)</f>
        <v>22926</v>
      </c>
      <c r="C14" s="55">
        <f t="shared" si="0"/>
        <v>280</v>
      </c>
      <c r="D14" s="55">
        <f>SUM(D15:D19)</f>
        <v>23206</v>
      </c>
      <c r="E14" s="76">
        <f>SUM(E15:E19)</f>
        <v>9045</v>
      </c>
      <c r="F14" s="77"/>
      <c r="IT14" s="37"/>
      <c r="IU14" s="37"/>
      <c r="IV14" s="37"/>
    </row>
    <row r="15" s="30" customFormat="1" ht="25" customHeight="1" spans="1:256">
      <c r="A15" s="58" t="s">
        <v>2470</v>
      </c>
      <c r="B15" s="55">
        <v>11076</v>
      </c>
      <c r="C15" s="55">
        <f t="shared" si="0"/>
        <v>-237</v>
      </c>
      <c r="D15" s="55">
        <v>10839</v>
      </c>
      <c r="E15" s="76">
        <v>6341</v>
      </c>
      <c r="F15" s="79"/>
      <c r="IT15" s="37"/>
      <c r="IU15" s="37"/>
      <c r="IV15" s="37"/>
    </row>
    <row r="16" s="30" customFormat="1" ht="25" customHeight="1" spans="1:256">
      <c r="A16" s="58" t="s">
        <v>2471</v>
      </c>
      <c r="B16" s="55">
        <v>11481</v>
      </c>
      <c r="C16" s="55">
        <v>0</v>
      </c>
      <c r="D16" s="55">
        <v>11481</v>
      </c>
      <c r="E16" s="76">
        <v>2100</v>
      </c>
      <c r="F16" s="77"/>
      <c r="IT16" s="37"/>
      <c r="IU16" s="37"/>
      <c r="IV16" s="37"/>
    </row>
    <row r="17" s="30" customFormat="1" ht="25" customHeight="1" spans="1:256">
      <c r="A17" s="58" t="s">
        <v>2472</v>
      </c>
      <c r="B17" s="55">
        <v>319</v>
      </c>
      <c r="C17" s="55">
        <f t="shared" ref="C17:C27" si="1">D17-B17</f>
        <v>-32</v>
      </c>
      <c r="D17" s="55">
        <v>287</v>
      </c>
      <c r="E17" s="76">
        <v>255</v>
      </c>
      <c r="F17" s="77"/>
      <c r="IT17" s="37"/>
      <c r="IU17" s="37"/>
      <c r="IV17" s="37"/>
    </row>
    <row r="18" s="30" customFormat="1" ht="25" customHeight="1" spans="1:256">
      <c r="A18" s="58" t="s">
        <v>2473</v>
      </c>
      <c r="B18" s="55">
        <v>0</v>
      </c>
      <c r="C18" s="55">
        <f t="shared" si="1"/>
        <v>599</v>
      </c>
      <c r="D18" s="55">
        <v>599</v>
      </c>
      <c r="E18" s="76">
        <v>349</v>
      </c>
      <c r="F18" s="77"/>
      <c r="IT18" s="37"/>
      <c r="IU18" s="37"/>
      <c r="IV18" s="37"/>
    </row>
    <row r="19" s="30" customFormat="1" ht="25" customHeight="1" spans="1:256">
      <c r="A19" s="58" t="s">
        <v>2474</v>
      </c>
      <c r="B19" s="55">
        <v>50</v>
      </c>
      <c r="C19" s="55">
        <f t="shared" si="1"/>
        <v>-50</v>
      </c>
      <c r="D19" s="55">
        <v>0</v>
      </c>
      <c r="E19" s="76">
        <v>0</v>
      </c>
      <c r="F19" s="77"/>
      <c r="IT19" s="37"/>
      <c r="IU19" s="37"/>
      <c r="IV19" s="37"/>
    </row>
    <row r="20" s="30" customFormat="1" ht="25" customHeight="1" spans="1:256">
      <c r="A20" s="65" t="s">
        <v>66</v>
      </c>
      <c r="B20" s="60">
        <f>SUM(B5)</f>
        <v>34455</v>
      </c>
      <c r="C20" s="60">
        <f t="shared" si="1"/>
        <v>32207</v>
      </c>
      <c r="D20" s="60">
        <f>SUM(D5)</f>
        <v>66662</v>
      </c>
      <c r="E20" s="67">
        <f>E5</f>
        <v>43860</v>
      </c>
      <c r="F20" s="75"/>
      <c r="IT20" s="37"/>
      <c r="IU20" s="37"/>
      <c r="IV20" s="37"/>
    </row>
    <row r="21" s="33" customFormat="1" ht="25" customHeight="1" spans="1:256">
      <c r="A21" s="73" t="s">
        <v>1827</v>
      </c>
      <c r="B21" s="60">
        <f>SUM(B22,B25,B26)</f>
        <v>35205</v>
      </c>
      <c r="C21" s="60">
        <f t="shared" si="1"/>
        <v>-230</v>
      </c>
      <c r="D21" s="60">
        <f>SUM(D22,D25,D26)</f>
        <v>34975</v>
      </c>
      <c r="E21" s="74">
        <f>SUM(E22,E25,E26)</f>
        <v>34975</v>
      </c>
      <c r="F21" s="75"/>
      <c r="IT21" s="69"/>
      <c r="IU21" s="69"/>
      <c r="IV21" s="69"/>
    </row>
    <row r="22" s="30" customFormat="1" ht="25" customHeight="1" spans="1:256">
      <c r="A22" s="58" t="s">
        <v>2475</v>
      </c>
      <c r="B22" s="55">
        <f>SUM(B23:B24)</f>
        <v>34975</v>
      </c>
      <c r="C22" s="55">
        <f t="shared" si="1"/>
        <v>0</v>
      </c>
      <c r="D22" s="55">
        <v>34975</v>
      </c>
      <c r="E22" s="63">
        <v>34975</v>
      </c>
      <c r="F22" s="79"/>
      <c r="IT22" s="37"/>
      <c r="IU22" s="37"/>
      <c r="IV22" s="37"/>
    </row>
    <row r="23" s="30" customFormat="1" ht="25" customHeight="1" spans="1:256">
      <c r="A23" s="58" t="s">
        <v>2476</v>
      </c>
      <c r="B23" s="80">
        <v>19694</v>
      </c>
      <c r="C23" s="55">
        <f t="shared" si="1"/>
        <v>0</v>
      </c>
      <c r="D23" s="55">
        <v>19694</v>
      </c>
      <c r="E23" s="63">
        <v>19694</v>
      </c>
      <c r="F23" s="79"/>
      <c r="IT23" s="37"/>
      <c r="IU23" s="37"/>
      <c r="IV23" s="37"/>
    </row>
    <row r="24" s="30" customFormat="1" ht="25" customHeight="1" spans="1:256">
      <c r="A24" s="58" t="s">
        <v>2477</v>
      </c>
      <c r="B24" s="80">
        <v>15281</v>
      </c>
      <c r="C24" s="55">
        <f t="shared" si="1"/>
        <v>0</v>
      </c>
      <c r="D24" s="55">
        <v>15281</v>
      </c>
      <c r="E24" s="63">
        <v>15281</v>
      </c>
      <c r="F24" s="79"/>
      <c r="IT24" s="37"/>
      <c r="IU24" s="37"/>
      <c r="IV24" s="37"/>
    </row>
    <row r="25" s="30" customFormat="1" ht="25" customHeight="1" spans="1:256">
      <c r="A25" s="58" t="s">
        <v>2478</v>
      </c>
      <c r="B25" s="55">
        <v>0</v>
      </c>
      <c r="C25" s="55">
        <f t="shared" si="1"/>
        <v>0</v>
      </c>
      <c r="D25" s="55">
        <v>0</v>
      </c>
      <c r="E25" s="76">
        <v>0</v>
      </c>
      <c r="F25" s="77"/>
      <c r="IT25" s="37"/>
      <c r="IU25" s="37"/>
      <c r="IV25" s="37"/>
    </row>
    <row r="26" s="30" customFormat="1" ht="25" customHeight="1" spans="1:256">
      <c r="A26" s="58" t="s">
        <v>2479</v>
      </c>
      <c r="B26" s="55">
        <v>230</v>
      </c>
      <c r="C26" s="55">
        <f t="shared" si="1"/>
        <v>-230</v>
      </c>
      <c r="D26" s="55">
        <v>0</v>
      </c>
      <c r="E26" s="76">
        <v>0</v>
      </c>
      <c r="F26" s="77"/>
      <c r="IT26" s="37"/>
      <c r="IU26" s="37"/>
      <c r="IV26" s="37"/>
    </row>
    <row r="27" s="30" customFormat="1" ht="25" customHeight="1" spans="1:256">
      <c r="A27" s="65" t="s">
        <v>2480</v>
      </c>
      <c r="B27" s="81">
        <f>B20+B21</f>
        <v>69660</v>
      </c>
      <c r="C27" s="60">
        <f t="shared" si="1"/>
        <v>31977</v>
      </c>
      <c r="D27" s="81">
        <f>D20+D21</f>
        <v>101637</v>
      </c>
      <c r="E27" s="67">
        <f>E20+E21</f>
        <v>78835</v>
      </c>
      <c r="F27" s="77"/>
      <c r="IT27" s="37"/>
      <c r="IU27" s="37"/>
      <c r="IV27" s="37"/>
    </row>
    <row r="28" s="30" customFormat="1" spans="2:256">
      <c r="B28" s="36"/>
      <c r="C28" s="36"/>
      <c r="D28" s="36"/>
      <c r="F28" s="8"/>
      <c r="IT28" s="37"/>
      <c r="IU28" s="37"/>
      <c r="IV28" s="37"/>
    </row>
    <row r="29" s="30" customFormat="1" ht="17.25" customHeight="1" spans="2:256">
      <c r="B29" s="36"/>
      <c r="C29" s="36"/>
      <c r="D29" s="36"/>
      <c r="F29" s="82"/>
      <c r="IT29" s="37"/>
      <c r="IU29" s="37"/>
      <c r="IV29" s="37"/>
    </row>
    <row r="31" spans="1:3">
      <c r="A31" s="83"/>
      <c r="B31" s="84"/>
      <c r="C31" s="84"/>
    </row>
    <row r="32" spans="1:3">
      <c r="A32" s="83"/>
      <c r="B32" s="84"/>
      <c r="C32" s="84"/>
    </row>
    <row r="33" spans="1:3">
      <c r="A33" s="83"/>
      <c r="B33" s="84"/>
      <c r="C33" s="84"/>
    </row>
    <row r="34" spans="1:3">
      <c r="A34" s="83"/>
      <c r="B34" s="84"/>
      <c r="C34" s="84"/>
    </row>
    <row r="35" spans="1:3">
      <c r="A35" s="83"/>
      <c r="B35" s="84"/>
      <c r="C35" s="84"/>
    </row>
    <row r="36" spans="1:3">
      <c r="A36" s="83"/>
      <c r="B36" s="84"/>
      <c r="C36" s="84"/>
    </row>
  </sheetData>
  <mergeCells count="1">
    <mergeCell ref="A2:F2"/>
  </mergeCells>
  <printOptions horizontalCentered="1"/>
  <pageMargins left="0.393055555555556" right="0.393055555555556" top="0.590277777777778" bottom="0.590277777777778" header="0.196527777777778" footer="0.196527777777778"/>
  <pageSetup paperSize="9" scale="94" fitToHeight="0" orientation="landscape" horizontalDpi="6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23"/>
  <sheetViews>
    <sheetView zoomScale="90" zoomScaleNormal="90" topLeftCell="C1" workbookViewId="0">
      <selection activeCell="A3" sqref="A3"/>
    </sheetView>
  </sheetViews>
  <sheetFormatPr defaultColWidth="9" defaultRowHeight="14.25"/>
  <cols>
    <col min="1" max="1" width="11" style="34" hidden="1" customWidth="1"/>
    <col min="2" max="2" width="6" style="35" hidden="1" customWidth="1"/>
    <col min="3" max="3" width="60.625" style="30" customWidth="1"/>
    <col min="4" max="6" width="30.625" style="36" customWidth="1"/>
    <col min="7" max="7" width="12.125" style="30" hidden="1" customWidth="1"/>
    <col min="8" max="8" width="30.625" style="30" customWidth="1"/>
    <col min="9" max="253" width="9" style="30"/>
    <col min="254" max="16384" width="9" style="37"/>
  </cols>
  <sheetData>
    <row r="1" s="30" customFormat="1" ht="20" customHeight="1" spans="1:256">
      <c r="A1" s="38" t="s">
        <v>2481</v>
      </c>
      <c r="B1" s="35"/>
      <c r="C1" s="38" t="s">
        <v>2482</v>
      </c>
      <c r="D1" s="36"/>
      <c r="E1" s="36"/>
      <c r="F1" s="36"/>
      <c r="IT1" s="37"/>
      <c r="IU1" s="37"/>
      <c r="IV1" s="37"/>
    </row>
    <row r="2" s="30" customFormat="1" ht="30" customHeight="1" spans="1:256">
      <c r="A2" s="39" t="s">
        <v>2483</v>
      </c>
      <c r="B2" s="39"/>
      <c r="C2" s="39"/>
      <c r="D2" s="40"/>
      <c r="E2" s="40"/>
      <c r="F2" s="40"/>
      <c r="G2" s="39"/>
      <c r="H2" s="39"/>
      <c r="IT2" s="37"/>
      <c r="IU2" s="37"/>
      <c r="IV2" s="37"/>
    </row>
    <row r="3" s="31" customFormat="1" ht="20" customHeight="1" spans="1:8">
      <c r="A3" s="41"/>
      <c r="B3" s="42"/>
      <c r="D3" s="43"/>
      <c r="E3" s="43"/>
      <c r="F3" s="43"/>
      <c r="G3" s="44"/>
      <c r="H3" s="44" t="s">
        <v>22</v>
      </c>
    </row>
    <row r="4" s="31" customFormat="1" ht="28.5" hidden="1" customHeight="1" spans="1:6">
      <c r="A4" s="41"/>
      <c r="B4" s="42"/>
      <c r="D4" s="43"/>
      <c r="E4" s="43"/>
      <c r="F4" s="43"/>
    </row>
    <row r="5" s="31" customFormat="1" ht="30" customHeight="1" spans="1:8">
      <c r="A5" s="45" t="s">
        <v>2484</v>
      </c>
      <c r="B5" s="45"/>
      <c r="C5" s="46" t="s">
        <v>23</v>
      </c>
      <c r="D5" s="47" t="s">
        <v>24</v>
      </c>
      <c r="E5" s="47" t="s">
        <v>25</v>
      </c>
      <c r="F5" s="47" t="s">
        <v>26</v>
      </c>
      <c r="G5" s="46" t="s">
        <v>2485</v>
      </c>
      <c r="H5" s="46" t="s">
        <v>28</v>
      </c>
    </row>
    <row r="6" s="32" customFormat="1" ht="24.95" customHeight="1" spans="1:8">
      <c r="A6" s="48" t="s">
        <v>2486</v>
      </c>
      <c r="B6" s="48"/>
      <c r="C6" s="48" t="s">
        <v>2487</v>
      </c>
      <c r="D6" s="49">
        <f t="shared" ref="D6:G6" si="0">SUM(D7,D13)</f>
        <v>22952</v>
      </c>
      <c r="E6" s="49">
        <f t="shared" si="0"/>
        <v>844</v>
      </c>
      <c r="F6" s="49">
        <f t="shared" si="0"/>
        <v>23796</v>
      </c>
      <c r="G6" s="50">
        <f t="shared" si="0"/>
        <v>14017</v>
      </c>
      <c r="H6" s="51"/>
    </row>
    <row r="7" s="8" customFormat="1" ht="25" customHeight="1" spans="1:8">
      <c r="A7" s="52" t="s">
        <v>2488</v>
      </c>
      <c r="B7" s="52"/>
      <c r="C7" s="52" t="s">
        <v>2489</v>
      </c>
      <c r="D7" s="53">
        <f t="shared" ref="D7:G7" si="1">SUM(D8:D12)</f>
        <v>9837</v>
      </c>
      <c r="E7" s="54">
        <f t="shared" ref="E7:E16" si="2">F7-D7</f>
        <v>356</v>
      </c>
      <c r="F7" s="55">
        <f t="shared" si="1"/>
        <v>10193</v>
      </c>
      <c r="G7" s="56">
        <f t="shared" si="1"/>
        <v>5808</v>
      </c>
      <c r="H7" s="57"/>
    </row>
    <row r="8" s="8" customFormat="1" ht="25" customHeight="1" spans="1:8">
      <c r="A8" s="52" t="s">
        <v>2490</v>
      </c>
      <c r="B8" s="52"/>
      <c r="C8" s="52" t="s">
        <v>2491</v>
      </c>
      <c r="D8" s="53">
        <v>9005</v>
      </c>
      <c r="E8" s="54">
        <f t="shared" si="2"/>
        <v>0</v>
      </c>
      <c r="F8" s="55">
        <v>9005</v>
      </c>
      <c r="G8" s="56">
        <v>5115</v>
      </c>
      <c r="H8" s="57"/>
    </row>
    <row r="9" s="8" customFormat="1" ht="25" customHeight="1" spans="1:8">
      <c r="A9" s="52" t="s">
        <v>2492</v>
      </c>
      <c r="B9" s="52"/>
      <c r="C9" s="52" t="s">
        <v>2493</v>
      </c>
      <c r="D9" s="53">
        <v>710</v>
      </c>
      <c r="E9" s="54">
        <f t="shared" si="2"/>
        <v>348</v>
      </c>
      <c r="F9" s="55">
        <v>1058</v>
      </c>
      <c r="G9" s="56">
        <v>617</v>
      </c>
      <c r="H9" s="57"/>
    </row>
    <row r="10" s="8" customFormat="1" ht="25" customHeight="1" spans="1:8">
      <c r="A10" s="52" t="s">
        <v>2494</v>
      </c>
      <c r="B10" s="52"/>
      <c r="C10" s="52" t="s">
        <v>2495</v>
      </c>
      <c r="D10" s="53">
        <v>122</v>
      </c>
      <c r="E10" s="54">
        <f t="shared" si="2"/>
        <v>7</v>
      </c>
      <c r="F10" s="55">
        <v>129</v>
      </c>
      <c r="G10" s="56">
        <v>75</v>
      </c>
      <c r="H10" s="57"/>
    </row>
    <row r="11" s="8" customFormat="1" ht="25" customHeight="1" spans="1:8">
      <c r="A11" s="52"/>
      <c r="B11" s="52"/>
      <c r="C11" s="52" t="s">
        <v>2496</v>
      </c>
      <c r="D11" s="53">
        <v>0</v>
      </c>
      <c r="E11" s="54">
        <f t="shared" si="2"/>
        <v>1</v>
      </c>
      <c r="F11" s="55">
        <v>1</v>
      </c>
      <c r="G11" s="56">
        <v>1</v>
      </c>
      <c r="H11" s="57"/>
    </row>
    <row r="12" s="8" customFormat="1" ht="25" customHeight="1" spans="1:8">
      <c r="A12" s="52"/>
      <c r="B12" s="52"/>
      <c r="C12" s="52" t="s">
        <v>2497</v>
      </c>
      <c r="D12" s="53">
        <v>0</v>
      </c>
      <c r="E12" s="54">
        <f t="shared" si="2"/>
        <v>0</v>
      </c>
      <c r="F12" s="55">
        <v>0</v>
      </c>
      <c r="G12" s="56"/>
      <c r="H12" s="57"/>
    </row>
    <row r="13" s="8" customFormat="1" ht="25" customHeight="1" spans="1:8">
      <c r="A13" s="58">
        <v>20911</v>
      </c>
      <c r="B13" s="52"/>
      <c r="C13" s="52" t="s">
        <v>2498</v>
      </c>
      <c r="D13" s="53">
        <f>SUM(D14:D15)</f>
        <v>13115</v>
      </c>
      <c r="E13" s="54">
        <f t="shared" si="2"/>
        <v>488</v>
      </c>
      <c r="F13" s="55">
        <f>SUM(F14:F16)</f>
        <v>13603</v>
      </c>
      <c r="G13" s="56">
        <f>SUM(G14:G16)</f>
        <v>8209</v>
      </c>
      <c r="H13" s="57"/>
    </row>
    <row r="14" s="8" customFormat="1" ht="25" customHeight="1" spans="1:8">
      <c r="A14" s="58">
        <v>2091101</v>
      </c>
      <c r="B14" s="52"/>
      <c r="C14" s="52" t="s">
        <v>2499</v>
      </c>
      <c r="D14" s="53">
        <v>13110</v>
      </c>
      <c r="E14" s="54">
        <f t="shared" si="2"/>
        <v>447</v>
      </c>
      <c r="F14" s="59">
        <v>13557</v>
      </c>
      <c r="G14" s="56">
        <v>8182</v>
      </c>
      <c r="H14" s="57"/>
    </row>
    <row r="15" s="8" customFormat="1" ht="25" customHeight="1" spans="1:8">
      <c r="A15" s="58"/>
      <c r="B15" s="52"/>
      <c r="C15" s="52" t="s">
        <v>2496</v>
      </c>
      <c r="D15" s="53">
        <v>5</v>
      </c>
      <c r="E15" s="59">
        <f t="shared" si="2"/>
        <v>18</v>
      </c>
      <c r="F15" s="59">
        <v>23</v>
      </c>
      <c r="G15" s="56">
        <v>13</v>
      </c>
      <c r="H15" s="57"/>
    </row>
    <row r="16" s="8" customFormat="1" ht="25" customHeight="1" spans="1:8">
      <c r="A16" s="58"/>
      <c r="B16" s="52"/>
      <c r="C16" s="52" t="s">
        <v>2497</v>
      </c>
      <c r="D16" s="53">
        <v>0</v>
      </c>
      <c r="E16" s="59">
        <f t="shared" si="2"/>
        <v>23</v>
      </c>
      <c r="F16" s="59">
        <v>23</v>
      </c>
      <c r="G16" s="56">
        <v>14</v>
      </c>
      <c r="H16" s="57"/>
    </row>
    <row r="17" s="33" customFormat="1" ht="25" customHeight="1" spans="1:256">
      <c r="A17" s="48" t="s">
        <v>2078</v>
      </c>
      <c r="B17" s="48"/>
      <c r="C17" s="48" t="s">
        <v>2500</v>
      </c>
      <c r="D17" s="60">
        <v>46708</v>
      </c>
      <c r="E17" s="60">
        <v>32167</v>
      </c>
      <c r="F17" s="60">
        <f>SUM(F18:F20)</f>
        <v>77841</v>
      </c>
      <c r="G17" s="61">
        <f>SUM(G18:G20)</f>
        <v>64818</v>
      </c>
      <c r="H17" s="51"/>
      <c r="IT17" s="69"/>
      <c r="IU17" s="69"/>
      <c r="IV17" s="69"/>
    </row>
    <row r="18" s="30" customFormat="1" ht="25" customHeight="1" spans="1:256">
      <c r="A18" s="52"/>
      <c r="B18" s="52"/>
      <c r="C18" s="58" t="s">
        <v>2501</v>
      </c>
      <c r="D18" s="55">
        <v>0</v>
      </c>
      <c r="E18" s="54">
        <v>0</v>
      </c>
      <c r="F18" s="55">
        <v>0</v>
      </c>
      <c r="G18" s="62">
        <v>0</v>
      </c>
      <c r="H18" s="57"/>
      <c r="IT18" s="37"/>
      <c r="IU18" s="37"/>
      <c r="IV18" s="37"/>
    </row>
    <row r="19" s="30" customFormat="1" ht="25" customHeight="1" spans="1:256">
      <c r="A19" s="52"/>
      <c r="B19" s="52"/>
      <c r="C19" s="58" t="s">
        <v>2502</v>
      </c>
      <c r="D19" s="55">
        <v>252</v>
      </c>
      <c r="E19" s="54">
        <f t="shared" ref="E19:E23" si="3">F19-D19</f>
        <v>1116</v>
      </c>
      <c r="F19" s="55">
        <v>1368</v>
      </c>
      <c r="G19" s="62">
        <v>76</v>
      </c>
      <c r="H19" s="57"/>
      <c r="IT19" s="37"/>
      <c r="IU19" s="37"/>
      <c r="IV19" s="37"/>
    </row>
    <row r="20" s="30" customFormat="1" ht="25" customHeight="1" spans="1:256">
      <c r="A20" s="52" t="s">
        <v>2503</v>
      </c>
      <c r="B20" s="52"/>
      <c r="C20" s="52" t="s">
        <v>2504</v>
      </c>
      <c r="D20" s="55">
        <v>46456</v>
      </c>
      <c r="E20" s="54">
        <f>SUM(E21:E22)</f>
        <v>30017</v>
      </c>
      <c r="F20" s="55">
        <f>F21+F22</f>
        <v>76473</v>
      </c>
      <c r="G20" s="63">
        <f>SUM(G21:G22)</f>
        <v>64742</v>
      </c>
      <c r="H20" s="64"/>
      <c r="IT20" s="37"/>
      <c r="IU20" s="37"/>
      <c r="IV20" s="37"/>
    </row>
    <row r="21" s="30" customFormat="1" ht="25" customHeight="1" spans="1:256">
      <c r="A21" s="52"/>
      <c r="B21" s="52"/>
      <c r="C21" s="58" t="s">
        <v>2505</v>
      </c>
      <c r="D21" s="55">
        <v>21386</v>
      </c>
      <c r="E21" s="54">
        <f t="shared" si="3"/>
        <v>31571</v>
      </c>
      <c r="F21" s="55">
        <f>19694+43456-10193</f>
        <v>52957</v>
      </c>
      <c r="G21" s="63">
        <v>48701</v>
      </c>
      <c r="H21" s="64"/>
      <c r="IT21" s="37"/>
      <c r="IU21" s="37"/>
      <c r="IV21" s="37"/>
    </row>
    <row r="22" s="30" customFormat="1" ht="25" customHeight="1" spans="1:256">
      <c r="A22" s="52"/>
      <c r="B22" s="52"/>
      <c r="C22" s="58" t="s">
        <v>2506</v>
      </c>
      <c r="D22" s="55">
        <v>25070</v>
      </c>
      <c r="E22" s="54">
        <f t="shared" si="3"/>
        <v>-1554</v>
      </c>
      <c r="F22" s="55">
        <f>15281+23206-1368-13603</f>
        <v>23516</v>
      </c>
      <c r="G22" s="63">
        <v>16041</v>
      </c>
      <c r="H22" s="64"/>
      <c r="IT22" s="37"/>
      <c r="IU22" s="37"/>
      <c r="IV22" s="37"/>
    </row>
    <row r="23" s="33" customFormat="1" ht="25" customHeight="1" spans="1:256">
      <c r="A23" s="48"/>
      <c r="B23" s="48"/>
      <c r="C23" s="65" t="s">
        <v>2507</v>
      </c>
      <c r="D23" s="60">
        <f t="shared" ref="D23:G23" si="4">D6+D17</f>
        <v>69660</v>
      </c>
      <c r="E23" s="66">
        <f t="shared" si="3"/>
        <v>31977</v>
      </c>
      <c r="F23" s="60">
        <f t="shared" si="4"/>
        <v>101637</v>
      </c>
      <c r="G23" s="67">
        <f t="shared" si="4"/>
        <v>78835</v>
      </c>
      <c r="H23" s="68"/>
      <c r="IT23" s="69"/>
      <c r="IU23" s="69"/>
      <c r="IV23" s="69"/>
    </row>
  </sheetData>
  <mergeCells count="2">
    <mergeCell ref="A2:H2"/>
    <mergeCell ref="A5:B5"/>
  </mergeCells>
  <printOptions horizontalCentered="1"/>
  <pageMargins left="0.393055555555556" right="0.393055555555556" top="0.590277777777778" bottom="0.590277777777778" header="0.196527777777778" footer="0.196527777777778"/>
  <pageSetup paperSize="9" scale="94" fitToHeight="0" orientation="landscape" horizontalDpi="6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B8"/>
  <sheetViews>
    <sheetView showZeros="0" zoomScale="80" zoomScaleNormal="80" workbookViewId="0">
      <selection activeCell="A3" sqref="A3"/>
    </sheetView>
  </sheetViews>
  <sheetFormatPr defaultColWidth="8.8" defaultRowHeight="30" customHeight="1" outlineLevelRow="7"/>
  <cols>
    <col min="1" max="1" width="10.625" style="6" customWidth="1"/>
    <col min="2" max="2" width="30.625" style="6" customWidth="1"/>
    <col min="3" max="5" width="10.625" style="6" customWidth="1"/>
    <col min="6" max="6" width="30.625" style="6" customWidth="1"/>
    <col min="7" max="8" width="15.625" style="6" customWidth="1"/>
    <col min="9" max="9" width="10.625" style="6" customWidth="1"/>
    <col min="10" max="11" width="10.625" style="7" customWidth="1"/>
    <col min="12" max="12" width="20.625" style="6" customWidth="1"/>
    <col min="13" max="13" width="10.625" style="6" customWidth="1"/>
    <col min="14" max="14" width="30.625" style="6" customWidth="1"/>
    <col min="15" max="15" width="15.625" style="6" customWidth="1"/>
    <col min="16" max="16" width="10.625" style="6" customWidth="1"/>
    <col min="17" max="18" width="10.625" style="7" customWidth="1"/>
    <col min="19" max="16209" width="8.8" style="8"/>
    <col min="16210" max="16384" width="8.8" style="9"/>
  </cols>
  <sheetData>
    <row r="1" s="1" customFormat="1" ht="20" customHeight="1" spans="1:6">
      <c r="A1" s="10" t="s">
        <v>2508</v>
      </c>
      <c r="B1" s="11"/>
      <c r="C1" s="11"/>
      <c r="D1" s="11"/>
      <c r="E1" s="12"/>
      <c r="F1" s="12"/>
    </row>
    <row r="2" s="2" customFormat="1" customHeight="1" spans="1:18">
      <c r="A2" s="13" t="s">
        <v>2509</v>
      </c>
      <c r="B2" s="13"/>
      <c r="C2" s="13"/>
      <c r="D2" s="13"/>
      <c r="E2" s="13"/>
      <c r="F2" s="13"/>
      <c r="G2" s="13"/>
      <c r="H2" s="13"/>
      <c r="I2" s="13"/>
      <c r="J2" s="13"/>
      <c r="K2" s="13"/>
      <c r="L2" s="13"/>
      <c r="M2" s="13"/>
      <c r="N2" s="13"/>
      <c r="O2" s="13"/>
      <c r="P2" s="13"/>
      <c r="Q2" s="13"/>
      <c r="R2" s="13"/>
    </row>
    <row r="3" s="3" customFormat="1" ht="20" customHeight="1" spans="1:18">
      <c r="A3" s="14"/>
      <c r="B3" s="14"/>
      <c r="C3" s="14"/>
      <c r="D3" s="14"/>
      <c r="E3" s="14"/>
      <c r="F3" s="14"/>
      <c r="Q3" s="25" t="s">
        <v>22</v>
      </c>
      <c r="R3" s="25"/>
    </row>
    <row r="4" s="4" customFormat="1" ht="60" customHeight="1" spans="1:16382">
      <c r="A4" s="15" t="s">
        <v>2510</v>
      </c>
      <c r="B4" s="15" t="s">
        <v>2511</v>
      </c>
      <c r="C4" s="15" t="s">
        <v>2512</v>
      </c>
      <c r="D4" s="15" t="s">
        <v>2513</v>
      </c>
      <c r="E4" s="15" t="s">
        <v>2514</v>
      </c>
      <c r="F4" s="15"/>
      <c r="G4" s="15"/>
      <c r="H4" s="15"/>
      <c r="I4" s="15"/>
      <c r="J4" s="19"/>
      <c r="K4" s="19"/>
      <c r="L4" s="15" t="s">
        <v>2515</v>
      </c>
      <c r="M4" s="20" t="s">
        <v>2516</v>
      </c>
      <c r="N4" s="20"/>
      <c r="O4" s="20"/>
      <c r="P4" s="20"/>
      <c r="Q4" s="26"/>
      <c r="R4" s="27"/>
      <c r="WYL4" s="28"/>
      <c r="WYM4" s="28"/>
      <c r="WYN4" s="28"/>
      <c r="WYO4" s="28"/>
      <c r="WYP4" s="28"/>
      <c r="WYQ4" s="28"/>
      <c r="WYR4" s="28"/>
      <c r="WYS4" s="28"/>
      <c r="WYT4" s="28"/>
      <c r="WYU4" s="28"/>
      <c r="WYV4" s="28"/>
      <c r="WYW4" s="28"/>
      <c r="WYX4" s="28"/>
      <c r="WYY4" s="28"/>
      <c r="WYZ4" s="28"/>
      <c r="WZA4" s="28"/>
      <c r="WZB4" s="28"/>
      <c r="WZC4" s="28"/>
      <c r="WZD4" s="28"/>
      <c r="WZE4" s="28"/>
      <c r="WZF4" s="28"/>
      <c r="WZG4" s="28"/>
      <c r="WZH4" s="28"/>
      <c r="WZI4" s="28"/>
      <c r="WZJ4" s="28"/>
      <c r="WZK4" s="28"/>
      <c r="WZL4" s="28"/>
      <c r="WZM4" s="28"/>
      <c r="WZN4" s="28"/>
      <c r="WZO4" s="28"/>
      <c r="WZP4" s="28"/>
      <c r="WZQ4" s="28"/>
      <c r="WZR4" s="28"/>
      <c r="WZS4" s="28"/>
      <c r="WZT4" s="28"/>
      <c r="WZU4" s="28"/>
      <c r="WZV4" s="28"/>
      <c r="WZW4" s="28"/>
      <c r="WZX4" s="28"/>
      <c r="WZY4" s="28"/>
      <c r="WZZ4" s="28"/>
      <c r="XAA4" s="28"/>
      <c r="XAB4" s="28"/>
      <c r="XAC4" s="28"/>
      <c r="XAD4" s="28"/>
      <c r="XAE4" s="28"/>
      <c r="XAF4" s="28"/>
      <c r="XAG4" s="28"/>
      <c r="XAH4" s="28"/>
      <c r="XAI4" s="28"/>
      <c r="XAJ4" s="28"/>
      <c r="XAK4" s="28"/>
      <c r="XAL4" s="28"/>
      <c r="XAM4" s="28"/>
      <c r="XAN4" s="28"/>
      <c r="XAO4" s="28"/>
      <c r="XAP4" s="28"/>
      <c r="XAQ4" s="28"/>
      <c r="XAR4" s="28"/>
      <c r="XAS4" s="28"/>
      <c r="XAT4" s="28"/>
      <c r="XAU4" s="28"/>
      <c r="XAV4" s="28"/>
      <c r="XAW4" s="28"/>
      <c r="XAX4" s="28"/>
      <c r="XAY4" s="28"/>
      <c r="XAZ4" s="28"/>
      <c r="XBA4" s="28"/>
      <c r="XBB4" s="28"/>
      <c r="XBC4" s="28"/>
      <c r="XBD4" s="28"/>
      <c r="XBE4" s="28"/>
      <c r="XBF4" s="28"/>
      <c r="XBG4" s="28"/>
      <c r="XBH4" s="28"/>
      <c r="XBI4" s="28"/>
      <c r="XBJ4" s="28"/>
      <c r="XBK4" s="28"/>
      <c r="XBL4" s="28"/>
      <c r="XBM4" s="28"/>
      <c r="XBN4" s="28"/>
      <c r="XBO4" s="28"/>
      <c r="XBP4" s="28"/>
      <c r="XBQ4" s="28"/>
      <c r="XBR4" s="28"/>
      <c r="XBS4" s="28"/>
      <c r="XBT4" s="28"/>
      <c r="XBU4" s="28"/>
      <c r="XBV4" s="28"/>
      <c r="XBW4" s="28"/>
      <c r="XBX4" s="28"/>
      <c r="XBY4" s="28"/>
      <c r="XBZ4" s="28"/>
      <c r="XCA4" s="28"/>
      <c r="XCB4" s="28"/>
      <c r="XCC4" s="28"/>
      <c r="XCD4" s="28"/>
      <c r="XCE4" s="28"/>
      <c r="XCF4" s="28"/>
      <c r="XCG4" s="28"/>
      <c r="XCH4" s="28"/>
      <c r="XCI4" s="28"/>
      <c r="XCJ4" s="28"/>
      <c r="XCK4" s="28"/>
      <c r="XCL4" s="28"/>
      <c r="XCM4" s="28"/>
      <c r="XCN4" s="28"/>
      <c r="XCO4" s="28"/>
      <c r="XCP4" s="28"/>
      <c r="XCQ4" s="28"/>
      <c r="XCR4" s="28"/>
      <c r="XCS4" s="28"/>
      <c r="XCT4" s="28"/>
      <c r="XCU4" s="28"/>
      <c r="XCV4" s="28"/>
      <c r="XCW4" s="28"/>
      <c r="XCX4" s="28"/>
      <c r="XCY4" s="28"/>
      <c r="XCZ4" s="28"/>
      <c r="XDA4" s="28"/>
      <c r="XDB4" s="28"/>
      <c r="XDC4" s="28"/>
      <c r="XDD4" s="28"/>
      <c r="XDE4" s="28"/>
      <c r="XDF4" s="28"/>
      <c r="XDG4" s="28"/>
      <c r="XDH4" s="28"/>
      <c r="XDI4" s="28"/>
      <c r="XDJ4" s="28"/>
      <c r="XDK4" s="28"/>
      <c r="XDL4" s="28"/>
      <c r="XDM4" s="28"/>
      <c r="XDN4" s="28"/>
      <c r="XDO4" s="28"/>
      <c r="XDP4" s="28"/>
      <c r="XDQ4" s="28"/>
      <c r="XDR4" s="28"/>
      <c r="XDS4" s="28"/>
      <c r="XDT4" s="28"/>
      <c r="XDU4" s="28"/>
      <c r="XDV4" s="28"/>
      <c r="XDW4" s="28"/>
      <c r="XDX4" s="28"/>
      <c r="XDY4" s="28"/>
      <c r="XDZ4" s="28"/>
      <c r="XEA4" s="28"/>
      <c r="XEB4" s="28"/>
      <c r="XEC4" s="28"/>
      <c r="XED4" s="28"/>
      <c r="XEE4" s="28"/>
      <c r="XEF4" s="28"/>
      <c r="XEG4" s="28"/>
      <c r="XEH4" s="28"/>
      <c r="XEI4" s="28"/>
      <c r="XEJ4" s="28"/>
      <c r="XEK4" s="28"/>
      <c r="XEL4" s="28"/>
      <c r="XEM4" s="28"/>
      <c r="XEN4" s="28"/>
      <c r="XEO4" s="28"/>
      <c r="XEP4" s="28"/>
      <c r="XEQ4" s="28"/>
      <c r="XER4" s="28"/>
      <c r="XES4" s="28"/>
      <c r="XET4" s="28"/>
      <c r="XEU4" s="28"/>
      <c r="XEV4" s="28"/>
      <c r="XEW4" s="28"/>
      <c r="XEX4" s="28"/>
      <c r="XEY4" s="28"/>
      <c r="XEZ4" s="28"/>
      <c r="XFA4" s="28"/>
      <c r="XFB4" s="28"/>
    </row>
    <row r="5" s="4" customFormat="1" ht="60" customHeight="1" spans="1:16382">
      <c r="A5" s="15"/>
      <c r="B5" s="15"/>
      <c r="C5" s="15"/>
      <c r="D5" s="15"/>
      <c r="E5" s="15" t="s">
        <v>2517</v>
      </c>
      <c r="F5" s="15" t="s">
        <v>556</v>
      </c>
      <c r="G5" s="15" t="s">
        <v>2518</v>
      </c>
      <c r="H5" s="15" t="s">
        <v>2519</v>
      </c>
      <c r="I5" s="15" t="s">
        <v>2520</v>
      </c>
      <c r="J5" s="19" t="s">
        <v>2521</v>
      </c>
      <c r="K5" s="19" t="s">
        <v>2522</v>
      </c>
      <c r="L5" s="15"/>
      <c r="M5" s="15" t="s">
        <v>2517</v>
      </c>
      <c r="N5" s="15" t="s">
        <v>556</v>
      </c>
      <c r="O5" s="15" t="s">
        <v>2523</v>
      </c>
      <c r="P5" s="15" t="s">
        <v>2520</v>
      </c>
      <c r="Q5" s="19" t="s">
        <v>2524</v>
      </c>
      <c r="R5" s="19" t="s">
        <v>2522</v>
      </c>
      <c r="WYL5" s="28"/>
      <c r="WYM5" s="28"/>
      <c r="WYN5" s="28"/>
      <c r="WYO5" s="28"/>
      <c r="WYP5" s="28"/>
      <c r="WYQ5" s="28"/>
      <c r="WYR5" s="28"/>
      <c r="WYS5" s="28"/>
      <c r="WYT5" s="28"/>
      <c r="WYU5" s="28"/>
      <c r="WYV5" s="28"/>
      <c r="WYW5" s="28"/>
      <c r="WYX5" s="28"/>
      <c r="WYY5" s="28"/>
      <c r="WYZ5" s="28"/>
      <c r="WZA5" s="28"/>
      <c r="WZB5" s="28"/>
      <c r="WZC5" s="28"/>
      <c r="WZD5" s="28"/>
      <c r="WZE5" s="28"/>
      <c r="WZF5" s="28"/>
      <c r="WZG5" s="28"/>
      <c r="WZH5" s="28"/>
      <c r="WZI5" s="28"/>
      <c r="WZJ5" s="28"/>
      <c r="WZK5" s="28"/>
      <c r="WZL5" s="28"/>
      <c r="WZM5" s="28"/>
      <c r="WZN5" s="28"/>
      <c r="WZO5" s="28"/>
      <c r="WZP5" s="28"/>
      <c r="WZQ5" s="28"/>
      <c r="WZR5" s="28"/>
      <c r="WZS5" s="28"/>
      <c r="WZT5" s="28"/>
      <c r="WZU5" s="28"/>
      <c r="WZV5" s="28"/>
      <c r="WZW5" s="28"/>
      <c r="WZX5" s="28"/>
      <c r="WZY5" s="28"/>
      <c r="WZZ5" s="28"/>
      <c r="XAA5" s="28"/>
      <c r="XAB5" s="28"/>
      <c r="XAC5" s="28"/>
      <c r="XAD5" s="28"/>
      <c r="XAE5" s="28"/>
      <c r="XAF5" s="28"/>
      <c r="XAG5" s="28"/>
      <c r="XAH5" s="28"/>
      <c r="XAI5" s="28"/>
      <c r="XAJ5" s="28"/>
      <c r="XAK5" s="28"/>
      <c r="XAL5" s="28"/>
      <c r="XAM5" s="28"/>
      <c r="XAN5" s="28"/>
      <c r="XAO5" s="28"/>
      <c r="XAP5" s="28"/>
      <c r="XAQ5" s="28"/>
      <c r="XAR5" s="28"/>
      <c r="XAS5" s="28"/>
      <c r="XAT5" s="28"/>
      <c r="XAU5" s="28"/>
      <c r="XAV5" s="28"/>
      <c r="XAW5" s="28"/>
      <c r="XAX5" s="28"/>
      <c r="XAY5" s="28"/>
      <c r="XAZ5" s="28"/>
      <c r="XBA5" s="28"/>
      <c r="XBB5" s="28"/>
      <c r="XBC5" s="28"/>
      <c r="XBD5" s="28"/>
      <c r="XBE5" s="28"/>
      <c r="XBF5" s="28"/>
      <c r="XBG5" s="28"/>
      <c r="XBH5" s="28"/>
      <c r="XBI5" s="28"/>
      <c r="XBJ5" s="28"/>
      <c r="XBK5" s="28"/>
      <c r="XBL5" s="28"/>
      <c r="XBM5" s="28"/>
      <c r="XBN5" s="28"/>
      <c r="XBO5" s="28"/>
      <c r="XBP5" s="28"/>
      <c r="XBQ5" s="28"/>
      <c r="XBR5" s="28"/>
      <c r="XBS5" s="28"/>
      <c r="XBT5" s="28"/>
      <c r="XBU5" s="28"/>
      <c r="XBV5" s="28"/>
      <c r="XBW5" s="28"/>
      <c r="XBX5" s="28"/>
      <c r="XBY5" s="28"/>
      <c r="XBZ5" s="28"/>
      <c r="XCA5" s="28"/>
      <c r="XCB5" s="28"/>
      <c r="XCC5" s="28"/>
      <c r="XCD5" s="28"/>
      <c r="XCE5" s="28"/>
      <c r="XCF5" s="28"/>
      <c r="XCG5" s="28"/>
      <c r="XCH5" s="28"/>
      <c r="XCI5" s="28"/>
      <c r="XCJ5" s="28"/>
      <c r="XCK5" s="28"/>
      <c r="XCL5" s="28"/>
      <c r="XCM5" s="28"/>
      <c r="XCN5" s="28"/>
      <c r="XCO5" s="28"/>
      <c r="XCP5" s="28"/>
      <c r="XCQ5" s="28"/>
      <c r="XCR5" s="28"/>
      <c r="XCS5" s="28"/>
      <c r="XCT5" s="28"/>
      <c r="XCU5" s="28"/>
      <c r="XCV5" s="28"/>
      <c r="XCW5" s="28"/>
      <c r="XCX5" s="28"/>
      <c r="XCY5" s="28"/>
      <c r="XCZ5" s="28"/>
      <c r="XDA5" s="28"/>
      <c r="XDB5" s="28"/>
      <c r="XDC5" s="28"/>
      <c r="XDD5" s="28"/>
      <c r="XDE5" s="28"/>
      <c r="XDF5" s="28"/>
      <c r="XDG5" s="28"/>
      <c r="XDH5" s="28"/>
      <c r="XDI5" s="28"/>
      <c r="XDJ5" s="28"/>
      <c r="XDK5" s="28"/>
      <c r="XDL5" s="28"/>
      <c r="XDM5" s="28"/>
      <c r="XDN5" s="28"/>
      <c r="XDO5" s="28"/>
      <c r="XDP5" s="28"/>
      <c r="XDQ5" s="28"/>
      <c r="XDR5" s="28"/>
      <c r="XDS5" s="28"/>
      <c r="XDT5" s="28"/>
      <c r="XDU5" s="28"/>
      <c r="XDV5" s="28"/>
      <c r="XDW5" s="28"/>
      <c r="XDX5" s="28"/>
      <c r="XDY5" s="28"/>
      <c r="XDZ5" s="28"/>
      <c r="XEA5" s="28"/>
      <c r="XEB5" s="28"/>
      <c r="XEC5" s="28"/>
      <c r="XED5" s="28"/>
      <c r="XEE5" s="28"/>
      <c r="XEF5" s="28"/>
      <c r="XEG5" s="28"/>
      <c r="XEH5" s="28"/>
      <c r="XEI5" s="28"/>
      <c r="XEJ5" s="28"/>
      <c r="XEK5" s="28"/>
      <c r="XEL5" s="28"/>
      <c r="XEM5" s="28"/>
      <c r="XEN5" s="28"/>
      <c r="XEO5" s="28"/>
      <c r="XEP5" s="28"/>
      <c r="XEQ5" s="28"/>
      <c r="XER5" s="28"/>
      <c r="XES5" s="28"/>
      <c r="XET5" s="28"/>
      <c r="XEU5" s="28"/>
      <c r="XEV5" s="28"/>
      <c r="XEW5" s="28"/>
      <c r="XEX5" s="28"/>
      <c r="XEY5" s="28"/>
      <c r="XEZ5" s="28"/>
      <c r="XFA5" s="28"/>
      <c r="XFB5" s="28"/>
    </row>
    <row r="6" s="5" customFormat="1" ht="60" customHeight="1" spans="1:16382">
      <c r="A6" s="16" t="s">
        <v>84</v>
      </c>
      <c r="B6" s="17"/>
      <c r="C6" s="17"/>
      <c r="D6" s="17"/>
      <c r="E6" s="17"/>
      <c r="F6" s="17"/>
      <c r="G6" s="17"/>
      <c r="H6" s="17"/>
      <c r="I6" s="21"/>
      <c r="J6" s="22">
        <f>SUM(J7:J8)</f>
        <v>862</v>
      </c>
      <c r="K6" s="23">
        <f>SUM(K7:K8)</f>
        <v>0</v>
      </c>
      <c r="L6" s="24"/>
      <c r="M6" s="24"/>
      <c r="N6" s="24"/>
      <c r="O6" s="24"/>
      <c r="P6" s="24"/>
      <c r="Q6" s="22">
        <f>SUM(Q7:Q8)</f>
        <v>862</v>
      </c>
      <c r="R6" s="23">
        <f>SUM(R7:R8)</f>
        <v>0</v>
      </c>
      <c r="WYL6" s="29"/>
      <c r="WYM6" s="29"/>
      <c r="WYN6" s="29"/>
      <c r="WYO6" s="29"/>
      <c r="WYP6" s="29"/>
      <c r="WYQ6" s="29"/>
      <c r="WYR6" s="29"/>
      <c r="WYS6" s="29"/>
      <c r="WYT6" s="29"/>
      <c r="WYU6" s="29"/>
      <c r="WYV6" s="29"/>
      <c r="WYW6" s="29"/>
      <c r="WYX6" s="29"/>
      <c r="WYY6" s="29"/>
      <c r="WYZ6" s="29"/>
      <c r="WZA6" s="29"/>
      <c r="WZB6" s="29"/>
      <c r="WZC6" s="29"/>
      <c r="WZD6" s="29"/>
      <c r="WZE6" s="29"/>
      <c r="WZF6" s="29"/>
      <c r="WZG6" s="29"/>
      <c r="WZH6" s="29"/>
      <c r="WZI6" s="29"/>
      <c r="WZJ6" s="29"/>
      <c r="WZK6" s="29"/>
      <c r="WZL6" s="29"/>
      <c r="WZM6" s="29"/>
      <c r="WZN6" s="29"/>
      <c r="WZO6" s="29"/>
      <c r="WZP6" s="29"/>
      <c r="WZQ6" s="29"/>
      <c r="WZR6" s="29"/>
      <c r="WZS6" s="29"/>
      <c r="WZT6" s="29"/>
      <c r="WZU6" s="29"/>
      <c r="WZV6" s="29"/>
      <c r="WZW6" s="29"/>
      <c r="WZX6" s="29"/>
      <c r="WZY6" s="29"/>
      <c r="WZZ6" s="29"/>
      <c r="XAA6" s="29"/>
      <c r="XAB6" s="29"/>
      <c r="XAC6" s="29"/>
      <c r="XAD6" s="29"/>
      <c r="XAE6" s="29"/>
      <c r="XAF6" s="29"/>
      <c r="XAG6" s="29"/>
      <c r="XAH6" s="29"/>
      <c r="XAI6" s="29"/>
      <c r="XAJ6" s="29"/>
      <c r="XAK6" s="29"/>
      <c r="XAL6" s="29"/>
      <c r="XAM6" s="29"/>
      <c r="XAN6" s="29"/>
      <c r="XAO6" s="29"/>
      <c r="XAP6" s="29"/>
      <c r="XAQ6" s="29"/>
      <c r="XAR6" s="29"/>
      <c r="XAS6" s="29"/>
      <c r="XAT6" s="29"/>
      <c r="XAU6" s="29"/>
      <c r="XAV6" s="29"/>
      <c r="XAW6" s="29"/>
      <c r="XAX6" s="29"/>
      <c r="XAY6" s="29"/>
      <c r="XAZ6" s="29"/>
      <c r="XBA6" s="29"/>
      <c r="XBB6" s="29"/>
      <c r="XBC6" s="29"/>
      <c r="XBD6" s="29"/>
      <c r="XBE6" s="29"/>
      <c r="XBF6" s="29"/>
      <c r="XBG6" s="29"/>
      <c r="XBH6" s="29"/>
      <c r="XBI6" s="29"/>
      <c r="XBJ6" s="29"/>
      <c r="XBK6" s="29"/>
      <c r="XBL6" s="29"/>
      <c r="XBM6" s="29"/>
      <c r="XBN6" s="29"/>
      <c r="XBO6" s="29"/>
      <c r="XBP6" s="29"/>
      <c r="XBQ6" s="29"/>
      <c r="XBR6" s="29"/>
      <c r="XBS6" s="29"/>
      <c r="XBT6" s="29"/>
      <c r="XBU6" s="29"/>
      <c r="XBV6" s="29"/>
      <c r="XBW6" s="29"/>
      <c r="XBX6" s="29"/>
      <c r="XBY6" s="29"/>
      <c r="XBZ6" s="29"/>
      <c r="XCA6" s="29"/>
      <c r="XCB6" s="29"/>
      <c r="XCC6" s="29"/>
      <c r="XCD6" s="29"/>
      <c r="XCE6" s="29"/>
      <c r="XCF6" s="29"/>
      <c r="XCG6" s="29"/>
      <c r="XCH6" s="29"/>
      <c r="XCI6" s="29"/>
      <c r="XCJ6" s="29"/>
      <c r="XCK6" s="29"/>
      <c r="XCL6" s="29"/>
      <c r="XCM6" s="29"/>
      <c r="XCN6" s="29"/>
      <c r="XCO6" s="29"/>
      <c r="XCP6" s="29"/>
      <c r="XCQ6" s="29"/>
      <c r="XCR6" s="29"/>
      <c r="XCS6" s="29"/>
      <c r="XCT6" s="29"/>
      <c r="XCU6" s="29"/>
      <c r="XCV6" s="29"/>
      <c r="XCW6" s="29"/>
      <c r="XCX6" s="29"/>
      <c r="XCY6" s="29"/>
      <c r="XCZ6" s="29"/>
      <c r="XDA6" s="29"/>
      <c r="XDB6" s="29"/>
      <c r="XDC6" s="29"/>
      <c r="XDD6" s="29"/>
      <c r="XDE6" s="29"/>
      <c r="XDF6" s="29"/>
      <c r="XDG6" s="29"/>
      <c r="XDH6" s="29"/>
      <c r="XDI6" s="29"/>
      <c r="XDJ6" s="29"/>
      <c r="XDK6" s="29"/>
      <c r="XDL6" s="29"/>
      <c r="XDM6" s="29"/>
      <c r="XDN6" s="29"/>
      <c r="XDO6" s="29"/>
      <c r="XDP6" s="29"/>
      <c r="XDQ6" s="29"/>
      <c r="XDR6" s="29"/>
      <c r="XDS6" s="29"/>
      <c r="XDT6" s="29"/>
      <c r="XDU6" s="29"/>
      <c r="XDV6" s="29"/>
      <c r="XDW6" s="29"/>
      <c r="XDX6" s="29"/>
      <c r="XDY6" s="29"/>
      <c r="XDZ6" s="29"/>
      <c r="XEA6" s="29"/>
      <c r="XEB6" s="29"/>
      <c r="XEC6" s="29"/>
      <c r="XED6" s="29"/>
      <c r="XEE6" s="29"/>
      <c r="XEF6" s="29"/>
      <c r="XEG6" s="29"/>
      <c r="XEH6" s="29"/>
      <c r="XEI6" s="29"/>
      <c r="XEJ6" s="29"/>
      <c r="XEK6" s="29"/>
      <c r="XEL6" s="29"/>
      <c r="XEM6" s="29"/>
      <c r="XEN6" s="29"/>
      <c r="XEO6" s="29"/>
      <c r="XEP6" s="29"/>
      <c r="XEQ6" s="29"/>
      <c r="XER6" s="29"/>
      <c r="XES6" s="29"/>
      <c r="XET6" s="29"/>
      <c r="XEU6" s="29"/>
      <c r="XEV6" s="29"/>
      <c r="XEW6" s="29"/>
      <c r="XEX6" s="29"/>
      <c r="XEY6" s="29"/>
      <c r="XEZ6" s="29"/>
      <c r="XFA6" s="29"/>
      <c r="XFB6" s="29"/>
    </row>
    <row r="7" s="5" customFormat="1" ht="60" customHeight="1" spans="1:16382">
      <c r="A7" s="18" t="s">
        <v>2525</v>
      </c>
      <c r="B7" s="18" t="s">
        <v>2526</v>
      </c>
      <c r="C7" s="18">
        <v>2022</v>
      </c>
      <c r="D7" s="18" t="s">
        <v>2527</v>
      </c>
      <c r="E7" s="18" t="s">
        <v>2528</v>
      </c>
      <c r="F7" s="18" t="s">
        <v>2529</v>
      </c>
      <c r="G7" s="18" t="s">
        <v>2530</v>
      </c>
      <c r="H7" s="18" t="s">
        <v>2530</v>
      </c>
      <c r="I7" s="18" t="s">
        <v>2531</v>
      </c>
      <c r="J7" s="22">
        <v>462</v>
      </c>
      <c r="K7" s="23">
        <v>0</v>
      </c>
      <c r="L7" s="18" t="s">
        <v>2532</v>
      </c>
      <c r="M7" s="18" t="s">
        <v>2528</v>
      </c>
      <c r="N7" s="18" t="s">
        <v>2533</v>
      </c>
      <c r="O7" s="18" t="s">
        <v>2534</v>
      </c>
      <c r="P7" s="18" t="s">
        <v>2531</v>
      </c>
      <c r="Q7" s="22">
        <v>462</v>
      </c>
      <c r="R7" s="23">
        <v>0</v>
      </c>
      <c r="WYL7" s="29"/>
      <c r="WYM7" s="29"/>
      <c r="WYN7" s="29"/>
      <c r="WYO7" s="29"/>
      <c r="WYP7" s="29"/>
      <c r="WYQ7" s="29"/>
      <c r="WYR7" s="29"/>
      <c r="WYS7" s="29"/>
      <c r="WYT7" s="29"/>
      <c r="WYU7" s="29"/>
      <c r="WYV7" s="29"/>
      <c r="WYW7" s="29"/>
      <c r="WYX7" s="29"/>
      <c r="WYY7" s="29"/>
      <c r="WYZ7" s="29"/>
      <c r="WZA7" s="29"/>
      <c r="WZB7" s="29"/>
      <c r="WZC7" s="29"/>
      <c r="WZD7" s="29"/>
      <c r="WZE7" s="29"/>
      <c r="WZF7" s="29"/>
      <c r="WZG7" s="29"/>
      <c r="WZH7" s="29"/>
      <c r="WZI7" s="29"/>
      <c r="WZJ7" s="29"/>
      <c r="WZK7" s="29"/>
      <c r="WZL7" s="29"/>
      <c r="WZM7" s="29"/>
      <c r="WZN7" s="29"/>
      <c r="WZO7" s="29"/>
      <c r="WZP7" s="29"/>
      <c r="WZQ7" s="29"/>
      <c r="WZR7" s="29"/>
      <c r="WZS7" s="29"/>
      <c r="WZT7" s="29"/>
      <c r="WZU7" s="29"/>
      <c r="WZV7" s="29"/>
      <c r="WZW7" s="29"/>
      <c r="WZX7" s="29"/>
      <c r="WZY7" s="29"/>
      <c r="WZZ7" s="29"/>
      <c r="XAA7" s="29"/>
      <c r="XAB7" s="29"/>
      <c r="XAC7" s="29"/>
      <c r="XAD7" s="29"/>
      <c r="XAE7" s="29"/>
      <c r="XAF7" s="29"/>
      <c r="XAG7" s="29"/>
      <c r="XAH7" s="29"/>
      <c r="XAI7" s="29"/>
      <c r="XAJ7" s="29"/>
      <c r="XAK7" s="29"/>
      <c r="XAL7" s="29"/>
      <c r="XAM7" s="29"/>
      <c r="XAN7" s="29"/>
      <c r="XAO7" s="29"/>
      <c r="XAP7" s="29"/>
      <c r="XAQ7" s="29"/>
      <c r="XAR7" s="29"/>
      <c r="XAS7" s="29"/>
      <c r="XAT7" s="29"/>
      <c r="XAU7" s="29"/>
      <c r="XAV7" s="29"/>
      <c r="XAW7" s="29"/>
      <c r="XAX7" s="29"/>
      <c r="XAY7" s="29"/>
      <c r="XAZ7" s="29"/>
      <c r="XBA7" s="29"/>
      <c r="XBB7" s="29"/>
      <c r="XBC7" s="29"/>
      <c r="XBD7" s="29"/>
      <c r="XBE7" s="29"/>
      <c r="XBF7" s="29"/>
      <c r="XBG7" s="29"/>
      <c r="XBH7" s="29"/>
      <c r="XBI7" s="29"/>
      <c r="XBJ7" s="29"/>
      <c r="XBK7" s="29"/>
      <c r="XBL7" s="29"/>
      <c r="XBM7" s="29"/>
      <c r="XBN7" s="29"/>
      <c r="XBO7" s="29"/>
      <c r="XBP7" s="29"/>
      <c r="XBQ7" s="29"/>
      <c r="XBR7" s="29"/>
      <c r="XBS7" s="29"/>
      <c r="XBT7" s="29"/>
      <c r="XBU7" s="29"/>
      <c r="XBV7" s="29"/>
      <c r="XBW7" s="29"/>
      <c r="XBX7" s="29"/>
      <c r="XBY7" s="29"/>
      <c r="XBZ7" s="29"/>
      <c r="XCA7" s="29"/>
      <c r="XCB7" s="29"/>
      <c r="XCC7" s="29"/>
      <c r="XCD7" s="29"/>
      <c r="XCE7" s="29"/>
      <c r="XCF7" s="29"/>
      <c r="XCG7" s="29"/>
      <c r="XCH7" s="29"/>
      <c r="XCI7" s="29"/>
      <c r="XCJ7" s="29"/>
      <c r="XCK7" s="29"/>
      <c r="XCL7" s="29"/>
      <c r="XCM7" s="29"/>
      <c r="XCN7" s="29"/>
      <c r="XCO7" s="29"/>
      <c r="XCP7" s="29"/>
      <c r="XCQ7" s="29"/>
      <c r="XCR7" s="29"/>
      <c r="XCS7" s="29"/>
      <c r="XCT7" s="29"/>
      <c r="XCU7" s="29"/>
      <c r="XCV7" s="29"/>
      <c r="XCW7" s="29"/>
      <c r="XCX7" s="29"/>
      <c r="XCY7" s="29"/>
      <c r="XCZ7" s="29"/>
      <c r="XDA7" s="29"/>
      <c r="XDB7" s="29"/>
      <c r="XDC7" s="29"/>
      <c r="XDD7" s="29"/>
      <c r="XDE7" s="29"/>
      <c r="XDF7" s="29"/>
      <c r="XDG7" s="29"/>
      <c r="XDH7" s="29"/>
      <c r="XDI7" s="29"/>
      <c r="XDJ7" s="29"/>
      <c r="XDK7" s="29"/>
      <c r="XDL7" s="29"/>
      <c r="XDM7" s="29"/>
      <c r="XDN7" s="29"/>
      <c r="XDO7" s="29"/>
      <c r="XDP7" s="29"/>
      <c r="XDQ7" s="29"/>
      <c r="XDR7" s="29"/>
      <c r="XDS7" s="29"/>
      <c r="XDT7" s="29"/>
      <c r="XDU7" s="29"/>
      <c r="XDV7" s="29"/>
      <c r="XDW7" s="29"/>
      <c r="XDX7" s="29"/>
      <c r="XDY7" s="29"/>
      <c r="XDZ7" s="29"/>
      <c r="XEA7" s="29"/>
      <c r="XEB7" s="29"/>
      <c r="XEC7" s="29"/>
      <c r="XED7" s="29"/>
      <c r="XEE7" s="29"/>
      <c r="XEF7" s="29"/>
      <c r="XEG7" s="29"/>
      <c r="XEH7" s="29"/>
      <c r="XEI7" s="29"/>
      <c r="XEJ7" s="29"/>
      <c r="XEK7" s="29"/>
      <c r="XEL7" s="29"/>
      <c r="XEM7" s="29"/>
      <c r="XEN7" s="29"/>
      <c r="XEO7" s="29"/>
      <c r="XEP7" s="29"/>
      <c r="XEQ7" s="29"/>
      <c r="XER7" s="29"/>
      <c r="XES7" s="29"/>
      <c r="XET7" s="29"/>
      <c r="XEU7" s="29"/>
      <c r="XEV7" s="29"/>
      <c r="XEW7" s="29"/>
      <c r="XEX7" s="29"/>
      <c r="XEY7" s="29"/>
      <c r="XEZ7" s="29"/>
      <c r="XFA7" s="29"/>
      <c r="XFB7" s="29"/>
    </row>
    <row r="8" s="5" customFormat="1" ht="60" customHeight="1" spans="1:16382">
      <c r="A8" s="18" t="s">
        <v>2525</v>
      </c>
      <c r="B8" s="18" t="s">
        <v>2535</v>
      </c>
      <c r="C8" s="18">
        <v>2022</v>
      </c>
      <c r="D8" s="18" t="s">
        <v>2527</v>
      </c>
      <c r="E8" s="18" t="s">
        <v>2528</v>
      </c>
      <c r="F8" s="18" t="s">
        <v>2536</v>
      </c>
      <c r="G8" s="18" t="s">
        <v>2537</v>
      </c>
      <c r="H8" s="18" t="s">
        <v>2537</v>
      </c>
      <c r="I8" s="18" t="s">
        <v>2531</v>
      </c>
      <c r="J8" s="22">
        <v>400</v>
      </c>
      <c r="K8" s="23">
        <v>0</v>
      </c>
      <c r="L8" s="18" t="s">
        <v>2532</v>
      </c>
      <c r="M8" s="18" t="s">
        <v>2528</v>
      </c>
      <c r="N8" s="18" t="s">
        <v>2533</v>
      </c>
      <c r="O8" s="18" t="s">
        <v>2534</v>
      </c>
      <c r="P8" s="18" t="s">
        <v>2531</v>
      </c>
      <c r="Q8" s="22">
        <v>400</v>
      </c>
      <c r="R8" s="23">
        <v>0</v>
      </c>
      <c r="WYL8" s="29"/>
      <c r="WYM8" s="29"/>
      <c r="WYN8" s="29"/>
      <c r="WYO8" s="29"/>
      <c r="WYP8" s="29"/>
      <c r="WYQ8" s="29"/>
      <c r="WYR8" s="29"/>
      <c r="WYS8" s="29"/>
      <c r="WYT8" s="29"/>
      <c r="WYU8" s="29"/>
      <c r="WYV8" s="29"/>
      <c r="WYW8" s="29"/>
      <c r="WYX8" s="29"/>
      <c r="WYY8" s="29"/>
      <c r="WYZ8" s="29"/>
      <c r="WZA8" s="29"/>
      <c r="WZB8" s="29"/>
      <c r="WZC8" s="29"/>
      <c r="WZD8" s="29"/>
      <c r="WZE8" s="29"/>
      <c r="WZF8" s="29"/>
      <c r="WZG8" s="29"/>
      <c r="WZH8" s="29"/>
      <c r="WZI8" s="29"/>
      <c r="WZJ8" s="29"/>
      <c r="WZK8" s="29"/>
      <c r="WZL8" s="29"/>
      <c r="WZM8" s="29"/>
      <c r="WZN8" s="29"/>
      <c r="WZO8" s="29"/>
      <c r="WZP8" s="29"/>
      <c r="WZQ8" s="29"/>
      <c r="WZR8" s="29"/>
      <c r="WZS8" s="29"/>
      <c r="WZT8" s="29"/>
      <c r="WZU8" s="29"/>
      <c r="WZV8" s="29"/>
      <c r="WZW8" s="29"/>
      <c r="WZX8" s="29"/>
      <c r="WZY8" s="29"/>
      <c r="WZZ8" s="29"/>
      <c r="XAA8" s="29"/>
      <c r="XAB8" s="29"/>
      <c r="XAC8" s="29"/>
      <c r="XAD8" s="29"/>
      <c r="XAE8" s="29"/>
      <c r="XAF8" s="29"/>
      <c r="XAG8" s="29"/>
      <c r="XAH8" s="29"/>
      <c r="XAI8" s="29"/>
      <c r="XAJ8" s="29"/>
      <c r="XAK8" s="29"/>
      <c r="XAL8" s="29"/>
      <c r="XAM8" s="29"/>
      <c r="XAN8" s="29"/>
      <c r="XAO8" s="29"/>
      <c r="XAP8" s="29"/>
      <c r="XAQ8" s="29"/>
      <c r="XAR8" s="29"/>
      <c r="XAS8" s="29"/>
      <c r="XAT8" s="29"/>
      <c r="XAU8" s="29"/>
      <c r="XAV8" s="29"/>
      <c r="XAW8" s="29"/>
      <c r="XAX8" s="29"/>
      <c r="XAY8" s="29"/>
      <c r="XAZ8" s="29"/>
      <c r="XBA8" s="29"/>
      <c r="XBB8" s="29"/>
      <c r="XBC8" s="29"/>
      <c r="XBD8" s="29"/>
      <c r="XBE8" s="29"/>
      <c r="XBF8" s="29"/>
      <c r="XBG8" s="29"/>
      <c r="XBH8" s="29"/>
      <c r="XBI8" s="29"/>
      <c r="XBJ8" s="29"/>
      <c r="XBK8" s="29"/>
      <c r="XBL8" s="29"/>
      <c r="XBM8" s="29"/>
      <c r="XBN8" s="29"/>
      <c r="XBO8" s="29"/>
      <c r="XBP8" s="29"/>
      <c r="XBQ8" s="29"/>
      <c r="XBR8" s="29"/>
      <c r="XBS8" s="29"/>
      <c r="XBT8" s="29"/>
      <c r="XBU8" s="29"/>
      <c r="XBV8" s="29"/>
      <c r="XBW8" s="29"/>
      <c r="XBX8" s="29"/>
      <c r="XBY8" s="29"/>
      <c r="XBZ8" s="29"/>
      <c r="XCA8" s="29"/>
      <c r="XCB8" s="29"/>
      <c r="XCC8" s="29"/>
      <c r="XCD8" s="29"/>
      <c r="XCE8" s="29"/>
      <c r="XCF8" s="29"/>
      <c r="XCG8" s="29"/>
      <c r="XCH8" s="29"/>
      <c r="XCI8" s="29"/>
      <c r="XCJ8" s="29"/>
      <c r="XCK8" s="29"/>
      <c r="XCL8" s="29"/>
      <c r="XCM8" s="29"/>
      <c r="XCN8" s="29"/>
      <c r="XCO8" s="29"/>
      <c r="XCP8" s="29"/>
      <c r="XCQ8" s="29"/>
      <c r="XCR8" s="29"/>
      <c r="XCS8" s="29"/>
      <c r="XCT8" s="29"/>
      <c r="XCU8" s="29"/>
      <c r="XCV8" s="29"/>
      <c r="XCW8" s="29"/>
      <c r="XCX8" s="29"/>
      <c r="XCY8" s="29"/>
      <c r="XCZ8" s="29"/>
      <c r="XDA8" s="29"/>
      <c r="XDB8" s="29"/>
      <c r="XDC8" s="29"/>
      <c r="XDD8" s="29"/>
      <c r="XDE8" s="29"/>
      <c r="XDF8" s="29"/>
      <c r="XDG8" s="29"/>
      <c r="XDH8" s="29"/>
      <c r="XDI8" s="29"/>
      <c r="XDJ8" s="29"/>
      <c r="XDK8" s="29"/>
      <c r="XDL8" s="29"/>
      <c r="XDM8" s="29"/>
      <c r="XDN8" s="29"/>
      <c r="XDO8" s="29"/>
      <c r="XDP8" s="29"/>
      <c r="XDQ8" s="29"/>
      <c r="XDR8" s="29"/>
      <c r="XDS8" s="29"/>
      <c r="XDT8" s="29"/>
      <c r="XDU8" s="29"/>
      <c r="XDV8" s="29"/>
      <c r="XDW8" s="29"/>
      <c r="XDX8" s="29"/>
      <c r="XDY8" s="29"/>
      <c r="XDZ8" s="29"/>
      <c r="XEA8" s="29"/>
      <c r="XEB8" s="29"/>
      <c r="XEC8" s="29"/>
      <c r="XED8" s="29"/>
      <c r="XEE8" s="29"/>
      <c r="XEF8" s="29"/>
      <c r="XEG8" s="29"/>
      <c r="XEH8" s="29"/>
      <c r="XEI8" s="29"/>
      <c r="XEJ8" s="29"/>
      <c r="XEK8" s="29"/>
      <c r="XEL8" s="29"/>
      <c r="XEM8" s="29"/>
      <c r="XEN8" s="29"/>
      <c r="XEO8" s="29"/>
      <c r="XEP8" s="29"/>
      <c r="XEQ8" s="29"/>
      <c r="XER8" s="29"/>
      <c r="XES8" s="29"/>
      <c r="XET8" s="29"/>
      <c r="XEU8" s="29"/>
      <c r="XEV8" s="29"/>
      <c r="XEW8" s="29"/>
      <c r="XEX8" s="29"/>
      <c r="XEY8" s="29"/>
      <c r="XEZ8" s="29"/>
      <c r="XFA8" s="29"/>
      <c r="XFB8" s="29"/>
    </row>
  </sheetData>
  <autoFilter ref="A5:R8">
    <extLst/>
  </autoFilter>
  <mergeCells count="10">
    <mergeCell ref="A2:R2"/>
    <mergeCell ref="Q3:R3"/>
    <mergeCell ref="E4:K4"/>
    <mergeCell ref="M4:R4"/>
    <mergeCell ref="A6:I6"/>
    <mergeCell ref="A4:A5"/>
    <mergeCell ref="B4:B5"/>
    <mergeCell ref="C4:C5"/>
    <mergeCell ref="D4:D5"/>
    <mergeCell ref="L4:L5"/>
  </mergeCells>
  <dataValidations count="5">
    <dataValidation type="list" allowBlank="1" showInputMessage="1" showErrorMessage="1" sqref="G4 H4 O4 P4">
      <formula1>"无收益公益性项目,土储项目,棚改项目,其他专项债券项目"</formula1>
    </dataValidation>
    <dataValidation type="list" allowBlank="1" showInputMessage="1" showErrorMessage="1" sqref="D7 D8">
      <formula1>"土储专项债券,棚改专项债券,其他专项债券"</formula1>
    </dataValidation>
    <dataValidation type="list" allowBlank="1" showInputMessage="1" showErrorMessage="1" sqref="I7 I8">
      <formula1>"未开工,在建,已竣工"</formula1>
    </dataValidation>
    <dataValidation type="list" allowBlank="1" showInputMessage="1" showErrorMessage="1" sqref="L7 L8">
      <formula1>"项目短期内难以继续建设实施,项目实施过程重大变化导致资金需求减少,项目竣工债券资金结余,按照监督检查和审计等意见调整,其他需要调整情形"</formula1>
    </dataValidation>
    <dataValidation type="list" allowBlank="1" showInputMessage="1" showErrorMessage="1" sqref="O7 O8">
      <formula1>"土储项目,棚改项目,交通基础设施项目,能源项目,农林水利项目,生态环保项目,社会事业项目,城乡冷链物流基础设施项目,市政与产业园区基础设施项目,保障性住房项目,其他有收益的公益性项目"</formula1>
    </dataValidation>
  </dataValidations>
  <printOptions horizontalCentered="1"/>
  <pageMargins left="0.393055555555556" right="0.393055555555556" top="0.590277777777778" bottom="0.590277777777778" header="0.196527777777778" footer="0.196527777777778"/>
  <pageSetup paperSize="9" scale="94" fitToHeight="0"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7"/>
  <sheetViews>
    <sheetView workbookViewId="0">
      <selection activeCell="D11" sqref="D11"/>
    </sheetView>
  </sheetViews>
  <sheetFormatPr defaultColWidth="9" defaultRowHeight="14.25"/>
  <sheetData>
    <row r="1" s="494" customFormat="1" ht="25.5" spans="1:9">
      <c r="A1" s="495" t="s">
        <v>4</v>
      </c>
      <c r="B1" s="495"/>
      <c r="C1" s="495"/>
      <c r="D1" s="495"/>
      <c r="E1" s="495"/>
      <c r="F1" s="495"/>
      <c r="G1" s="495"/>
      <c r="H1" s="495"/>
      <c r="I1" s="495"/>
    </row>
    <row r="3" ht="30" customHeight="1" spans="1:1">
      <c r="A3" s="496" t="s">
        <v>5</v>
      </c>
    </row>
    <row r="4" ht="30" customHeight="1" spans="1:1">
      <c r="A4" t="s">
        <v>6</v>
      </c>
    </row>
    <row r="5" ht="30" customHeight="1" spans="1:1">
      <c r="A5" t="s">
        <v>7</v>
      </c>
    </row>
    <row r="6" ht="30" customHeight="1" spans="1:1">
      <c r="A6" t="s">
        <v>8</v>
      </c>
    </row>
    <row r="7" ht="30" customHeight="1" spans="1:1">
      <c r="A7" s="496" t="s">
        <v>9</v>
      </c>
    </row>
    <row r="8" ht="30" customHeight="1" spans="1:1">
      <c r="A8" t="s">
        <v>10</v>
      </c>
    </row>
    <row r="9" ht="30" customHeight="1" spans="1:1">
      <c r="A9" t="s">
        <v>11</v>
      </c>
    </row>
    <row r="10" ht="30" customHeight="1" spans="1:1">
      <c r="A10" t="s">
        <v>12</v>
      </c>
    </row>
    <row r="11" ht="30" customHeight="1" spans="1:1">
      <c r="A11" t="s">
        <v>13</v>
      </c>
    </row>
    <row r="12" ht="30" customHeight="1" spans="1:1">
      <c r="A12" t="s">
        <v>14</v>
      </c>
    </row>
    <row r="13" ht="30" customHeight="1" spans="1:1">
      <c r="A13" s="496" t="s">
        <v>15</v>
      </c>
    </row>
    <row r="14" ht="30" customHeight="1" spans="1:1">
      <c r="A14" t="s">
        <v>16</v>
      </c>
    </row>
    <row r="15" ht="30" customHeight="1" spans="1:1">
      <c r="A15" t="s">
        <v>17</v>
      </c>
    </row>
    <row r="16" ht="30" customHeight="1" spans="1:1">
      <c r="A16" s="496" t="s">
        <v>18</v>
      </c>
    </row>
    <row r="17" ht="30" customHeight="1" spans="1:1">
      <c r="A17" t="s">
        <v>19</v>
      </c>
    </row>
  </sheetData>
  <mergeCells count="1">
    <mergeCell ref="A1:I1"/>
  </mergeCells>
  <printOptions horizontalCentered="1"/>
  <pageMargins left="1.14513888888889" right="0.751388888888889" top="0.629861111111111" bottom="0.66875" header="0.5" footer="0.5"/>
  <pageSetup paperSize="9" fitToWidth="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Z52"/>
  <sheetViews>
    <sheetView showZeros="0" workbookViewId="0">
      <pane xSplit="1" ySplit="6" topLeftCell="B7" activePane="bottomRight" state="frozen"/>
      <selection/>
      <selection pane="topRight"/>
      <selection pane="bottomLeft"/>
      <selection pane="bottomRight" activeCell="N12" sqref="N12"/>
    </sheetView>
  </sheetViews>
  <sheetFormatPr defaultColWidth="9" defaultRowHeight="14.25"/>
  <cols>
    <col min="1" max="1" width="31.625" style="165" customWidth="1"/>
    <col min="2" max="7" width="10.625" style="178" customWidth="1"/>
    <col min="8" max="9" width="8.625" style="180" customWidth="1"/>
    <col min="10" max="10" width="25.625" style="165" customWidth="1"/>
    <col min="11" max="11" width="1.875" style="460" hidden="1" customWidth="1"/>
    <col min="12" max="12" width="9" style="460"/>
    <col min="13" max="13" width="12.625" style="460"/>
    <col min="14" max="16380" width="9" style="460"/>
  </cols>
  <sheetData>
    <row r="1" ht="20" customHeight="1" spans="1:1">
      <c r="A1" s="10" t="s">
        <v>20</v>
      </c>
    </row>
    <row r="2" ht="30" customHeight="1" spans="1:10">
      <c r="A2" s="96" t="s">
        <v>21</v>
      </c>
      <c r="B2" s="461"/>
      <c r="C2" s="461"/>
      <c r="D2" s="461"/>
      <c r="E2" s="461"/>
      <c r="F2" s="461"/>
      <c r="G2" s="461"/>
      <c r="H2" s="462"/>
      <c r="I2" s="462"/>
      <c r="J2" s="96"/>
    </row>
    <row r="3" s="456" customFormat="1" ht="20" customHeight="1" spans="1:10">
      <c r="A3" s="463"/>
      <c r="B3" s="464"/>
      <c r="C3" s="464"/>
      <c r="D3" s="464"/>
      <c r="E3" s="464"/>
      <c r="F3" s="464"/>
      <c r="G3" s="464"/>
      <c r="H3" s="465"/>
      <c r="I3" s="465"/>
      <c r="J3" s="325" t="s">
        <v>22</v>
      </c>
    </row>
    <row r="4" s="457" customFormat="1" ht="25" customHeight="1" spans="1:10">
      <c r="A4" s="466" t="s">
        <v>23</v>
      </c>
      <c r="B4" s="467" t="s">
        <v>24</v>
      </c>
      <c r="C4" s="467"/>
      <c r="D4" s="467" t="s">
        <v>25</v>
      </c>
      <c r="E4" s="467"/>
      <c r="F4" s="467" t="s">
        <v>26</v>
      </c>
      <c r="G4" s="467"/>
      <c r="H4" s="468" t="s">
        <v>27</v>
      </c>
      <c r="I4" s="468"/>
      <c r="J4" s="487" t="s">
        <v>28</v>
      </c>
    </row>
    <row r="5" s="457" customFormat="1" ht="25" customHeight="1" spans="1:10">
      <c r="A5" s="469"/>
      <c r="B5" s="470"/>
      <c r="C5" s="470"/>
      <c r="D5" s="470"/>
      <c r="E5" s="470"/>
      <c r="F5" s="470"/>
      <c r="G5" s="470"/>
      <c r="H5" s="471"/>
      <c r="I5" s="471"/>
      <c r="J5" s="487"/>
    </row>
    <row r="6" s="457" customFormat="1" ht="25" customHeight="1" spans="1:10">
      <c r="A6" s="472"/>
      <c r="B6" s="467" t="s">
        <v>29</v>
      </c>
      <c r="C6" s="473" t="s">
        <v>30</v>
      </c>
      <c r="D6" s="467" t="s">
        <v>29</v>
      </c>
      <c r="E6" s="473" t="s">
        <v>30</v>
      </c>
      <c r="F6" s="467" t="s">
        <v>29</v>
      </c>
      <c r="G6" s="473" t="s">
        <v>30</v>
      </c>
      <c r="H6" s="474" t="s">
        <v>29</v>
      </c>
      <c r="I6" s="488" t="s">
        <v>30</v>
      </c>
      <c r="J6" s="15"/>
    </row>
    <row r="7" ht="25" customHeight="1" spans="1:10">
      <c r="A7" s="475" t="s">
        <v>31</v>
      </c>
      <c r="B7" s="476">
        <f t="shared" ref="B7:G7" si="0">SUM(B8:B23)</f>
        <v>303407</v>
      </c>
      <c r="C7" s="476">
        <f t="shared" si="0"/>
        <v>46426</v>
      </c>
      <c r="D7" s="476">
        <f t="shared" si="0"/>
        <v>-143232</v>
      </c>
      <c r="E7" s="476">
        <f t="shared" si="0"/>
        <v>-23261</v>
      </c>
      <c r="F7" s="476">
        <f t="shared" si="0"/>
        <v>160175</v>
      </c>
      <c r="G7" s="476">
        <f t="shared" si="0"/>
        <v>23165</v>
      </c>
      <c r="H7" s="476">
        <f t="shared" ref="H7:H44" si="1">IF(B7=0,IF(F7=0,0,100),100*(F7/B7-1))</f>
        <v>-47.2078758894818</v>
      </c>
      <c r="I7" s="476">
        <f t="shared" ref="I7:I41" si="2">IF(C7=0,IF(G7=0,0,100),100*(G7/C7-1))</f>
        <v>-50.1033903416189</v>
      </c>
      <c r="J7" s="52"/>
    </row>
    <row r="8" ht="25" customHeight="1" spans="1:11">
      <c r="A8" s="504" t="s">
        <v>32</v>
      </c>
      <c r="B8" s="477">
        <v>157288</v>
      </c>
      <c r="C8" s="477">
        <v>19661</v>
      </c>
      <c r="D8" s="477">
        <f>F8-B8</f>
        <v>-110101</v>
      </c>
      <c r="E8" s="477">
        <f>G8-C8</f>
        <v>-15769</v>
      </c>
      <c r="F8" s="477">
        <f>-12923+60110</f>
        <v>47187</v>
      </c>
      <c r="G8" s="477">
        <f>4000-108</f>
        <v>3892</v>
      </c>
      <c r="H8" s="477">
        <f t="shared" si="1"/>
        <v>-69.9996185341539</v>
      </c>
      <c r="I8" s="477">
        <f t="shared" si="2"/>
        <v>-80.2044656935049</v>
      </c>
      <c r="J8" s="52" t="s">
        <v>33</v>
      </c>
      <c r="K8" s="489" t="s">
        <v>34</v>
      </c>
    </row>
    <row r="9" ht="25" customHeight="1" spans="1:10">
      <c r="A9" s="504" t="s">
        <v>35</v>
      </c>
      <c r="B9" s="477">
        <v>22</v>
      </c>
      <c r="C9" s="477"/>
      <c r="D9" s="477">
        <f t="shared" ref="D9:D23" si="3">F9-B9</f>
        <v>-13</v>
      </c>
      <c r="E9" s="477">
        <f t="shared" ref="E9:E23" si="4">G9-C9</f>
        <v>0</v>
      </c>
      <c r="F9" s="477">
        <v>9</v>
      </c>
      <c r="G9" s="477">
        <v>0</v>
      </c>
      <c r="H9" s="477">
        <f t="shared" si="1"/>
        <v>-59.0909090909091</v>
      </c>
      <c r="I9" s="477">
        <f t="shared" si="2"/>
        <v>0</v>
      </c>
      <c r="J9" s="52"/>
    </row>
    <row r="10" ht="25" customHeight="1" spans="1:11">
      <c r="A10" s="504" t="s">
        <v>36</v>
      </c>
      <c r="B10" s="477">
        <v>1469</v>
      </c>
      <c r="C10" s="477"/>
      <c r="D10" s="477">
        <f t="shared" si="3"/>
        <v>-969</v>
      </c>
      <c r="E10" s="477">
        <f t="shared" si="4"/>
        <v>0</v>
      </c>
      <c r="F10" s="477">
        <v>500</v>
      </c>
      <c r="G10" s="477">
        <v>0</v>
      </c>
      <c r="H10" s="477">
        <f t="shared" si="1"/>
        <v>-65.9632402995235</v>
      </c>
      <c r="I10" s="477">
        <f t="shared" si="2"/>
        <v>0</v>
      </c>
      <c r="J10" s="52"/>
      <c r="K10" s="489" t="s">
        <v>37</v>
      </c>
    </row>
    <row r="11" ht="25" customHeight="1" spans="1:11">
      <c r="A11" s="504" t="s">
        <v>38</v>
      </c>
      <c r="B11" s="477">
        <f>C11/0.1</f>
        <v>72950</v>
      </c>
      <c r="C11" s="477">
        <v>7295</v>
      </c>
      <c r="D11" s="477">
        <f t="shared" si="3"/>
        <v>-11970</v>
      </c>
      <c r="E11" s="477">
        <f t="shared" si="4"/>
        <v>-1197</v>
      </c>
      <c r="F11" s="477">
        <f>G11/0.1</f>
        <v>60980</v>
      </c>
      <c r="G11" s="477">
        <v>6098</v>
      </c>
      <c r="H11" s="477">
        <f t="shared" si="1"/>
        <v>-16.4084989718986</v>
      </c>
      <c r="I11" s="477">
        <f t="shared" si="2"/>
        <v>-16.4084989718986</v>
      </c>
      <c r="J11" s="52"/>
      <c r="K11" s="489" t="s">
        <v>34</v>
      </c>
    </row>
    <row r="12" ht="25" customHeight="1" spans="1:11">
      <c r="A12" s="504" t="s">
        <v>39</v>
      </c>
      <c r="B12" s="477">
        <f>C12/0.1</f>
        <v>9950</v>
      </c>
      <c r="C12" s="477">
        <v>995</v>
      </c>
      <c r="D12" s="477">
        <f t="shared" si="3"/>
        <v>0</v>
      </c>
      <c r="E12" s="477">
        <f t="shared" si="4"/>
        <v>0</v>
      </c>
      <c r="F12" s="477">
        <f>G12/0.1</f>
        <v>9950</v>
      </c>
      <c r="G12" s="477">
        <v>995</v>
      </c>
      <c r="H12" s="477">
        <f t="shared" si="1"/>
        <v>0</v>
      </c>
      <c r="I12" s="477">
        <f t="shared" si="2"/>
        <v>0</v>
      </c>
      <c r="J12" s="52"/>
      <c r="K12" s="489" t="s">
        <v>34</v>
      </c>
    </row>
    <row r="13" ht="25" customHeight="1" spans="1:11">
      <c r="A13" s="504" t="s">
        <v>40</v>
      </c>
      <c r="B13" s="477">
        <f>C13</f>
        <v>460</v>
      </c>
      <c r="C13" s="477">
        <v>460</v>
      </c>
      <c r="D13" s="477">
        <f t="shared" si="3"/>
        <v>40</v>
      </c>
      <c r="E13" s="477">
        <f t="shared" si="4"/>
        <v>40</v>
      </c>
      <c r="F13" s="477">
        <f>G13</f>
        <v>500</v>
      </c>
      <c r="G13" s="477">
        <v>500</v>
      </c>
      <c r="H13" s="477">
        <f t="shared" si="1"/>
        <v>8.69565217391304</v>
      </c>
      <c r="I13" s="477">
        <f t="shared" si="2"/>
        <v>8.69565217391304</v>
      </c>
      <c r="J13" s="52"/>
      <c r="K13" s="489" t="s">
        <v>41</v>
      </c>
    </row>
    <row r="14" ht="25" customHeight="1" spans="1:11">
      <c r="A14" s="504" t="s">
        <v>42</v>
      </c>
      <c r="B14" s="477">
        <f>C14/0.5</f>
        <v>10400</v>
      </c>
      <c r="C14" s="477">
        <v>5200</v>
      </c>
      <c r="D14" s="477">
        <f t="shared" si="3"/>
        <v>-4800</v>
      </c>
      <c r="E14" s="477">
        <f t="shared" si="4"/>
        <v>-2400</v>
      </c>
      <c r="F14" s="477">
        <f>G14/0.5</f>
        <v>5600</v>
      </c>
      <c r="G14" s="477">
        <v>2800</v>
      </c>
      <c r="H14" s="477">
        <f t="shared" si="1"/>
        <v>-46.1538461538462</v>
      </c>
      <c r="I14" s="477">
        <f t="shared" si="2"/>
        <v>-46.1538461538462</v>
      </c>
      <c r="J14" s="52"/>
      <c r="K14" s="489" t="s">
        <v>34</v>
      </c>
    </row>
    <row r="15" ht="25" customHeight="1" spans="1:11">
      <c r="A15" s="504" t="s">
        <v>43</v>
      </c>
      <c r="B15" s="477">
        <f>C15/0.5</f>
        <v>7300</v>
      </c>
      <c r="C15" s="477">
        <v>3650</v>
      </c>
      <c r="D15" s="477">
        <f t="shared" si="3"/>
        <v>-5500</v>
      </c>
      <c r="E15" s="477">
        <f t="shared" si="4"/>
        <v>-2750</v>
      </c>
      <c r="F15" s="477">
        <f>G15/0.5</f>
        <v>1800</v>
      </c>
      <c r="G15" s="477">
        <v>900</v>
      </c>
      <c r="H15" s="477">
        <f t="shared" si="1"/>
        <v>-75.3424657534247</v>
      </c>
      <c r="I15" s="477">
        <f t="shared" si="2"/>
        <v>-75.3424657534247</v>
      </c>
      <c r="J15" s="52"/>
      <c r="K15" s="489" t="s">
        <v>34</v>
      </c>
    </row>
    <row r="16" ht="25" customHeight="1" spans="1:11">
      <c r="A16" s="504" t="s">
        <v>44</v>
      </c>
      <c r="B16" s="477">
        <f>C16</f>
        <v>3180</v>
      </c>
      <c r="C16" s="477">
        <v>3180</v>
      </c>
      <c r="D16" s="477">
        <f t="shared" si="3"/>
        <v>-980</v>
      </c>
      <c r="E16" s="477">
        <f t="shared" si="4"/>
        <v>-980</v>
      </c>
      <c r="F16" s="477">
        <f>G16</f>
        <v>2200</v>
      </c>
      <c r="G16" s="477">
        <v>2200</v>
      </c>
      <c r="H16" s="477">
        <f t="shared" si="1"/>
        <v>-30.8176100628931</v>
      </c>
      <c r="I16" s="477">
        <f t="shared" si="2"/>
        <v>-30.8176100628931</v>
      </c>
      <c r="J16" s="52"/>
      <c r="K16" s="489" t="s">
        <v>41</v>
      </c>
    </row>
    <row r="17" ht="25" customHeight="1" spans="1:11">
      <c r="A17" s="504" t="s">
        <v>45</v>
      </c>
      <c r="B17" s="477">
        <v>5315</v>
      </c>
      <c r="C17" s="477"/>
      <c r="D17" s="477">
        <f t="shared" si="3"/>
        <v>-4515</v>
      </c>
      <c r="E17" s="477">
        <f t="shared" si="4"/>
        <v>0</v>
      </c>
      <c r="F17" s="477">
        <v>800</v>
      </c>
      <c r="G17" s="477">
        <v>0</v>
      </c>
      <c r="H17" s="477">
        <f t="shared" si="1"/>
        <v>-84.9482596425212</v>
      </c>
      <c r="I17" s="477">
        <f t="shared" si="2"/>
        <v>0</v>
      </c>
      <c r="J17" s="52"/>
      <c r="K17" s="489" t="s">
        <v>37</v>
      </c>
    </row>
    <row r="18" ht="25" customHeight="1" spans="1:11">
      <c r="A18" s="504" t="s">
        <v>46</v>
      </c>
      <c r="B18" s="477">
        <f>C18/0.25</f>
        <v>19340</v>
      </c>
      <c r="C18" s="477">
        <v>4835</v>
      </c>
      <c r="D18" s="477">
        <f t="shared" si="3"/>
        <v>2660</v>
      </c>
      <c r="E18" s="477">
        <f t="shared" si="4"/>
        <v>665</v>
      </c>
      <c r="F18" s="477">
        <f>G18/0.25</f>
        <v>22000</v>
      </c>
      <c r="G18" s="477">
        <v>5500</v>
      </c>
      <c r="H18" s="477">
        <f t="shared" si="1"/>
        <v>13.7538779731127</v>
      </c>
      <c r="I18" s="477">
        <f t="shared" si="2"/>
        <v>13.7538779731127</v>
      </c>
      <c r="J18" s="52"/>
      <c r="K18" s="489" t="s">
        <v>34</v>
      </c>
    </row>
    <row r="19" ht="25" customHeight="1" spans="1:11">
      <c r="A19" s="504" t="s">
        <v>47</v>
      </c>
      <c r="B19" s="477">
        <v>2</v>
      </c>
      <c r="C19" s="477"/>
      <c r="D19" s="477">
        <f t="shared" si="3"/>
        <v>1</v>
      </c>
      <c r="E19" s="477">
        <f t="shared" si="4"/>
        <v>0</v>
      </c>
      <c r="F19" s="477">
        <v>3</v>
      </c>
      <c r="G19" s="477">
        <v>0</v>
      </c>
      <c r="H19" s="477">
        <f t="shared" si="1"/>
        <v>50</v>
      </c>
      <c r="I19" s="477">
        <f t="shared" si="2"/>
        <v>0</v>
      </c>
      <c r="J19" s="52"/>
      <c r="K19" s="489" t="s">
        <v>37</v>
      </c>
    </row>
    <row r="20" ht="25" customHeight="1" spans="1:11">
      <c r="A20" s="504" t="s">
        <v>48</v>
      </c>
      <c r="B20" s="477">
        <f t="shared" ref="B20:B25" si="5">C20/0.5</f>
        <v>2080</v>
      </c>
      <c r="C20" s="477">
        <v>1040</v>
      </c>
      <c r="D20" s="477">
        <f t="shared" si="3"/>
        <v>-1780</v>
      </c>
      <c r="E20" s="477">
        <f t="shared" si="4"/>
        <v>-890</v>
      </c>
      <c r="F20" s="477">
        <f t="shared" ref="F20:F25" si="6">G20/0.5</f>
        <v>300</v>
      </c>
      <c r="G20" s="477">
        <v>150</v>
      </c>
      <c r="H20" s="477">
        <f t="shared" si="1"/>
        <v>-85.5769230769231</v>
      </c>
      <c r="I20" s="477">
        <f t="shared" si="2"/>
        <v>-85.5769230769231</v>
      </c>
      <c r="J20" s="52"/>
      <c r="K20" s="489" t="s">
        <v>34</v>
      </c>
    </row>
    <row r="21" ht="25" customHeight="1" spans="1:11">
      <c r="A21" s="504" t="s">
        <v>49</v>
      </c>
      <c r="B21" s="477">
        <v>13431</v>
      </c>
      <c r="C21" s="477"/>
      <c r="D21" s="477">
        <f t="shared" si="3"/>
        <v>-5345</v>
      </c>
      <c r="E21" s="477">
        <f t="shared" si="4"/>
        <v>0</v>
      </c>
      <c r="F21" s="477">
        <f>16172/2</f>
        <v>8086</v>
      </c>
      <c r="G21" s="477">
        <v>0</v>
      </c>
      <c r="H21" s="477">
        <f t="shared" si="1"/>
        <v>-39.7959943414489</v>
      </c>
      <c r="I21" s="477">
        <f t="shared" si="2"/>
        <v>0</v>
      </c>
      <c r="J21" s="52"/>
      <c r="K21" s="489" t="s">
        <v>37</v>
      </c>
    </row>
    <row r="22" ht="25" customHeight="1" spans="1:11">
      <c r="A22" s="504" t="s">
        <v>50</v>
      </c>
      <c r="B22" s="477">
        <f t="shared" si="5"/>
        <v>220</v>
      </c>
      <c r="C22" s="477">
        <v>110</v>
      </c>
      <c r="D22" s="477">
        <f t="shared" si="3"/>
        <v>40</v>
      </c>
      <c r="E22" s="477">
        <f t="shared" si="4"/>
        <v>20</v>
      </c>
      <c r="F22" s="477">
        <f t="shared" si="6"/>
        <v>260</v>
      </c>
      <c r="G22" s="477">
        <v>130</v>
      </c>
      <c r="H22" s="477">
        <f t="shared" si="1"/>
        <v>18.1818181818182</v>
      </c>
      <c r="I22" s="477">
        <f t="shared" si="2"/>
        <v>18.1818181818182</v>
      </c>
      <c r="J22" s="52"/>
      <c r="K22" s="489" t="s">
        <v>34</v>
      </c>
    </row>
    <row r="23" ht="25" customHeight="1" spans="1:10">
      <c r="A23" s="504" t="s">
        <v>51</v>
      </c>
      <c r="B23" s="477"/>
      <c r="C23" s="477"/>
      <c r="D23" s="477">
        <f t="shared" si="3"/>
        <v>0</v>
      </c>
      <c r="E23" s="477">
        <f t="shared" si="4"/>
        <v>0</v>
      </c>
      <c r="F23" s="478">
        <f>G23/0.1</f>
        <v>0</v>
      </c>
      <c r="G23" s="478">
        <v>0</v>
      </c>
      <c r="H23" s="477">
        <f t="shared" si="1"/>
        <v>0</v>
      </c>
      <c r="I23" s="477">
        <f t="shared" si="2"/>
        <v>0</v>
      </c>
      <c r="J23" s="52"/>
    </row>
    <row r="24" ht="25" customHeight="1" spans="1:10">
      <c r="A24" s="475" t="s">
        <v>52</v>
      </c>
      <c r="B24" s="476">
        <f t="shared" ref="B24:G24" si="7">SUM(B25:B37)</f>
        <v>26263</v>
      </c>
      <c r="C24" s="476">
        <f t="shared" si="7"/>
        <v>20703</v>
      </c>
      <c r="D24" s="476">
        <f t="shared" si="7"/>
        <v>-9508.26817042606</v>
      </c>
      <c r="E24" s="476">
        <f t="shared" si="7"/>
        <v>-7851</v>
      </c>
      <c r="F24" s="476">
        <f t="shared" si="7"/>
        <v>16754.7318295739</v>
      </c>
      <c r="G24" s="476">
        <f t="shared" si="7"/>
        <v>12852</v>
      </c>
      <c r="H24" s="476">
        <f t="shared" si="1"/>
        <v>-36.2040443606064</v>
      </c>
      <c r="I24" s="476">
        <f t="shared" si="2"/>
        <v>-37.9220402840168</v>
      </c>
      <c r="J24" s="58"/>
    </row>
    <row r="25" ht="25" customHeight="1" spans="1:11">
      <c r="A25" s="505" t="s">
        <v>53</v>
      </c>
      <c r="B25" s="477">
        <f t="shared" si="5"/>
        <v>4240</v>
      </c>
      <c r="C25" s="477">
        <v>2120</v>
      </c>
      <c r="D25" s="477">
        <f t="shared" ref="D25:D37" si="8">F25-B25</f>
        <v>-1840</v>
      </c>
      <c r="E25" s="477">
        <f t="shared" ref="E25:E37" si="9">G25-C25</f>
        <v>-920</v>
      </c>
      <c r="F25" s="477">
        <f t="shared" si="6"/>
        <v>2400</v>
      </c>
      <c r="G25" s="477">
        <v>1200</v>
      </c>
      <c r="H25" s="477">
        <f t="shared" si="1"/>
        <v>-43.3962264150943</v>
      </c>
      <c r="I25" s="477">
        <f t="shared" si="2"/>
        <v>-43.3962264150943</v>
      </c>
      <c r="J25" s="52"/>
      <c r="K25" s="489" t="s">
        <v>34</v>
      </c>
    </row>
    <row r="26" ht="25" customHeight="1" spans="1:11">
      <c r="A26" s="505" t="s">
        <v>54</v>
      </c>
      <c r="B26" s="477">
        <f>C26/0.35</f>
        <v>2800</v>
      </c>
      <c r="C26" s="477">
        <v>980</v>
      </c>
      <c r="D26" s="477">
        <f t="shared" si="8"/>
        <v>-514.285714285714</v>
      </c>
      <c r="E26" s="477">
        <f t="shared" si="9"/>
        <v>-180</v>
      </c>
      <c r="F26" s="477">
        <f>G26/0.35</f>
        <v>2285.71428571429</v>
      </c>
      <c r="G26" s="477">
        <v>800</v>
      </c>
      <c r="H26" s="477">
        <f t="shared" si="1"/>
        <v>-18.3673469387755</v>
      </c>
      <c r="I26" s="477">
        <f t="shared" si="2"/>
        <v>-18.3673469387755</v>
      </c>
      <c r="J26" s="52"/>
      <c r="K26" s="489" t="s">
        <v>34</v>
      </c>
    </row>
    <row r="27" ht="25" customHeight="1" spans="1:11">
      <c r="A27" s="505" t="s">
        <v>55</v>
      </c>
      <c r="B27" s="477">
        <f t="shared" ref="B27:B32" si="10">C27</f>
        <v>350</v>
      </c>
      <c r="C27" s="477">
        <v>350</v>
      </c>
      <c r="D27" s="477">
        <f t="shared" si="8"/>
        <v>-350</v>
      </c>
      <c r="E27" s="477">
        <f t="shared" si="9"/>
        <v>-350</v>
      </c>
      <c r="F27" s="477"/>
      <c r="G27" s="477"/>
      <c r="H27" s="477">
        <f t="shared" si="1"/>
        <v>-100</v>
      </c>
      <c r="I27" s="477">
        <f t="shared" si="2"/>
        <v>-100</v>
      </c>
      <c r="J27" s="52"/>
      <c r="K27" s="489"/>
    </row>
    <row r="28" ht="25" customHeight="1" spans="1:11">
      <c r="A28" s="505" t="s">
        <v>56</v>
      </c>
      <c r="B28" s="477"/>
      <c r="C28" s="477"/>
      <c r="D28" s="477">
        <f t="shared" si="8"/>
        <v>62</v>
      </c>
      <c r="E28" s="477">
        <f t="shared" si="9"/>
        <v>62</v>
      </c>
      <c r="F28" s="477">
        <f t="shared" ref="F27:F33" si="11">G28</f>
        <v>62</v>
      </c>
      <c r="G28" s="477">
        <v>62</v>
      </c>
      <c r="H28" s="477">
        <f t="shared" si="1"/>
        <v>100</v>
      </c>
      <c r="I28" s="477">
        <f t="shared" si="2"/>
        <v>100</v>
      </c>
      <c r="J28" s="52"/>
      <c r="K28" s="489"/>
    </row>
    <row r="29" ht="25" customHeight="1" spans="1:11">
      <c r="A29" s="505" t="s">
        <v>57</v>
      </c>
      <c r="B29" s="477">
        <f t="shared" si="10"/>
        <v>50</v>
      </c>
      <c r="C29" s="477">
        <v>50</v>
      </c>
      <c r="D29" s="477">
        <f t="shared" si="8"/>
        <v>0</v>
      </c>
      <c r="E29" s="477">
        <f t="shared" si="9"/>
        <v>0</v>
      </c>
      <c r="F29" s="477">
        <v>50</v>
      </c>
      <c r="G29" s="477">
        <v>50</v>
      </c>
      <c r="H29" s="477">
        <f t="shared" si="1"/>
        <v>0</v>
      </c>
      <c r="I29" s="477">
        <f t="shared" si="2"/>
        <v>0</v>
      </c>
      <c r="J29" s="52"/>
      <c r="K29" s="489"/>
    </row>
    <row r="30" ht="25" customHeight="1" spans="1:11">
      <c r="A30" s="505" t="s">
        <v>58</v>
      </c>
      <c r="B30" s="477">
        <f t="shared" si="10"/>
        <v>65</v>
      </c>
      <c r="C30" s="477">
        <v>65</v>
      </c>
      <c r="D30" s="477">
        <f t="shared" si="8"/>
        <v>35</v>
      </c>
      <c r="E30" s="477">
        <f t="shared" si="9"/>
        <v>35</v>
      </c>
      <c r="F30" s="477">
        <v>100</v>
      </c>
      <c r="G30" s="477">
        <v>100</v>
      </c>
      <c r="H30" s="477">
        <f t="shared" si="1"/>
        <v>53.8461538461539</v>
      </c>
      <c r="I30" s="477">
        <f t="shared" si="2"/>
        <v>53.8461538461539</v>
      </c>
      <c r="J30" s="52"/>
      <c r="K30" s="489"/>
    </row>
    <row r="31" ht="25" customHeight="1" spans="1:10">
      <c r="A31" s="505" t="s">
        <v>59</v>
      </c>
      <c r="B31" s="477">
        <f t="shared" si="10"/>
        <v>1950</v>
      </c>
      <c r="C31" s="477">
        <v>1950</v>
      </c>
      <c r="D31" s="477">
        <f t="shared" si="8"/>
        <v>-750</v>
      </c>
      <c r="E31" s="477">
        <f t="shared" si="9"/>
        <v>-750</v>
      </c>
      <c r="F31" s="477">
        <f t="shared" si="11"/>
        <v>1200</v>
      </c>
      <c r="G31" s="477">
        <v>1200</v>
      </c>
      <c r="H31" s="477">
        <f t="shared" si="1"/>
        <v>-38.4615384615385</v>
      </c>
      <c r="I31" s="477">
        <f t="shared" si="2"/>
        <v>-38.4615384615385</v>
      </c>
      <c r="J31" s="52"/>
    </row>
    <row r="32" ht="25" customHeight="1" spans="1:10">
      <c r="A32" s="505" t="s">
        <v>60</v>
      </c>
      <c r="B32" s="477">
        <f t="shared" si="10"/>
        <v>8400</v>
      </c>
      <c r="C32" s="477">
        <f>1500+6900</f>
        <v>8400</v>
      </c>
      <c r="D32" s="477">
        <f t="shared" si="8"/>
        <v>-900</v>
      </c>
      <c r="E32" s="477">
        <f t="shared" si="9"/>
        <v>-900</v>
      </c>
      <c r="F32" s="477">
        <f t="shared" si="11"/>
        <v>7500</v>
      </c>
      <c r="G32" s="477">
        <v>7500</v>
      </c>
      <c r="H32" s="477">
        <f t="shared" si="1"/>
        <v>-10.7142857142857</v>
      </c>
      <c r="I32" s="477">
        <f t="shared" si="2"/>
        <v>-10.7142857142857</v>
      </c>
      <c r="J32" s="52"/>
    </row>
    <row r="33" ht="25" customHeight="1" spans="1:10">
      <c r="A33" s="505" t="s">
        <v>61</v>
      </c>
      <c r="B33" s="477"/>
      <c r="C33" s="477"/>
      <c r="D33" s="477">
        <f t="shared" si="8"/>
        <v>100</v>
      </c>
      <c r="E33" s="477">
        <f t="shared" si="9"/>
        <v>100</v>
      </c>
      <c r="F33" s="477">
        <f t="shared" si="11"/>
        <v>100</v>
      </c>
      <c r="G33" s="477">
        <v>100</v>
      </c>
      <c r="H33" s="477">
        <f t="shared" si="1"/>
        <v>100</v>
      </c>
      <c r="I33" s="477">
        <f t="shared" si="2"/>
        <v>100</v>
      </c>
      <c r="J33" s="52"/>
    </row>
    <row r="34" ht="25" customHeight="1" spans="1:10">
      <c r="A34" s="505" t="s">
        <v>62</v>
      </c>
      <c r="B34" s="477">
        <f>12000-852-6900+10</f>
        <v>4258</v>
      </c>
      <c r="C34" s="477">
        <f>11530-852-6900+10</f>
        <v>3788</v>
      </c>
      <c r="D34" s="477">
        <f t="shared" si="8"/>
        <v>-1450.98245614035</v>
      </c>
      <c r="E34" s="477">
        <f t="shared" si="9"/>
        <v>-2188</v>
      </c>
      <c r="F34" s="477">
        <f>G34/0.57</f>
        <v>2807.01754385965</v>
      </c>
      <c r="G34" s="477">
        <v>1600</v>
      </c>
      <c r="H34" s="477">
        <f t="shared" si="1"/>
        <v>-34.0766194490453</v>
      </c>
      <c r="I34" s="477">
        <f t="shared" si="2"/>
        <v>-57.7613516367476</v>
      </c>
      <c r="J34" s="52"/>
    </row>
    <row r="35" ht="25" customHeight="1" spans="1:10">
      <c r="A35" s="505" t="s">
        <v>63</v>
      </c>
      <c r="B35" s="477"/>
      <c r="C35" s="477"/>
      <c r="D35" s="477">
        <f t="shared" si="8"/>
        <v>20</v>
      </c>
      <c r="E35" s="477">
        <f t="shared" si="9"/>
        <v>20</v>
      </c>
      <c r="F35" s="477">
        <v>20</v>
      </c>
      <c r="G35" s="477">
        <v>20</v>
      </c>
      <c r="H35" s="477">
        <f t="shared" si="1"/>
        <v>100</v>
      </c>
      <c r="I35" s="477">
        <f t="shared" si="2"/>
        <v>100</v>
      </c>
      <c r="J35" s="52"/>
    </row>
    <row r="36" ht="25" customHeight="1" spans="1:10">
      <c r="A36" s="505" t="s">
        <v>64</v>
      </c>
      <c r="B36" s="477">
        <f>C36</f>
        <v>1000</v>
      </c>
      <c r="C36" s="477">
        <v>1000</v>
      </c>
      <c r="D36" s="477">
        <f t="shared" si="8"/>
        <v>-790</v>
      </c>
      <c r="E36" s="477">
        <f t="shared" si="9"/>
        <v>-800</v>
      </c>
      <c r="F36" s="477">
        <v>210</v>
      </c>
      <c r="G36" s="477">
        <v>200</v>
      </c>
      <c r="H36" s="477">
        <f t="shared" si="1"/>
        <v>-79</v>
      </c>
      <c r="I36" s="477">
        <f t="shared" si="2"/>
        <v>-80</v>
      </c>
      <c r="J36" s="52"/>
    </row>
    <row r="37" ht="25" customHeight="1" spans="1:10">
      <c r="A37" s="505" t="s">
        <v>65</v>
      </c>
      <c r="B37" s="477">
        <f>C37+1150</f>
        <v>3150</v>
      </c>
      <c r="C37" s="477">
        <v>2000</v>
      </c>
      <c r="D37" s="477">
        <f t="shared" si="8"/>
        <v>-3130</v>
      </c>
      <c r="E37" s="477">
        <f t="shared" si="9"/>
        <v>-1980</v>
      </c>
      <c r="F37" s="477">
        <f t="shared" ref="F35:F37" si="12">G37</f>
        <v>20</v>
      </c>
      <c r="G37" s="477">
        <v>20</v>
      </c>
      <c r="H37" s="477">
        <f t="shared" si="1"/>
        <v>-99.3650793650794</v>
      </c>
      <c r="I37" s="477">
        <f t="shared" si="2"/>
        <v>-99</v>
      </c>
      <c r="J37" s="65"/>
    </row>
    <row r="38" s="458" customFormat="1" ht="25" customHeight="1" spans="1:10">
      <c r="A38" s="65" t="s">
        <v>66</v>
      </c>
      <c r="B38" s="476">
        <f t="shared" ref="B38:G38" si="13">+B7+B24</f>
        <v>329670</v>
      </c>
      <c r="C38" s="476">
        <f t="shared" si="13"/>
        <v>67129</v>
      </c>
      <c r="D38" s="476">
        <f t="shared" si="13"/>
        <v>-152740.268170426</v>
      </c>
      <c r="E38" s="476">
        <f t="shared" si="13"/>
        <v>-31112</v>
      </c>
      <c r="F38" s="476">
        <f t="shared" si="13"/>
        <v>176929.731829574</v>
      </c>
      <c r="G38" s="476">
        <f t="shared" si="13"/>
        <v>36017</v>
      </c>
      <c r="H38" s="477">
        <f t="shared" si="1"/>
        <v>-46.3312610096236</v>
      </c>
      <c r="I38" s="477">
        <f t="shared" si="2"/>
        <v>-46.3465864231554</v>
      </c>
      <c r="J38" s="58"/>
    </row>
    <row r="39" ht="25" customHeight="1" spans="1:10">
      <c r="A39" s="506" t="s">
        <v>67</v>
      </c>
      <c r="B39" s="477">
        <f t="shared" ref="B39:G39" si="14">+B7+B25+B26+B35+B36</f>
        <v>311447</v>
      </c>
      <c r="C39" s="477">
        <f t="shared" si="14"/>
        <v>50526</v>
      </c>
      <c r="D39" s="477">
        <f t="shared" si="14"/>
        <v>-146356.285714286</v>
      </c>
      <c r="E39" s="477">
        <f t="shared" si="14"/>
        <v>-25141</v>
      </c>
      <c r="F39" s="477">
        <f t="shared" si="14"/>
        <v>165090.714285714</v>
      </c>
      <c r="G39" s="477">
        <f t="shared" si="14"/>
        <v>25385</v>
      </c>
      <c r="H39" s="477">
        <f t="shared" si="1"/>
        <v>-46.992356874295</v>
      </c>
      <c r="I39" s="477">
        <f t="shared" si="2"/>
        <v>-49.7585401575427</v>
      </c>
      <c r="J39" s="490"/>
    </row>
    <row r="40" ht="25" customHeight="1" spans="1:10">
      <c r="A40" s="507" t="s">
        <v>68</v>
      </c>
      <c r="B40" s="481">
        <f t="shared" ref="B40:G40" si="15">SUM(B27:B37)-B35-B36</f>
        <v>18223</v>
      </c>
      <c r="C40" s="481">
        <f t="shared" si="15"/>
        <v>16603</v>
      </c>
      <c r="D40" s="481">
        <f t="shared" si="15"/>
        <v>-6383.98245614035</v>
      </c>
      <c r="E40" s="481">
        <f t="shared" si="15"/>
        <v>-5971</v>
      </c>
      <c r="F40" s="481">
        <f t="shared" si="15"/>
        <v>11839.0175438596</v>
      </c>
      <c r="G40" s="481">
        <f t="shared" si="15"/>
        <v>10632</v>
      </c>
      <c r="H40" s="481">
        <f t="shared" si="1"/>
        <v>-35.0325547722129</v>
      </c>
      <c r="I40" s="481">
        <f t="shared" si="2"/>
        <v>-35.9633801120279</v>
      </c>
      <c r="J40" s="480"/>
    </row>
    <row r="41" s="458" customFormat="1" ht="25" customHeight="1" spans="1:10">
      <c r="A41" s="475" t="s">
        <v>69</v>
      </c>
      <c r="B41" s="482"/>
      <c r="C41" s="482">
        <f>SUM(C42:C48)</f>
        <v>215144</v>
      </c>
      <c r="D41" s="482"/>
      <c r="E41" s="482">
        <f>SUM(E42:E48)</f>
        <v>64802</v>
      </c>
      <c r="F41" s="483">
        <v>0</v>
      </c>
      <c r="G41" s="482">
        <f>SUM(G42:G48)</f>
        <v>279946</v>
      </c>
      <c r="H41" s="484">
        <f t="shared" si="1"/>
        <v>0</v>
      </c>
      <c r="I41" s="482">
        <f t="shared" si="2"/>
        <v>30.1202915256758</v>
      </c>
      <c r="J41" s="491"/>
    </row>
    <row r="42" ht="25" customHeight="1" spans="1:10">
      <c r="A42" s="505" t="s">
        <v>70</v>
      </c>
      <c r="B42" s="477"/>
      <c r="C42" s="477">
        <v>39140</v>
      </c>
      <c r="D42" s="477">
        <f t="shared" ref="D42:D48" si="16">F42-B42</f>
        <v>0</v>
      </c>
      <c r="E42" s="477">
        <f t="shared" ref="E42:E48" si="17">G42-C42</f>
        <v>9357</v>
      </c>
      <c r="F42" s="478">
        <v>0</v>
      </c>
      <c r="G42" s="477">
        <v>48497</v>
      </c>
      <c r="H42" s="485">
        <f t="shared" si="1"/>
        <v>0</v>
      </c>
      <c r="I42" s="477">
        <f t="shared" ref="I42:I49" si="18">IF(C42=0,IF(G42=0,0,100),100*(G42/C42-1))</f>
        <v>23.9064895247828</v>
      </c>
      <c r="J42" s="492"/>
    </row>
    <row r="43" ht="25" customHeight="1" spans="1:10">
      <c r="A43" s="505" t="s">
        <v>71</v>
      </c>
      <c r="B43" s="477"/>
      <c r="C43" s="477">
        <v>58644</v>
      </c>
      <c r="D43" s="477">
        <f t="shared" si="16"/>
        <v>0</v>
      </c>
      <c r="E43" s="477">
        <f t="shared" si="17"/>
        <v>19854</v>
      </c>
      <c r="F43" s="478">
        <v>0</v>
      </c>
      <c r="G43" s="477">
        <v>78498</v>
      </c>
      <c r="H43" s="485">
        <f t="shared" si="1"/>
        <v>0</v>
      </c>
      <c r="I43" s="477">
        <f t="shared" si="18"/>
        <v>33.8551258440761</v>
      </c>
      <c r="J43" s="492"/>
    </row>
    <row r="44" ht="25" customHeight="1" spans="1:10">
      <c r="A44" s="505" t="s">
        <v>72</v>
      </c>
      <c r="B44" s="477"/>
      <c r="C44" s="477"/>
      <c r="D44" s="477">
        <f t="shared" si="16"/>
        <v>0</v>
      </c>
      <c r="E44" s="477">
        <f t="shared" si="17"/>
        <v>7500</v>
      </c>
      <c r="F44" s="478">
        <v>0</v>
      </c>
      <c r="G44" s="477">
        <v>7500</v>
      </c>
      <c r="H44" s="485">
        <f t="shared" si="1"/>
        <v>0</v>
      </c>
      <c r="I44" s="477">
        <f t="shared" si="18"/>
        <v>100</v>
      </c>
      <c r="J44" s="492"/>
    </row>
    <row r="45" ht="25" customHeight="1" spans="1:10">
      <c r="A45" s="505" t="s">
        <v>73</v>
      </c>
      <c r="B45" s="477"/>
      <c r="C45" s="477"/>
      <c r="D45" s="477">
        <f t="shared" si="16"/>
        <v>0</v>
      </c>
      <c r="E45" s="477">
        <f t="shared" si="17"/>
        <v>10143</v>
      </c>
      <c r="F45" s="478"/>
      <c r="G45" s="477">
        <v>10143</v>
      </c>
      <c r="H45" s="485"/>
      <c r="I45" s="477">
        <f t="shared" si="18"/>
        <v>100</v>
      </c>
      <c r="J45" s="492"/>
    </row>
    <row r="46" ht="25" customHeight="1" spans="1:10">
      <c r="A46" s="505" t="s">
        <v>74</v>
      </c>
      <c r="B46" s="477"/>
      <c r="C46" s="477">
        <v>38344</v>
      </c>
      <c r="D46" s="477">
        <f t="shared" si="16"/>
        <v>0</v>
      </c>
      <c r="E46" s="477">
        <f t="shared" si="17"/>
        <v>-1</v>
      </c>
      <c r="F46" s="478">
        <v>0</v>
      </c>
      <c r="G46" s="477">
        <v>38343</v>
      </c>
      <c r="H46" s="485">
        <f>IF(B46=0,IF(F46=0,0,100),100*(F46/B46-1))</f>
        <v>0</v>
      </c>
      <c r="I46" s="477">
        <f t="shared" si="18"/>
        <v>-0.00260796995618096</v>
      </c>
      <c r="J46" s="492"/>
    </row>
    <row r="47" ht="25" customHeight="1" spans="1:10">
      <c r="A47" s="505" t="s">
        <v>75</v>
      </c>
      <c r="B47" s="477"/>
      <c r="C47" s="477">
        <v>543</v>
      </c>
      <c r="D47" s="477">
        <f t="shared" si="16"/>
        <v>0</v>
      </c>
      <c r="E47" s="477">
        <f t="shared" si="17"/>
        <v>-3</v>
      </c>
      <c r="F47" s="478">
        <v>0</v>
      </c>
      <c r="G47" s="477">
        <v>540</v>
      </c>
      <c r="H47" s="485">
        <f>IF(B47=0,IF(F47=0,0,100),100*(F47/B47-1))</f>
        <v>0</v>
      </c>
      <c r="I47" s="477">
        <f t="shared" si="18"/>
        <v>-0.552486187845302</v>
      </c>
      <c r="J47" s="492"/>
    </row>
    <row r="48" ht="25" customHeight="1" spans="1:10">
      <c r="A48" s="505" t="s">
        <v>76</v>
      </c>
      <c r="B48" s="477"/>
      <c r="C48" s="477">
        <v>78473</v>
      </c>
      <c r="D48" s="477">
        <f t="shared" si="16"/>
        <v>0</v>
      </c>
      <c r="E48" s="477">
        <f t="shared" si="17"/>
        <v>17952</v>
      </c>
      <c r="F48" s="478">
        <v>0</v>
      </c>
      <c r="G48" s="477">
        <v>96425</v>
      </c>
      <c r="H48" s="485">
        <f>IF(B48=0,IF(F48=0,0,100),100*(F48/B48-1))</f>
        <v>0</v>
      </c>
      <c r="I48" s="477">
        <f t="shared" si="18"/>
        <v>22.8766582136531</v>
      </c>
      <c r="J48" s="492"/>
    </row>
    <row r="49" s="459" customFormat="1" ht="25" customHeight="1" spans="1:16380">
      <c r="A49" s="65" t="s">
        <v>77</v>
      </c>
      <c r="B49" s="476">
        <f>B41+B38</f>
        <v>329670</v>
      </c>
      <c r="C49" s="476">
        <f>+C38+C41</f>
        <v>282273</v>
      </c>
      <c r="D49" s="476">
        <f>D41+D38</f>
        <v>-152740.268170426</v>
      </c>
      <c r="E49" s="476">
        <f>+E38+E41</f>
        <v>33690</v>
      </c>
      <c r="F49" s="476">
        <f>F41+F38</f>
        <v>176929.731829574</v>
      </c>
      <c r="G49" s="476">
        <f>+G38+G41</f>
        <v>315963</v>
      </c>
      <c r="H49" s="476">
        <f>IF(B49=0,IF(F49=0,0,100),100*(F49/B49-1))</f>
        <v>-46.3312610096236</v>
      </c>
      <c r="I49" s="476">
        <f t="shared" si="18"/>
        <v>11.9352541688366</v>
      </c>
      <c r="J49" s="65"/>
      <c r="K49" s="493"/>
      <c r="L49" s="493"/>
      <c r="M49" s="493"/>
      <c r="N49" s="493"/>
      <c r="O49" s="493"/>
      <c r="P49" s="493"/>
      <c r="Q49" s="493"/>
      <c r="R49" s="493"/>
      <c r="S49" s="493"/>
      <c r="T49" s="493"/>
      <c r="U49" s="493"/>
      <c r="V49" s="493"/>
      <c r="W49" s="493"/>
      <c r="X49" s="493"/>
      <c r="Y49" s="493"/>
      <c r="Z49" s="493"/>
      <c r="AA49" s="493"/>
      <c r="AB49" s="493"/>
      <c r="AC49" s="493"/>
      <c r="AD49" s="493"/>
      <c r="AE49" s="493"/>
      <c r="AF49" s="493"/>
      <c r="AG49" s="493"/>
      <c r="AH49" s="493"/>
      <c r="AI49" s="493"/>
      <c r="AJ49" s="493"/>
      <c r="AK49" s="493"/>
      <c r="AL49" s="493"/>
      <c r="AM49" s="493"/>
      <c r="AN49" s="493"/>
      <c r="AO49" s="493"/>
      <c r="AP49" s="493"/>
      <c r="AQ49" s="493"/>
      <c r="AR49" s="493"/>
      <c r="AS49" s="493"/>
      <c r="AT49" s="493"/>
      <c r="AU49" s="493"/>
      <c r="AV49" s="493"/>
      <c r="AW49" s="493"/>
      <c r="AX49" s="493"/>
      <c r="AY49" s="493"/>
      <c r="AZ49" s="493"/>
      <c r="BA49" s="493"/>
      <c r="BB49" s="493"/>
      <c r="BC49" s="493"/>
      <c r="BD49" s="493"/>
      <c r="BE49" s="493"/>
      <c r="BF49" s="493"/>
      <c r="BG49" s="493"/>
      <c r="BH49" s="493"/>
      <c r="BI49" s="493"/>
      <c r="BJ49" s="493"/>
      <c r="BK49" s="493"/>
      <c r="BL49" s="493"/>
      <c r="BM49" s="493"/>
      <c r="BN49" s="493"/>
      <c r="BO49" s="493"/>
      <c r="BP49" s="493"/>
      <c r="BQ49" s="493"/>
      <c r="BR49" s="493"/>
      <c r="BS49" s="493"/>
      <c r="BT49" s="493"/>
      <c r="BU49" s="493"/>
      <c r="BV49" s="493"/>
      <c r="BW49" s="493"/>
      <c r="BX49" s="493"/>
      <c r="BY49" s="493"/>
      <c r="BZ49" s="493"/>
      <c r="CA49" s="493"/>
      <c r="CB49" s="493"/>
      <c r="CC49" s="493"/>
      <c r="CD49" s="493"/>
      <c r="CE49" s="493"/>
      <c r="CF49" s="493"/>
      <c r="CG49" s="493"/>
      <c r="CH49" s="493"/>
      <c r="CI49" s="493"/>
      <c r="CJ49" s="493"/>
      <c r="CK49" s="493"/>
      <c r="CL49" s="493"/>
      <c r="CM49" s="493"/>
      <c r="CN49" s="493"/>
      <c r="CO49" s="493"/>
      <c r="CP49" s="493"/>
      <c r="CQ49" s="493"/>
      <c r="CR49" s="493"/>
      <c r="CS49" s="493"/>
      <c r="CT49" s="493"/>
      <c r="CU49" s="493"/>
      <c r="CV49" s="493"/>
      <c r="CW49" s="493"/>
      <c r="CX49" s="493"/>
      <c r="CY49" s="493"/>
      <c r="CZ49" s="493"/>
      <c r="DA49" s="493"/>
      <c r="DB49" s="493"/>
      <c r="DC49" s="493"/>
      <c r="DD49" s="493"/>
      <c r="DE49" s="493"/>
      <c r="DF49" s="493"/>
      <c r="DG49" s="493"/>
      <c r="DH49" s="493"/>
      <c r="DI49" s="493"/>
      <c r="DJ49" s="493"/>
      <c r="DK49" s="493"/>
      <c r="DL49" s="493"/>
      <c r="DM49" s="493"/>
      <c r="DN49" s="493"/>
      <c r="DO49" s="493"/>
      <c r="DP49" s="493"/>
      <c r="DQ49" s="493"/>
      <c r="DR49" s="493"/>
      <c r="DS49" s="493"/>
      <c r="DT49" s="493"/>
      <c r="DU49" s="493"/>
      <c r="DV49" s="493"/>
      <c r="DW49" s="493"/>
      <c r="DX49" s="493"/>
      <c r="DY49" s="493"/>
      <c r="DZ49" s="493"/>
      <c r="EA49" s="493"/>
      <c r="EB49" s="493"/>
      <c r="EC49" s="493"/>
      <c r="ED49" s="493"/>
      <c r="EE49" s="493"/>
      <c r="EF49" s="493"/>
      <c r="EG49" s="493"/>
      <c r="EH49" s="493"/>
      <c r="EI49" s="493"/>
      <c r="EJ49" s="493"/>
      <c r="EK49" s="493"/>
      <c r="EL49" s="493"/>
      <c r="EM49" s="493"/>
      <c r="EN49" s="493"/>
      <c r="EO49" s="493"/>
      <c r="EP49" s="493"/>
      <c r="EQ49" s="493"/>
      <c r="ER49" s="493"/>
      <c r="ES49" s="493"/>
      <c r="ET49" s="493"/>
      <c r="EU49" s="493"/>
      <c r="EV49" s="493"/>
      <c r="EW49" s="493"/>
      <c r="EX49" s="493"/>
      <c r="EY49" s="493"/>
      <c r="EZ49" s="493"/>
      <c r="FA49" s="493"/>
      <c r="FB49" s="493"/>
      <c r="FC49" s="493"/>
      <c r="FD49" s="493"/>
      <c r="FE49" s="493"/>
      <c r="FF49" s="493"/>
      <c r="FG49" s="493"/>
      <c r="FH49" s="493"/>
      <c r="FI49" s="493"/>
      <c r="FJ49" s="493"/>
      <c r="FK49" s="493"/>
      <c r="FL49" s="493"/>
      <c r="FM49" s="493"/>
      <c r="FN49" s="493"/>
      <c r="FO49" s="493"/>
      <c r="FP49" s="493"/>
      <c r="FQ49" s="493"/>
      <c r="FR49" s="493"/>
      <c r="FS49" s="493"/>
      <c r="FT49" s="493"/>
      <c r="FU49" s="493"/>
      <c r="FV49" s="493"/>
      <c r="FW49" s="493"/>
      <c r="FX49" s="493"/>
      <c r="FY49" s="493"/>
      <c r="FZ49" s="493"/>
      <c r="GA49" s="493"/>
      <c r="GB49" s="493"/>
      <c r="GC49" s="493"/>
      <c r="GD49" s="493"/>
      <c r="GE49" s="493"/>
      <c r="GF49" s="493"/>
      <c r="GG49" s="493"/>
      <c r="GH49" s="493"/>
      <c r="GI49" s="493"/>
      <c r="GJ49" s="493"/>
      <c r="GK49" s="493"/>
      <c r="GL49" s="493"/>
      <c r="GM49" s="493"/>
      <c r="GN49" s="493"/>
      <c r="GO49" s="493"/>
      <c r="GP49" s="493"/>
      <c r="GQ49" s="493"/>
      <c r="GR49" s="493"/>
      <c r="GS49" s="493"/>
      <c r="GT49" s="493"/>
      <c r="GU49" s="493"/>
      <c r="GV49" s="493"/>
      <c r="GW49" s="493"/>
      <c r="GX49" s="493"/>
      <c r="GY49" s="493"/>
      <c r="GZ49" s="493"/>
      <c r="HA49" s="493"/>
      <c r="HB49" s="493"/>
      <c r="HC49" s="493"/>
      <c r="HD49" s="493"/>
      <c r="HE49" s="493"/>
      <c r="HF49" s="493"/>
      <c r="HG49" s="493"/>
      <c r="HH49" s="493"/>
      <c r="HI49" s="493"/>
      <c r="HJ49" s="493"/>
      <c r="HK49" s="493"/>
      <c r="HL49" s="493"/>
      <c r="HM49" s="493"/>
      <c r="HN49" s="493"/>
      <c r="HO49" s="493"/>
      <c r="HP49" s="493"/>
      <c r="HQ49" s="493"/>
      <c r="HR49" s="493"/>
      <c r="HS49" s="493"/>
      <c r="HT49" s="493"/>
      <c r="HU49" s="493"/>
      <c r="HV49" s="493"/>
      <c r="HW49" s="493"/>
      <c r="HX49" s="493"/>
      <c r="HY49" s="493"/>
      <c r="HZ49" s="493"/>
      <c r="IA49" s="493"/>
      <c r="IB49" s="493"/>
      <c r="IC49" s="493"/>
      <c r="ID49" s="493"/>
      <c r="IE49" s="493"/>
      <c r="IF49" s="493"/>
      <c r="IG49" s="493"/>
      <c r="IH49" s="493"/>
      <c r="II49" s="493"/>
      <c r="IJ49" s="493"/>
      <c r="IK49" s="493"/>
      <c r="IL49" s="493"/>
      <c r="IM49" s="493"/>
      <c r="IN49" s="493"/>
      <c r="IO49" s="493"/>
      <c r="IP49" s="493"/>
      <c r="IQ49" s="493"/>
      <c r="IR49" s="493"/>
      <c r="IS49" s="493"/>
      <c r="IT49" s="493"/>
      <c r="IU49" s="493"/>
      <c r="IV49" s="493"/>
      <c r="IW49" s="493"/>
      <c r="IX49" s="493"/>
      <c r="IY49" s="493"/>
      <c r="IZ49" s="493"/>
      <c r="JA49" s="493"/>
      <c r="JB49" s="493"/>
      <c r="JC49" s="493"/>
      <c r="JD49" s="493"/>
      <c r="JE49" s="493"/>
      <c r="JF49" s="493"/>
      <c r="JG49" s="493"/>
      <c r="JH49" s="493"/>
      <c r="JI49" s="493"/>
      <c r="JJ49" s="493"/>
      <c r="JK49" s="493"/>
      <c r="JL49" s="493"/>
      <c r="JM49" s="493"/>
      <c r="JN49" s="493"/>
      <c r="JO49" s="493"/>
      <c r="JP49" s="493"/>
      <c r="JQ49" s="493"/>
      <c r="JR49" s="493"/>
      <c r="JS49" s="493"/>
      <c r="JT49" s="493"/>
      <c r="JU49" s="493"/>
      <c r="JV49" s="493"/>
      <c r="JW49" s="493"/>
      <c r="JX49" s="493"/>
      <c r="JY49" s="493"/>
      <c r="JZ49" s="493"/>
      <c r="KA49" s="493"/>
      <c r="KB49" s="493"/>
      <c r="KC49" s="493"/>
      <c r="KD49" s="493"/>
      <c r="KE49" s="493"/>
      <c r="KF49" s="493"/>
      <c r="KG49" s="493"/>
      <c r="KH49" s="493"/>
      <c r="KI49" s="493"/>
      <c r="KJ49" s="493"/>
      <c r="KK49" s="493"/>
      <c r="KL49" s="493"/>
      <c r="KM49" s="493"/>
      <c r="KN49" s="493"/>
      <c r="KO49" s="493"/>
      <c r="KP49" s="493"/>
      <c r="KQ49" s="493"/>
      <c r="KR49" s="493"/>
      <c r="KS49" s="493"/>
      <c r="KT49" s="493"/>
      <c r="KU49" s="493"/>
      <c r="KV49" s="493"/>
      <c r="KW49" s="493"/>
      <c r="KX49" s="493"/>
      <c r="KY49" s="493"/>
      <c r="KZ49" s="493"/>
      <c r="LA49" s="493"/>
      <c r="LB49" s="493"/>
      <c r="LC49" s="493"/>
      <c r="LD49" s="493"/>
      <c r="LE49" s="493"/>
      <c r="LF49" s="493"/>
      <c r="LG49" s="493"/>
      <c r="LH49" s="493"/>
      <c r="LI49" s="493"/>
      <c r="LJ49" s="493"/>
      <c r="LK49" s="493"/>
      <c r="LL49" s="493"/>
      <c r="LM49" s="493"/>
      <c r="LN49" s="493"/>
      <c r="LO49" s="493"/>
      <c r="LP49" s="493"/>
      <c r="LQ49" s="493"/>
      <c r="LR49" s="493"/>
      <c r="LS49" s="493"/>
      <c r="LT49" s="493"/>
      <c r="LU49" s="493"/>
      <c r="LV49" s="493"/>
      <c r="LW49" s="493"/>
      <c r="LX49" s="493"/>
      <c r="LY49" s="493"/>
      <c r="LZ49" s="493"/>
      <c r="MA49" s="493"/>
      <c r="MB49" s="493"/>
      <c r="MC49" s="493"/>
      <c r="MD49" s="493"/>
      <c r="ME49" s="493"/>
      <c r="MF49" s="493"/>
      <c r="MG49" s="493"/>
      <c r="MH49" s="493"/>
      <c r="MI49" s="493"/>
      <c r="MJ49" s="493"/>
      <c r="MK49" s="493"/>
      <c r="ML49" s="493"/>
      <c r="MM49" s="493"/>
      <c r="MN49" s="493"/>
      <c r="MO49" s="493"/>
      <c r="MP49" s="493"/>
      <c r="MQ49" s="493"/>
      <c r="MR49" s="493"/>
      <c r="MS49" s="493"/>
      <c r="MT49" s="493"/>
      <c r="MU49" s="493"/>
      <c r="MV49" s="493"/>
      <c r="MW49" s="493"/>
      <c r="MX49" s="493"/>
      <c r="MY49" s="493"/>
      <c r="MZ49" s="493"/>
      <c r="NA49" s="493"/>
      <c r="NB49" s="493"/>
      <c r="NC49" s="493"/>
      <c r="ND49" s="493"/>
      <c r="NE49" s="493"/>
      <c r="NF49" s="493"/>
      <c r="NG49" s="493"/>
      <c r="NH49" s="493"/>
      <c r="NI49" s="493"/>
      <c r="NJ49" s="493"/>
      <c r="NK49" s="493"/>
      <c r="NL49" s="493"/>
      <c r="NM49" s="493"/>
      <c r="NN49" s="493"/>
      <c r="NO49" s="493"/>
      <c r="NP49" s="493"/>
      <c r="NQ49" s="493"/>
      <c r="NR49" s="493"/>
      <c r="NS49" s="493"/>
      <c r="NT49" s="493"/>
      <c r="NU49" s="493"/>
      <c r="NV49" s="493"/>
      <c r="NW49" s="493"/>
      <c r="NX49" s="493"/>
      <c r="NY49" s="493"/>
      <c r="NZ49" s="493"/>
      <c r="OA49" s="493"/>
      <c r="OB49" s="493"/>
      <c r="OC49" s="493"/>
      <c r="OD49" s="493"/>
      <c r="OE49" s="493"/>
      <c r="OF49" s="493"/>
      <c r="OG49" s="493"/>
      <c r="OH49" s="493"/>
      <c r="OI49" s="493"/>
      <c r="OJ49" s="493"/>
      <c r="OK49" s="493"/>
      <c r="OL49" s="493"/>
      <c r="OM49" s="493"/>
      <c r="ON49" s="493"/>
      <c r="OO49" s="493"/>
      <c r="OP49" s="493"/>
      <c r="OQ49" s="493"/>
      <c r="OR49" s="493"/>
      <c r="OS49" s="493"/>
      <c r="OT49" s="493"/>
      <c r="OU49" s="493"/>
      <c r="OV49" s="493"/>
      <c r="OW49" s="493"/>
      <c r="OX49" s="493"/>
      <c r="OY49" s="493"/>
      <c r="OZ49" s="493"/>
      <c r="PA49" s="493"/>
      <c r="PB49" s="493"/>
      <c r="PC49" s="493"/>
      <c r="PD49" s="493"/>
      <c r="PE49" s="493"/>
      <c r="PF49" s="493"/>
      <c r="PG49" s="493"/>
      <c r="PH49" s="493"/>
      <c r="PI49" s="493"/>
      <c r="PJ49" s="493"/>
      <c r="PK49" s="493"/>
      <c r="PL49" s="493"/>
      <c r="PM49" s="493"/>
      <c r="PN49" s="493"/>
      <c r="PO49" s="493"/>
      <c r="PP49" s="493"/>
      <c r="PQ49" s="493"/>
      <c r="PR49" s="493"/>
      <c r="PS49" s="493"/>
      <c r="PT49" s="493"/>
      <c r="PU49" s="493"/>
      <c r="PV49" s="493"/>
      <c r="PW49" s="493"/>
      <c r="PX49" s="493"/>
      <c r="PY49" s="493"/>
      <c r="PZ49" s="493"/>
      <c r="QA49" s="493"/>
      <c r="QB49" s="493"/>
      <c r="QC49" s="493"/>
      <c r="QD49" s="493"/>
      <c r="QE49" s="493"/>
      <c r="QF49" s="493"/>
      <c r="QG49" s="493"/>
      <c r="QH49" s="493"/>
      <c r="QI49" s="493"/>
      <c r="QJ49" s="493"/>
      <c r="QK49" s="493"/>
      <c r="QL49" s="493"/>
      <c r="QM49" s="493"/>
      <c r="QN49" s="493"/>
      <c r="QO49" s="493"/>
      <c r="QP49" s="493"/>
      <c r="QQ49" s="493"/>
      <c r="QR49" s="493"/>
      <c r="QS49" s="493"/>
      <c r="QT49" s="493"/>
      <c r="QU49" s="493"/>
      <c r="QV49" s="493"/>
      <c r="QW49" s="493"/>
      <c r="QX49" s="493"/>
      <c r="QY49" s="493"/>
      <c r="QZ49" s="493"/>
      <c r="RA49" s="493"/>
      <c r="RB49" s="493"/>
      <c r="RC49" s="493"/>
      <c r="RD49" s="493"/>
      <c r="RE49" s="493"/>
      <c r="RF49" s="493"/>
      <c r="RG49" s="493"/>
      <c r="RH49" s="493"/>
      <c r="RI49" s="493"/>
      <c r="RJ49" s="493"/>
      <c r="RK49" s="493"/>
      <c r="RL49" s="493"/>
      <c r="RM49" s="493"/>
      <c r="RN49" s="493"/>
      <c r="RO49" s="493"/>
      <c r="RP49" s="493"/>
      <c r="RQ49" s="493"/>
      <c r="RR49" s="493"/>
      <c r="RS49" s="493"/>
      <c r="RT49" s="493"/>
      <c r="RU49" s="493"/>
      <c r="RV49" s="493"/>
      <c r="RW49" s="493"/>
      <c r="RX49" s="493"/>
      <c r="RY49" s="493"/>
      <c r="RZ49" s="493"/>
      <c r="SA49" s="493"/>
      <c r="SB49" s="493"/>
      <c r="SC49" s="493"/>
      <c r="SD49" s="493"/>
      <c r="SE49" s="493"/>
      <c r="SF49" s="493"/>
      <c r="SG49" s="493"/>
      <c r="SH49" s="493"/>
      <c r="SI49" s="493"/>
      <c r="SJ49" s="493"/>
      <c r="SK49" s="493"/>
      <c r="SL49" s="493"/>
      <c r="SM49" s="493"/>
      <c r="SN49" s="493"/>
      <c r="SO49" s="493"/>
      <c r="SP49" s="493"/>
      <c r="SQ49" s="493"/>
      <c r="SR49" s="493"/>
      <c r="SS49" s="493"/>
      <c r="ST49" s="493"/>
      <c r="SU49" s="493"/>
      <c r="SV49" s="493"/>
      <c r="SW49" s="493"/>
      <c r="SX49" s="493"/>
      <c r="SY49" s="493"/>
      <c r="SZ49" s="493"/>
      <c r="TA49" s="493"/>
      <c r="TB49" s="493"/>
      <c r="TC49" s="493"/>
      <c r="TD49" s="493"/>
      <c r="TE49" s="493"/>
      <c r="TF49" s="493"/>
      <c r="TG49" s="493"/>
      <c r="TH49" s="493"/>
      <c r="TI49" s="493"/>
      <c r="TJ49" s="493"/>
      <c r="TK49" s="493"/>
      <c r="TL49" s="493"/>
      <c r="TM49" s="493"/>
      <c r="TN49" s="493"/>
      <c r="TO49" s="493"/>
      <c r="TP49" s="493"/>
      <c r="TQ49" s="493"/>
      <c r="TR49" s="493"/>
      <c r="TS49" s="493"/>
      <c r="TT49" s="493"/>
      <c r="TU49" s="493"/>
      <c r="TV49" s="493"/>
      <c r="TW49" s="493"/>
      <c r="TX49" s="493"/>
      <c r="TY49" s="493"/>
      <c r="TZ49" s="493"/>
      <c r="UA49" s="493"/>
      <c r="UB49" s="493"/>
      <c r="UC49" s="493"/>
      <c r="UD49" s="493"/>
      <c r="UE49" s="493"/>
      <c r="UF49" s="493"/>
      <c r="UG49" s="493"/>
      <c r="UH49" s="493"/>
      <c r="UI49" s="493"/>
      <c r="UJ49" s="493"/>
      <c r="UK49" s="493"/>
      <c r="UL49" s="493"/>
      <c r="UM49" s="493"/>
      <c r="UN49" s="493"/>
      <c r="UO49" s="493"/>
      <c r="UP49" s="493"/>
      <c r="UQ49" s="493"/>
      <c r="UR49" s="493"/>
      <c r="US49" s="493"/>
      <c r="UT49" s="493"/>
      <c r="UU49" s="493"/>
      <c r="UV49" s="493"/>
      <c r="UW49" s="493"/>
      <c r="UX49" s="493"/>
      <c r="UY49" s="493"/>
      <c r="UZ49" s="493"/>
      <c r="VA49" s="493"/>
      <c r="VB49" s="493"/>
      <c r="VC49" s="493"/>
      <c r="VD49" s="493"/>
      <c r="VE49" s="493"/>
      <c r="VF49" s="493"/>
      <c r="VG49" s="493"/>
      <c r="VH49" s="493"/>
      <c r="VI49" s="493"/>
      <c r="VJ49" s="493"/>
      <c r="VK49" s="493"/>
      <c r="VL49" s="493"/>
      <c r="VM49" s="493"/>
      <c r="VN49" s="493"/>
      <c r="VO49" s="493"/>
      <c r="VP49" s="493"/>
      <c r="VQ49" s="493"/>
      <c r="VR49" s="493"/>
      <c r="VS49" s="493"/>
      <c r="VT49" s="493"/>
      <c r="VU49" s="493"/>
      <c r="VV49" s="493"/>
      <c r="VW49" s="493"/>
      <c r="VX49" s="493"/>
      <c r="VY49" s="493"/>
      <c r="VZ49" s="493"/>
      <c r="WA49" s="493"/>
      <c r="WB49" s="493"/>
      <c r="WC49" s="493"/>
      <c r="WD49" s="493"/>
      <c r="WE49" s="493"/>
      <c r="WF49" s="493"/>
      <c r="WG49" s="493"/>
      <c r="WH49" s="493"/>
      <c r="WI49" s="493"/>
      <c r="WJ49" s="493"/>
      <c r="WK49" s="493"/>
      <c r="WL49" s="493"/>
      <c r="WM49" s="493"/>
      <c r="WN49" s="493"/>
      <c r="WO49" s="493"/>
      <c r="WP49" s="493"/>
      <c r="WQ49" s="493"/>
      <c r="WR49" s="493"/>
      <c r="WS49" s="493"/>
      <c r="WT49" s="493"/>
      <c r="WU49" s="493"/>
      <c r="WV49" s="493"/>
      <c r="WW49" s="493"/>
      <c r="WX49" s="493"/>
      <c r="WY49" s="493"/>
      <c r="WZ49" s="493"/>
      <c r="XA49" s="493"/>
      <c r="XB49" s="493"/>
      <c r="XC49" s="493"/>
      <c r="XD49" s="493"/>
      <c r="XE49" s="493"/>
      <c r="XF49" s="493"/>
      <c r="XG49" s="493"/>
      <c r="XH49" s="493"/>
      <c r="XI49" s="493"/>
      <c r="XJ49" s="493"/>
      <c r="XK49" s="493"/>
      <c r="XL49" s="493"/>
      <c r="XM49" s="493"/>
      <c r="XN49" s="493"/>
      <c r="XO49" s="493"/>
      <c r="XP49" s="493"/>
      <c r="XQ49" s="493"/>
      <c r="XR49" s="493"/>
      <c r="XS49" s="493"/>
      <c r="XT49" s="493"/>
      <c r="XU49" s="493"/>
      <c r="XV49" s="493"/>
      <c r="XW49" s="493"/>
      <c r="XX49" s="493"/>
      <c r="XY49" s="493"/>
      <c r="XZ49" s="493"/>
      <c r="YA49" s="493"/>
      <c r="YB49" s="493"/>
      <c r="YC49" s="493"/>
      <c r="YD49" s="493"/>
      <c r="YE49" s="493"/>
      <c r="YF49" s="493"/>
      <c r="YG49" s="493"/>
      <c r="YH49" s="493"/>
      <c r="YI49" s="493"/>
      <c r="YJ49" s="493"/>
      <c r="YK49" s="493"/>
      <c r="YL49" s="493"/>
      <c r="YM49" s="493"/>
      <c r="YN49" s="493"/>
      <c r="YO49" s="493"/>
      <c r="YP49" s="493"/>
      <c r="YQ49" s="493"/>
      <c r="YR49" s="493"/>
      <c r="YS49" s="493"/>
      <c r="YT49" s="493"/>
      <c r="YU49" s="493"/>
      <c r="YV49" s="493"/>
      <c r="YW49" s="493"/>
      <c r="YX49" s="493"/>
      <c r="YY49" s="493"/>
      <c r="YZ49" s="493"/>
      <c r="ZA49" s="493"/>
      <c r="ZB49" s="493"/>
      <c r="ZC49" s="493"/>
      <c r="ZD49" s="493"/>
      <c r="ZE49" s="493"/>
      <c r="ZF49" s="493"/>
      <c r="ZG49" s="493"/>
      <c r="ZH49" s="493"/>
      <c r="ZI49" s="493"/>
      <c r="ZJ49" s="493"/>
      <c r="ZK49" s="493"/>
      <c r="ZL49" s="493"/>
      <c r="ZM49" s="493"/>
      <c r="ZN49" s="493"/>
      <c r="ZO49" s="493"/>
      <c r="ZP49" s="493"/>
      <c r="ZQ49" s="493"/>
      <c r="ZR49" s="493"/>
      <c r="ZS49" s="493"/>
      <c r="ZT49" s="493"/>
      <c r="ZU49" s="493"/>
      <c r="ZV49" s="493"/>
      <c r="ZW49" s="493"/>
      <c r="ZX49" s="493"/>
      <c r="ZY49" s="493"/>
      <c r="ZZ49" s="493"/>
      <c r="AAA49" s="493"/>
      <c r="AAB49" s="493"/>
      <c r="AAC49" s="493"/>
      <c r="AAD49" s="493"/>
      <c r="AAE49" s="493"/>
      <c r="AAF49" s="493"/>
      <c r="AAG49" s="493"/>
      <c r="AAH49" s="493"/>
      <c r="AAI49" s="493"/>
      <c r="AAJ49" s="493"/>
      <c r="AAK49" s="493"/>
      <c r="AAL49" s="493"/>
      <c r="AAM49" s="493"/>
      <c r="AAN49" s="493"/>
      <c r="AAO49" s="493"/>
      <c r="AAP49" s="493"/>
      <c r="AAQ49" s="493"/>
      <c r="AAR49" s="493"/>
      <c r="AAS49" s="493"/>
      <c r="AAT49" s="493"/>
      <c r="AAU49" s="493"/>
      <c r="AAV49" s="493"/>
      <c r="AAW49" s="493"/>
      <c r="AAX49" s="493"/>
      <c r="AAY49" s="493"/>
      <c r="AAZ49" s="493"/>
      <c r="ABA49" s="493"/>
      <c r="ABB49" s="493"/>
      <c r="ABC49" s="493"/>
      <c r="ABD49" s="493"/>
      <c r="ABE49" s="493"/>
      <c r="ABF49" s="493"/>
      <c r="ABG49" s="493"/>
      <c r="ABH49" s="493"/>
      <c r="ABI49" s="493"/>
      <c r="ABJ49" s="493"/>
      <c r="ABK49" s="493"/>
      <c r="ABL49" s="493"/>
      <c r="ABM49" s="493"/>
      <c r="ABN49" s="493"/>
      <c r="ABO49" s="493"/>
      <c r="ABP49" s="493"/>
      <c r="ABQ49" s="493"/>
      <c r="ABR49" s="493"/>
      <c r="ABS49" s="493"/>
      <c r="ABT49" s="493"/>
      <c r="ABU49" s="493"/>
      <c r="ABV49" s="493"/>
      <c r="ABW49" s="493"/>
      <c r="ABX49" s="493"/>
      <c r="ABY49" s="493"/>
      <c r="ABZ49" s="493"/>
      <c r="ACA49" s="493"/>
      <c r="ACB49" s="493"/>
      <c r="ACC49" s="493"/>
      <c r="ACD49" s="493"/>
      <c r="ACE49" s="493"/>
      <c r="ACF49" s="493"/>
      <c r="ACG49" s="493"/>
      <c r="ACH49" s="493"/>
      <c r="ACI49" s="493"/>
      <c r="ACJ49" s="493"/>
      <c r="ACK49" s="493"/>
      <c r="ACL49" s="493"/>
      <c r="ACM49" s="493"/>
      <c r="ACN49" s="493"/>
      <c r="ACO49" s="493"/>
      <c r="ACP49" s="493"/>
      <c r="ACQ49" s="493"/>
      <c r="ACR49" s="493"/>
      <c r="ACS49" s="493"/>
      <c r="ACT49" s="493"/>
      <c r="ACU49" s="493"/>
      <c r="ACV49" s="493"/>
      <c r="ACW49" s="493"/>
      <c r="ACX49" s="493"/>
      <c r="ACY49" s="493"/>
      <c r="ACZ49" s="493"/>
      <c r="ADA49" s="493"/>
      <c r="ADB49" s="493"/>
      <c r="ADC49" s="493"/>
      <c r="ADD49" s="493"/>
      <c r="ADE49" s="493"/>
      <c r="ADF49" s="493"/>
      <c r="ADG49" s="493"/>
      <c r="ADH49" s="493"/>
      <c r="ADI49" s="493"/>
      <c r="ADJ49" s="493"/>
      <c r="ADK49" s="493"/>
      <c r="ADL49" s="493"/>
      <c r="ADM49" s="493"/>
      <c r="ADN49" s="493"/>
      <c r="ADO49" s="493"/>
      <c r="ADP49" s="493"/>
      <c r="ADQ49" s="493"/>
      <c r="ADR49" s="493"/>
      <c r="ADS49" s="493"/>
      <c r="ADT49" s="493"/>
      <c r="ADU49" s="493"/>
      <c r="ADV49" s="493"/>
      <c r="ADW49" s="493"/>
      <c r="ADX49" s="493"/>
      <c r="ADY49" s="493"/>
      <c r="ADZ49" s="493"/>
      <c r="AEA49" s="493"/>
      <c r="AEB49" s="493"/>
      <c r="AEC49" s="493"/>
      <c r="AED49" s="493"/>
      <c r="AEE49" s="493"/>
      <c r="AEF49" s="493"/>
      <c r="AEG49" s="493"/>
      <c r="AEH49" s="493"/>
      <c r="AEI49" s="493"/>
      <c r="AEJ49" s="493"/>
      <c r="AEK49" s="493"/>
      <c r="AEL49" s="493"/>
      <c r="AEM49" s="493"/>
      <c r="AEN49" s="493"/>
      <c r="AEO49" s="493"/>
      <c r="AEP49" s="493"/>
      <c r="AEQ49" s="493"/>
      <c r="AER49" s="493"/>
      <c r="AES49" s="493"/>
      <c r="AET49" s="493"/>
      <c r="AEU49" s="493"/>
      <c r="AEV49" s="493"/>
      <c r="AEW49" s="493"/>
      <c r="AEX49" s="493"/>
      <c r="AEY49" s="493"/>
      <c r="AEZ49" s="493"/>
      <c r="AFA49" s="493"/>
      <c r="AFB49" s="493"/>
      <c r="AFC49" s="493"/>
      <c r="AFD49" s="493"/>
      <c r="AFE49" s="493"/>
      <c r="AFF49" s="493"/>
      <c r="AFG49" s="493"/>
      <c r="AFH49" s="493"/>
      <c r="AFI49" s="493"/>
      <c r="AFJ49" s="493"/>
      <c r="AFK49" s="493"/>
      <c r="AFL49" s="493"/>
      <c r="AFM49" s="493"/>
      <c r="AFN49" s="493"/>
      <c r="AFO49" s="493"/>
      <c r="AFP49" s="493"/>
      <c r="AFQ49" s="493"/>
      <c r="AFR49" s="493"/>
      <c r="AFS49" s="493"/>
      <c r="AFT49" s="493"/>
      <c r="AFU49" s="493"/>
      <c r="AFV49" s="493"/>
      <c r="AFW49" s="493"/>
      <c r="AFX49" s="493"/>
      <c r="AFY49" s="493"/>
      <c r="AFZ49" s="493"/>
      <c r="AGA49" s="493"/>
      <c r="AGB49" s="493"/>
      <c r="AGC49" s="493"/>
      <c r="AGD49" s="493"/>
      <c r="AGE49" s="493"/>
      <c r="AGF49" s="493"/>
      <c r="AGG49" s="493"/>
      <c r="AGH49" s="493"/>
      <c r="AGI49" s="493"/>
      <c r="AGJ49" s="493"/>
      <c r="AGK49" s="493"/>
      <c r="AGL49" s="493"/>
      <c r="AGM49" s="493"/>
      <c r="AGN49" s="493"/>
      <c r="AGO49" s="493"/>
      <c r="AGP49" s="493"/>
      <c r="AGQ49" s="493"/>
      <c r="AGR49" s="493"/>
      <c r="AGS49" s="493"/>
      <c r="AGT49" s="493"/>
      <c r="AGU49" s="493"/>
      <c r="AGV49" s="493"/>
      <c r="AGW49" s="493"/>
      <c r="AGX49" s="493"/>
      <c r="AGY49" s="493"/>
      <c r="AGZ49" s="493"/>
      <c r="AHA49" s="493"/>
      <c r="AHB49" s="493"/>
      <c r="AHC49" s="493"/>
      <c r="AHD49" s="493"/>
      <c r="AHE49" s="493"/>
      <c r="AHF49" s="493"/>
      <c r="AHG49" s="493"/>
      <c r="AHH49" s="493"/>
      <c r="AHI49" s="493"/>
      <c r="AHJ49" s="493"/>
      <c r="AHK49" s="493"/>
      <c r="AHL49" s="493"/>
      <c r="AHM49" s="493"/>
      <c r="AHN49" s="493"/>
      <c r="AHO49" s="493"/>
      <c r="AHP49" s="493"/>
      <c r="AHQ49" s="493"/>
      <c r="AHR49" s="493"/>
      <c r="AHS49" s="493"/>
      <c r="AHT49" s="493"/>
      <c r="AHU49" s="493"/>
      <c r="AHV49" s="493"/>
      <c r="AHW49" s="493"/>
      <c r="AHX49" s="493"/>
      <c r="AHY49" s="493"/>
      <c r="AHZ49" s="493"/>
      <c r="AIA49" s="493"/>
      <c r="AIB49" s="493"/>
      <c r="AIC49" s="493"/>
      <c r="AID49" s="493"/>
      <c r="AIE49" s="493"/>
      <c r="AIF49" s="493"/>
      <c r="AIG49" s="493"/>
      <c r="AIH49" s="493"/>
      <c r="AII49" s="493"/>
      <c r="AIJ49" s="493"/>
      <c r="AIK49" s="493"/>
      <c r="AIL49" s="493"/>
      <c r="AIM49" s="493"/>
      <c r="AIN49" s="493"/>
      <c r="AIO49" s="493"/>
      <c r="AIP49" s="493"/>
      <c r="AIQ49" s="493"/>
      <c r="AIR49" s="493"/>
      <c r="AIS49" s="493"/>
      <c r="AIT49" s="493"/>
      <c r="AIU49" s="493"/>
      <c r="AIV49" s="493"/>
      <c r="AIW49" s="493"/>
      <c r="AIX49" s="493"/>
      <c r="AIY49" s="493"/>
      <c r="AIZ49" s="493"/>
      <c r="AJA49" s="493"/>
      <c r="AJB49" s="493"/>
      <c r="AJC49" s="493"/>
      <c r="AJD49" s="493"/>
      <c r="AJE49" s="493"/>
      <c r="AJF49" s="493"/>
      <c r="AJG49" s="493"/>
      <c r="AJH49" s="493"/>
      <c r="AJI49" s="493"/>
      <c r="AJJ49" s="493"/>
      <c r="AJK49" s="493"/>
      <c r="AJL49" s="493"/>
      <c r="AJM49" s="493"/>
      <c r="AJN49" s="493"/>
      <c r="AJO49" s="493"/>
      <c r="AJP49" s="493"/>
      <c r="AJQ49" s="493"/>
      <c r="AJR49" s="493"/>
      <c r="AJS49" s="493"/>
      <c r="AJT49" s="493"/>
      <c r="AJU49" s="493"/>
      <c r="AJV49" s="493"/>
      <c r="AJW49" s="493"/>
      <c r="AJX49" s="493"/>
      <c r="AJY49" s="493"/>
      <c r="AJZ49" s="493"/>
      <c r="AKA49" s="493"/>
      <c r="AKB49" s="493"/>
      <c r="AKC49" s="493"/>
      <c r="AKD49" s="493"/>
      <c r="AKE49" s="493"/>
      <c r="AKF49" s="493"/>
      <c r="AKG49" s="493"/>
      <c r="AKH49" s="493"/>
      <c r="AKI49" s="493"/>
      <c r="AKJ49" s="493"/>
      <c r="AKK49" s="493"/>
      <c r="AKL49" s="493"/>
      <c r="AKM49" s="493"/>
      <c r="AKN49" s="493"/>
      <c r="AKO49" s="493"/>
      <c r="AKP49" s="493"/>
      <c r="AKQ49" s="493"/>
      <c r="AKR49" s="493"/>
      <c r="AKS49" s="493"/>
      <c r="AKT49" s="493"/>
      <c r="AKU49" s="493"/>
      <c r="AKV49" s="493"/>
      <c r="AKW49" s="493"/>
      <c r="AKX49" s="493"/>
      <c r="AKY49" s="493"/>
      <c r="AKZ49" s="493"/>
      <c r="ALA49" s="493"/>
      <c r="ALB49" s="493"/>
      <c r="ALC49" s="493"/>
      <c r="ALD49" s="493"/>
      <c r="ALE49" s="493"/>
      <c r="ALF49" s="493"/>
      <c r="ALG49" s="493"/>
      <c r="ALH49" s="493"/>
      <c r="ALI49" s="493"/>
      <c r="ALJ49" s="493"/>
      <c r="ALK49" s="493"/>
      <c r="ALL49" s="493"/>
      <c r="ALM49" s="493"/>
      <c r="ALN49" s="493"/>
      <c r="ALO49" s="493"/>
      <c r="ALP49" s="493"/>
      <c r="ALQ49" s="493"/>
      <c r="ALR49" s="493"/>
      <c r="ALS49" s="493"/>
      <c r="ALT49" s="493"/>
      <c r="ALU49" s="493"/>
      <c r="ALV49" s="493"/>
      <c r="ALW49" s="493"/>
      <c r="ALX49" s="493"/>
      <c r="ALY49" s="493"/>
      <c r="ALZ49" s="493"/>
      <c r="AMA49" s="493"/>
      <c r="AMB49" s="493"/>
      <c r="AMC49" s="493"/>
      <c r="AMD49" s="493"/>
      <c r="AME49" s="493"/>
      <c r="AMF49" s="493"/>
      <c r="AMG49" s="493"/>
      <c r="AMH49" s="493"/>
      <c r="AMI49" s="493"/>
      <c r="AMJ49" s="493"/>
      <c r="AMK49" s="493"/>
      <c r="AML49" s="493"/>
      <c r="AMM49" s="493"/>
      <c r="AMN49" s="493"/>
      <c r="AMO49" s="493"/>
      <c r="AMP49" s="493"/>
      <c r="AMQ49" s="493"/>
      <c r="AMR49" s="493"/>
      <c r="AMS49" s="493"/>
      <c r="AMT49" s="493"/>
      <c r="AMU49" s="493"/>
      <c r="AMV49" s="493"/>
      <c r="AMW49" s="493"/>
      <c r="AMX49" s="493"/>
      <c r="AMY49" s="493"/>
      <c r="AMZ49" s="493"/>
      <c r="ANA49" s="493"/>
      <c r="ANB49" s="493"/>
      <c r="ANC49" s="493"/>
      <c r="AND49" s="493"/>
      <c r="ANE49" s="493"/>
      <c r="ANF49" s="493"/>
      <c r="ANG49" s="493"/>
      <c r="ANH49" s="493"/>
      <c r="ANI49" s="493"/>
      <c r="ANJ49" s="493"/>
      <c r="ANK49" s="493"/>
      <c r="ANL49" s="493"/>
      <c r="ANM49" s="493"/>
      <c r="ANN49" s="493"/>
      <c r="ANO49" s="493"/>
      <c r="ANP49" s="493"/>
      <c r="ANQ49" s="493"/>
      <c r="ANR49" s="493"/>
      <c r="ANS49" s="493"/>
      <c r="ANT49" s="493"/>
      <c r="ANU49" s="493"/>
      <c r="ANV49" s="493"/>
      <c r="ANW49" s="493"/>
      <c r="ANX49" s="493"/>
      <c r="ANY49" s="493"/>
      <c r="ANZ49" s="493"/>
      <c r="AOA49" s="493"/>
      <c r="AOB49" s="493"/>
      <c r="AOC49" s="493"/>
      <c r="AOD49" s="493"/>
      <c r="AOE49" s="493"/>
      <c r="AOF49" s="493"/>
      <c r="AOG49" s="493"/>
      <c r="AOH49" s="493"/>
      <c r="AOI49" s="493"/>
      <c r="AOJ49" s="493"/>
      <c r="AOK49" s="493"/>
      <c r="AOL49" s="493"/>
      <c r="AOM49" s="493"/>
      <c r="AON49" s="493"/>
      <c r="AOO49" s="493"/>
      <c r="AOP49" s="493"/>
      <c r="AOQ49" s="493"/>
      <c r="AOR49" s="493"/>
      <c r="AOS49" s="493"/>
      <c r="AOT49" s="493"/>
      <c r="AOU49" s="493"/>
      <c r="AOV49" s="493"/>
      <c r="AOW49" s="493"/>
      <c r="AOX49" s="493"/>
      <c r="AOY49" s="493"/>
      <c r="AOZ49" s="493"/>
      <c r="APA49" s="493"/>
      <c r="APB49" s="493"/>
      <c r="APC49" s="493"/>
      <c r="APD49" s="493"/>
      <c r="APE49" s="493"/>
      <c r="APF49" s="493"/>
      <c r="APG49" s="493"/>
      <c r="APH49" s="493"/>
      <c r="API49" s="493"/>
      <c r="APJ49" s="493"/>
      <c r="APK49" s="493"/>
      <c r="APL49" s="493"/>
      <c r="APM49" s="493"/>
      <c r="APN49" s="493"/>
      <c r="APO49" s="493"/>
      <c r="APP49" s="493"/>
      <c r="APQ49" s="493"/>
      <c r="APR49" s="493"/>
      <c r="APS49" s="493"/>
      <c r="APT49" s="493"/>
      <c r="APU49" s="493"/>
      <c r="APV49" s="493"/>
      <c r="APW49" s="493"/>
      <c r="APX49" s="493"/>
      <c r="APY49" s="493"/>
      <c r="APZ49" s="493"/>
      <c r="AQA49" s="493"/>
      <c r="AQB49" s="493"/>
      <c r="AQC49" s="493"/>
      <c r="AQD49" s="493"/>
      <c r="AQE49" s="493"/>
      <c r="AQF49" s="493"/>
      <c r="AQG49" s="493"/>
      <c r="AQH49" s="493"/>
      <c r="AQI49" s="493"/>
      <c r="AQJ49" s="493"/>
      <c r="AQK49" s="493"/>
      <c r="AQL49" s="493"/>
      <c r="AQM49" s="493"/>
      <c r="AQN49" s="493"/>
      <c r="AQO49" s="493"/>
      <c r="AQP49" s="493"/>
      <c r="AQQ49" s="493"/>
      <c r="AQR49" s="493"/>
      <c r="AQS49" s="493"/>
      <c r="AQT49" s="493"/>
      <c r="AQU49" s="493"/>
      <c r="AQV49" s="493"/>
      <c r="AQW49" s="493"/>
      <c r="AQX49" s="493"/>
      <c r="AQY49" s="493"/>
      <c r="AQZ49" s="493"/>
      <c r="ARA49" s="493"/>
      <c r="ARB49" s="493"/>
      <c r="ARC49" s="493"/>
      <c r="ARD49" s="493"/>
      <c r="ARE49" s="493"/>
      <c r="ARF49" s="493"/>
      <c r="ARG49" s="493"/>
      <c r="ARH49" s="493"/>
      <c r="ARI49" s="493"/>
      <c r="ARJ49" s="493"/>
      <c r="ARK49" s="493"/>
      <c r="ARL49" s="493"/>
      <c r="ARM49" s="493"/>
      <c r="ARN49" s="493"/>
      <c r="ARO49" s="493"/>
      <c r="ARP49" s="493"/>
      <c r="ARQ49" s="493"/>
      <c r="ARR49" s="493"/>
      <c r="ARS49" s="493"/>
      <c r="ART49" s="493"/>
      <c r="ARU49" s="493"/>
      <c r="ARV49" s="493"/>
      <c r="ARW49" s="493"/>
      <c r="ARX49" s="493"/>
      <c r="ARY49" s="493"/>
      <c r="ARZ49" s="493"/>
      <c r="ASA49" s="493"/>
      <c r="ASB49" s="493"/>
      <c r="ASC49" s="493"/>
      <c r="ASD49" s="493"/>
      <c r="ASE49" s="493"/>
      <c r="ASF49" s="493"/>
      <c r="ASG49" s="493"/>
      <c r="ASH49" s="493"/>
      <c r="ASI49" s="493"/>
      <c r="ASJ49" s="493"/>
      <c r="ASK49" s="493"/>
      <c r="ASL49" s="493"/>
      <c r="ASM49" s="493"/>
      <c r="ASN49" s="493"/>
      <c r="ASO49" s="493"/>
      <c r="ASP49" s="493"/>
      <c r="ASQ49" s="493"/>
      <c r="ASR49" s="493"/>
      <c r="ASS49" s="493"/>
      <c r="AST49" s="493"/>
      <c r="ASU49" s="493"/>
      <c r="ASV49" s="493"/>
      <c r="ASW49" s="493"/>
      <c r="ASX49" s="493"/>
      <c r="ASY49" s="493"/>
      <c r="ASZ49" s="493"/>
      <c r="ATA49" s="493"/>
      <c r="ATB49" s="493"/>
      <c r="ATC49" s="493"/>
      <c r="ATD49" s="493"/>
      <c r="ATE49" s="493"/>
      <c r="ATF49" s="493"/>
      <c r="ATG49" s="493"/>
      <c r="ATH49" s="493"/>
      <c r="ATI49" s="493"/>
      <c r="ATJ49" s="493"/>
      <c r="ATK49" s="493"/>
      <c r="ATL49" s="493"/>
      <c r="ATM49" s="493"/>
      <c r="ATN49" s="493"/>
      <c r="ATO49" s="493"/>
      <c r="ATP49" s="493"/>
      <c r="ATQ49" s="493"/>
      <c r="ATR49" s="493"/>
      <c r="ATS49" s="493"/>
      <c r="ATT49" s="493"/>
      <c r="ATU49" s="493"/>
      <c r="ATV49" s="493"/>
      <c r="ATW49" s="493"/>
      <c r="ATX49" s="493"/>
      <c r="ATY49" s="493"/>
      <c r="ATZ49" s="493"/>
      <c r="AUA49" s="493"/>
      <c r="AUB49" s="493"/>
      <c r="AUC49" s="493"/>
      <c r="AUD49" s="493"/>
      <c r="AUE49" s="493"/>
      <c r="AUF49" s="493"/>
      <c r="AUG49" s="493"/>
      <c r="AUH49" s="493"/>
      <c r="AUI49" s="493"/>
      <c r="AUJ49" s="493"/>
      <c r="AUK49" s="493"/>
      <c r="AUL49" s="493"/>
      <c r="AUM49" s="493"/>
      <c r="AUN49" s="493"/>
      <c r="AUO49" s="493"/>
      <c r="AUP49" s="493"/>
      <c r="AUQ49" s="493"/>
      <c r="AUR49" s="493"/>
      <c r="AUS49" s="493"/>
      <c r="AUT49" s="493"/>
      <c r="AUU49" s="493"/>
      <c r="AUV49" s="493"/>
      <c r="AUW49" s="493"/>
      <c r="AUX49" s="493"/>
      <c r="AUY49" s="493"/>
      <c r="AUZ49" s="493"/>
      <c r="AVA49" s="493"/>
      <c r="AVB49" s="493"/>
      <c r="AVC49" s="493"/>
      <c r="AVD49" s="493"/>
      <c r="AVE49" s="493"/>
      <c r="AVF49" s="493"/>
      <c r="AVG49" s="493"/>
      <c r="AVH49" s="493"/>
      <c r="AVI49" s="493"/>
      <c r="AVJ49" s="493"/>
      <c r="AVK49" s="493"/>
      <c r="AVL49" s="493"/>
      <c r="AVM49" s="493"/>
      <c r="AVN49" s="493"/>
      <c r="AVO49" s="493"/>
      <c r="AVP49" s="493"/>
      <c r="AVQ49" s="493"/>
      <c r="AVR49" s="493"/>
      <c r="AVS49" s="493"/>
      <c r="AVT49" s="493"/>
      <c r="AVU49" s="493"/>
      <c r="AVV49" s="493"/>
      <c r="AVW49" s="493"/>
      <c r="AVX49" s="493"/>
      <c r="AVY49" s="493"/>
      <c r="AVZ49" s="493"/>
      <c r="AWA49" s="493"/>
      <c r="AWB49" s="493"/>
      <c r="AWC49" s="493"/>
      <c r="AWD49" s="493"/>
      <c r="AWE49" s="493"/>
      <c r="AWF49" s="493"/>
      <c r="AWG49" s="493"/>
      <c r="AWH49" s="493"/>
      <c r="AWI49" s="493"/>
      <c r="AWJ49" s="493"/>
      <c r="AWK49" s="493"/>
      <c r="AWL49" s="493"/>
      <c r="AWM49" s="493"/>
      <c r="AWN49" s="493"/>
      <c r="AWO49" s="493"/>
      <c r="AWP49" s="493"/>
      <c r="AWQ49" s="493"/>
      <c r="AWR49" s="493"/>
      <c r="AWS49" s="493"/>
      <c r="AWT49" s="493"/>
      <c r="AWU49" s="493"/>
      <c r="AWV49" s="493"/>
      <c r="AWW49" s="493"/>
      <c r="AWX49" s="493"/>
      <c r="AWY49" s="493"/>
      <c r="AWZ49" s="493"/>
      <c r="AXA49" s="493"/>
      <c r="AXB49" s="493"/>
      <c r="AXC49" s="493"/>
      <c r="AXD49" s="493"/>
      <c r="AXE49" s="493"/>
      <c r="AXF49" s="493"/>
      <c r="AXG49" s="493"/>
      <c r="AXH49" s="493"/>
      <c r="AXI49" s="493"/>
      <c r="AXJ49" s="493"/>
      <c r="AXK49" s="493"/>
      <c r="AXL49" s="493"/>
      <c r="AXM49" s="493"/>
      <c r="AXN49" s="493"/>
      <c r="AXO49" s="493"/>
      <c r="AXP49" s="493"/>
      <c r="AXQ49" s="493"/>
      <c r="AXR49" s="493"/>
      <c r="AXS49" s="493"/>
      <c r="AXT49" s="493"/>
      <c r="AXU49" s="493"/>
      <c r="AXV49" s="493"/>
      <c r="AXW49" s="493"/>
      <c r="AXX49" s="493"/>
      <c r="AXY49" s="493"/>
      <c r="AXZ49" s="493"/>
      <c r="AYA49" s="493"/>
      <c r="AYB49" s="493"/>
      <c r="AYC49" s="493"/>
      <c r="AYD49" s="493"/>
      <c r="AYE49" s="493"/>
      <c r="AYF49" s="493"/>
      <c r="AYG49" s="493"/>
      <c r="AYH49" s="493"/>
      <c r="AYI49" s="493"/>
      <c r="AYJ49" s="493"/>
      <c r="AYK49" s="493"/>
      <c r="AYL49" s="493"/>
      <c r="AYM49" s="493"/>
      <c r="AYN49" s="493"/>
      <c r="AYO49" s="493"/>
      <c r="AYP49" s="493"/>
      <c r="AYQ49" s="493"/>
      <c r="AYR49" s="493"/>
      <c r="AYS49" s="493"/>
      <c r="AYT49" s="493"/>
      <c r="AYU49" s="493"/>
      <c r="AYV49" s="493"/>
      <c r="AYW49" s="493"/>
      <c r="AYX49" s="493"/>
      <c r="AYY49" s="493"/>
      <c r="AYZ49" s="493"/>
      <c r="AZA49" s="493"/>
      <c r="AZB49" s="493"/>
      <c r="AZC49" s="493"/>
      <c r="AZD49" s="493"/>
      <c r="AZE49" s="493"/>
      <c r="AZF49" s="493"/>
      <c r="AZG49" s="493"/>
      <c r="AZH49" s="493"/>
      <c r="AZI49" s="493"/>
      <c r="AZJ49" s="493"/>
      <c r="AZK49" s="493"/>
      <c r="AZL49" s="493"/>
      <c r="AZM49" s="493"/>
      <c r="AZN49" s="493"/>
      <c r="AZO49" s="493"/>
      <c r="AZP49" s="493"/>
      <c r="AZQ49" s="493"/>
      <c r="AZR49" s="493"/>
      <c r="AZS49" s="493"/>
      <c r="AZT49" s="493"/>
      <c r="AZU49" s="493"/>
      <c r="AZV49" s="493"/>
      <c r="AZW49" s="493"/>
      <c r="AZX49" s="493"/>
      <c r="AZY49" s="493"/>
      <c r="AZZ49" s="493"/>
      <c r="BAA49" s="493"/>
      <c r="BAB49" s="493"/>
      <c r="BAC49" s="493"/>
      <c r="BAD49" s="493"/>
      <c r="BAE49" s="493"/>
      <c r="BAF49" s="493"/>
      <c r="BAG49" s="493"/>
      <c r="BAH49" s="493"/>
      <c r="BAI49" s="493"/>
      <c r="BAJ49" s="493"/>
      <c r="BAK49" s="493"/>
      <c r="BAL49" s="493"/>
      <c r="BAM49" s="493"/>
      <c r="BAN49" s="493"/>
      <c r="BAO49" s="493"/>
      <c r="BAP49" s="493"/>
      <c r="BAQ49" s="493"/>
      <c r="BAR49" s="493"/>
      <c r="BAS49" s="493"/>
      <c r="BAT49" s="493"/>
      <c r="BAU49" s="493"/>
      <c r="BAV49" s="493"/>
      <c r="BAW49" s="493"/>
      <c r="BAX49" s="493"/>
      <c r="BAY49" s="493"/>
      <c r="BAZ49" s="493"/>
      <c r="BBA49" s="493"/>
      <c r="BBB49" s="493"/>
      <c r="BBC49" s="493"/>
      <c r="BBD49" s="493"/>
      <c r="BBE49" s="493"/>
      <c r="BBF49" s="493"/>
      <c r="BBG49" s="493"/>
      <c r="BBH49" s="493"/>
      <c r="BBI49" s="493"/>
      <c r="BBJ49" s="493"/>
      <c r="BBK49" s="493"/>
      <c r="BBL49" s="493"/>
      <c r="BBM49" s="493"/>
      <c r="BBN49" s="493"/>
      <c r="BBO49" s="493"/>
      <c r="BBP49" s="493"/>
      <c r="BBQ49" s="493"/>
      <c r="BBR49" s="493"/>
      <c r="BBS49" s="493"/>
      <c r="BBT49" s="493"/>
      <c r="BBU49" s="493"/>
      <c r="BBV49" s="493"/>
      <c r="BBW49" s="493"/>
      <c r="BBX49" s="493"/>
      <c r="BBY49" s="493"/>
      <c r="BBZ49" s="493"/>
      <c r="BCA49" s="493"/>
      <c r="BCB49" s="493"/>
      <c r="BCC49" s="493"/>
      <c r="BCD49" s="493"/>
      <c r="BCE49" s="493"/>
      <c r="BCF49" s="493"/>
      <c r="BCG49" s="493"/>
      <c r="BCH49" s="493"/>
      <c r="BCI49" s="493"/>
      <c r="BCJ49" s="493"/>
      <c r="BCK49" s="493"/>
      <c r="BCL49" s="493"/>
      <c r="BCM49" s="493"/>
      <c r="BCN49" s="493"/>
      <c r="BCO49" s="493"/>
      <c r="BCP49" s="493"/>
      <c r="BCQ49" s="493"/>
      <c r="BCR49" s="493"/>
      <c r="BCS49" s="493"/>
      <c r="BCT49" s="493"/>
      <c r="BCU49" s="493"/>
      <c r="BCV49" s="493"/>
      <c r="BCW49" s="493"/>
      <c r="BCX49" s="493"/>
      <c r="BCY49" s="493"/>
      <c r="BCZ49" s="493"/>
      <c r="BDA49" s="493"/>
      <c r="BDB49" s="493"/>
      <c r="BDC49" s="493"/>
      <c r="BDD49" s="493"/>
      <c r="BDE49" s="493"/>
      <c r="BDF49" s="493"/>
      <c r="BDG49" s="493"/>
      <c r="BDH49" s="493"/>
      <c r="BDI49" s="493"/>
      <c r="BDJ49" s="493"/>
      <c r="BDK49" s="493"/>
      <c r="BDL49" s="493"/>
      <c r="BDM49" s="493"/>
      <c r="BDN49" s="493"/>
      <c r="BDO49" s="493"/>
      <c r="BDP49" s="493"/>
      <c r="BDQ49" s="493"/>
      <c r="BDR49" s="493"/>
      <c r="BDS49" s="493"/>
      <c r="BDT49" s="493"/>
      <c r="BDU49" s="493"/>
      <c r="BDV49" s="493"/>
      <c r="BDW49" s="493"/>
      <c r="BDX49" s="493"/>
      <c r="BDY49" s="493"/>
      <c r="BDZ49" s="493"/>
      <c r="BEA49" s="493"/>
      <c r="BEB49" s="493"/>
      <c r="BEC49" s="493"/>
      <c r="BED49" s="493"/>
      <c r="BEE49" s="493"/>
      <c r="BEF49" s="493"/>
      <c r="BEG49" s="493"/>
      <c r="BEH49" s="493"/>
      <c r="BEI49" s="493"/>
      <c r="BEJ49" s="493"/>
      <c r="BEK49" s="493"/>
      <c r="BEL49" s="493"/>
      <c r="BEM49" s="493"/>
      <c r="BEN49" s="493"/>
      <c r="BEO49" s="493"/>
      <c r="BEP49" s="493"/>
      <c r="BEQ49" s="493"/>
      <c r="BER49" s="493"/>
      <c r="BES49" s="493"/>
      <c r="BET49" s="493"/>
      <c r="BEU49" s="493"/>
      <c r="BEV49" s="493"/>
      <c r="BEW49" s="493"/>
      <c r="BEX49" s="493"/>
      <c r="BEY49" s="493"/>
      <c r="BEZ49" s="493"/>
      <c r="BFA49" s="493"/>
      <c r="BFB49" s="493"/>
      <c r="BFC49" s="493"/>
      <c r="BFD49" s="493"/>
      <c r="BFE49" s="493"/>
      <c r="BFF49" s="493"/>
      <c r="BFG49" s="493"/>
      <c r="BFH49" s="493"/>
      <c r="BFI49" s="493"/>
      <c r="BFJ49" s="493"/>
      <c r="BFK49" s="493"/>
      <c r="BFL49" s="493"/>
      <c r="BFM49" s="493"/>
      <c r="BFN49" s="493"/>
      <c r="BFO49" s="493"/>
      <c r="BFP49" s="493"/>
      <c r="BFQ49" s="493"/>
      <c r="BFR49" s="493"/>
      <c r="BFS49" s="493"/>
      <c r="BFT49" s="493"/>
      <c r="BFU49" s="493"/>
      <c r="BFV49" s="493"/>
      <c r="BFW49" s="493"/>
      <c r="BFX49" s="493"/>
      <c r="BFY49" s="493"/>
      <c r="BFZ49" s="493"/>
      <c r="BGA49" s="493"/>
      <c r="BGB49" s="493"/>
      <c r="BGC49" s="493"/>
      <c r="BGD49" s="493"/>
      <c r="BGE49" s="493"/>
      <c r="BGF49" s="493"/>
      <c r="BGG49" s="493"/>
      <c r="BGH49" s="493"/>
      <c r="BGI49" s="493"/>
      <c r="BGJ49" s="493"/>
      <c r="BGK49" s="493"/>
      <c r="BGL49" s="493"/>
      <c r="BGM49" s="493"/>
      <c r="BGN49" s="493"/>
      <c r="BGO49" s="493"/>
      <c r="BGP49" s="493"/>
      <c r="BGQ49" s="493"/>
      <c r="BGR49" s="493"/>
      <c r="BGS49" s="493"/>
      <c r="BGT49" s="493"/>
      <c r="BGU49" s="493"/>
      <c r="BGV49" s="493"/>
      <c r="BGW49" s="493"/>
      <c r="BGX49" s="493"/>
      <c r="BGY49" s="493"/>
      <c r="BGZ49" s="493"/>
      <c r="BHA49" s="493"/>
      <c r="BHB49" s="493"/>
      <c r="BHC49" s="493"/>
      <c r="BHD49" s="493"/>
      <c r="BHE49" s="493"/>
      <c r="BHF49" s="493"/>
      <c r="BHG49" s="493"/>
      <c r="BHH49" s="493"/>
      <c r="BHI49" s="493"/>
      <c r="BHJ49" s="493"/>
      <c r="BHK49" s="493"/>
      <c r="BHL49" s="493"/>
      <c r="BHM49" s="493"/>
      <c r="BHN49" s="493"/>
      <c r="BHO49" s="493"/>
      <c r="BHP49" s="493"/>
      <c r="BHQ49" s="493"/>
      <c r="BHR49" s="493"/>
      <c r="BHS49" s="493"/>
      <c r="BHT49" s="493"/>
      <c r="BHU49" s="493"/>
      <c r="BHV49" s="493"/>
      <c r="BHW49" s="493"/>
      <c r="BHX49" s="493"/>
      <c r="BHY49" s="493"/>
      <c r="BHZ49" s="493"/>
      <c r="BIA49" s="493"/>
      <c r="BIB49" s="493"/>
      <c r="BIC49" s="493"/>
      <c r="BID49" s="493"/>
      <c r="BIE49" s="493"/>
      <c r="BIF49" s="493"/>
      <c r="BIG49" s="493"/>
      <c r="BIH49" s="493"/>
      <c r="BII49" s="493"/>
      <c r="BIJ49" s="493"/>
      <c r="BIK49" s="493"/>
      <c r="BIL49" s="493"/>
      <c r="BIM49" s="493"/>
      <c r="BIN49" s="493"/>
      <c r="BIO49" s="493"/>
      <c r="BIP49" s="493"/>
      <c r="BIQ49" s="493"/>
      <c r="BIR49" s="493"/>
      <c r="BIS49" s="493"/>
      <c r="BIT49" s="493"/>
      <c r="BIU49" s="493"/>
      <c r="BIV49" s="493"/>
      <c r="BIW49" s="493"/>
      <c r="BIX49" s="493"/>
      <c r="BIY49" s="493"/>
      <c r="BIZ49" s="493"/>
      <c r="BJA49" s="493"/>
      <c r="BJB49" s="493"/>
      <c r="BJC49" s="493"/>
      <c r="BJD49" s="493"/>
      <c r="BJE49" s="493"/>
      <c r="BJF49" s="493"/>
      <c r="BJG49" s="493"/>
      <c r="BJH49" s="493"/>
      <c r="BJI49" s="493"/>
      <c r="BJJ49" s="493"/>
      <c r="BJK49" s="493"/>
      <c r="BJL49" s="493"/>
      <c r="BJM49" s="493"/>
      <c r="BJN49" s="493"/>
      <c r="BJO49" s="493"/>
      <c r="BJP49" s="493"/>
      <c r="BJQ49" s="493"/>
      <c r="BJR49" s="493"/>
      <c r="BJS49" s="493"/>
      <c r="BJT49" s="493"/>
      <c r="BJU49" s="493"/>
      <c r="BJV49" s="493"/>
      <c r="BJW49" s="493"/>
      <c r="BJX49" s="493"/>
      <c r="BJY49" s="493"/>
      <c r="BJZ49" s="493"/>
      <c r="BKA49" s="493"/>
      <c r="BKB49" s="493"/>
      <c r="BKC49" s="493"/>
      <c r="BKD49" s="493"/>
      <c r="BKE49" s="493"/>
      <c r="BKF49" s="493"/>
      <c r="BKG49" s="493"/>
      <c r="BKH49" s="493"/>
      <c r="BKI49" s="493"/>
      <c r="BKJ49" s="493"/>
      <c r="BKK49" s="493"/>
      <c r="BKL49" s="493"/>
      <c r="BKM49" s="493"/>
      <c r="BKN49" s="493"/>
      <c r="BKO49" s="493"/>
      <c r="BKP49" s="493"/>
      <c r="BKQ49" s="493"/>
      <c r="BKR49" s="493"/>
      <c r="BKS49" s="493"/>
      <c r="BKT49" s="493"/>
      <c r="BKU49" s="493"/>
      <c r="BKV49" s="493"/>
      <c r="BKW49" s="493"/>
      <c r="BKX49" s="493"/>
      <c r="BKY49" s="493"/>
      <c r="BKZ49" s="493"/>
      <c r="BLA49" s="493"/>
      <c r="BLB49" s="493"/>
      <c r="BLC49" s="493"/>
      <c r="BLD49" s="493"/>
      <c r="BLE49" s="493"/>
      <c r="BLF49" s="493"/>
      <c r="BLG49" s="493"/>
      <c r="BLH49" s="493"/>
      <c r="BLI49" s="493"/>
      <c r="BLJ49" s="493"/>
      <c r="BLK49" s="493"/>
      <c r="BLL49" s="493"/>
      <c r="BLM49" s="493"/>
      <c r="BLN49" s="493"/>
      <c r="BLO49" s="493"/>
      <c r="BLP49" s="493"/>
      <c r="BLQ49" s="493"/>
      <c r="BLR49" s="493"/>
      <c r="BLS49" s="493"/>
      <c r="BLT49" s="493"/>
      <c r="BLU49" s="493"/>
      <c r="BLV49" s="493"/>
      <c r="BLW49" s="493"/>
      <c r="BLX49" s="493"/>
      <c r="BLY49" s="493"/>
      <c r="BLZ49" s="493"/>
      <c r="BMA49" s="493"/>
      <c r="BMB49" s="493"/>
      <c r="BMC49" s="493"/>
      <c r="BMD49" s="493"/>
      <c r="BME49" s="493"/>
      <c r="BMF49" s="493"/>
      <c r="BMG49" s="493"/>
      <c r="BMH49" s="493"/>
      <c r="BMI49" s="493"/>
      <c r="BMJ49" s="493"/>
      <c r="BMK49" s="493"/>
      <c r="BML49" s="493"/>
      <c r="BMM49" s="493"/>
      <c r="BMN49" s="493"/>
      <c r="BMO49" s="493"/>
      <c r="BMP49" s="493"/>
      <c r="BMQ49" s="493"/>
      <c r="BMR49" s="493"/>
      <c r="BMS49" s="493"/>
      <c r="BMT49" s="493"/>
      <c r="BMU49" s="493"/>
      <c r="BMV49" s="493"/>
      <c r="BMW49" s="493"/>
      <c r="BMX49" s="493"/>
      <c r="BMY49" s="493"/>
      <c r="BMZ49" s="493"/>
      <c r="BNA49" s="493"/>
      <c r="BNB49" s="493"/>
      <c r="BNC49" s="493"/>
      <c r="BND49" s="493"/>
      <c r="BNE49" s="493"/>
      <c r="BNF49" s="493"/>
      <c r="BNG49" s="493"/>
      <c r="BNH49" s="493"/>
      <c r="BNI49" s="493"/>
      <c r="BNJ49" s="493"/>
      <c r="BNK49" s="493"/>
      <c r="BNL49" s="493"/>
      <c r="BNM49" s="493"/>
      <c r="BNN49" s="493"/>
      <c r="BNO49" s="493"/>
      <c r="BNP49" s="493"/>
      <c r="BNQ49" s="493"/>
      <c r="BNR49" s="493"/>
      <c r="BNS49" s="493"/>
      <c r="BNT49" s="493"/>
      <c r="BNU49" s="493"/>
      <c r="BNV49" s="493"/>
      <c r="BNW49" s="493"/>
      <c r="BNX49" s="493"/>
      <c r="BNY49" s="493"/>
      <c r="BNZ49" s="493"/>
      <c r="BOA49" s="493"/>
      <c r="BOB49" s="493"/>
      <c r="BOC49" s="493"/>
      <c r="BOD49" s="493"/>
      <c r="BOE49" s="493"/>
      <c r="BOF49" s="493"/>
      <c r="BOG49" s="493"/>
      <c r="BOH49" s="493"/>
      <c r="BOI49" s="493"/>
      <c r="BOJ49" s="493"/>
      <c r="BOK49" s="493"/>
      <c r="BOL49" s="493"/>
      <c r="BOM49" s="493"/>
      <c r="BON49" s="493"/>
      <c r="BOO49" s="493"/>
      <c r="BOP49" s="493"/>
      <c r="BOQ49" s="493"/>
      <c r="BOR49" s="493"/>
      <c r="BOS49" s="493"/>
      <c r="BOT49" s="493"/>
      <c r="BOU49" s="493"/>
      <c r="BOV49" s="493"/>
      <c r="BOW49" s="493"/>
      <c r="BOX49" s="493"/>
      <c r="BOY49" s="493"/>
      <c r="BOZ49" s="493"/>
      <c r="BPA49" s="493"/>
      <c r="BPB49" s="493"/>
      <c r="BPC49" s="493"/>
      <c r="BPD49" s="493"/>
      <c r="BPE49" s="493"/>
      <c r="BPF49" s="493"/>
      <c r="BPG49" s="493"/>
      <c r="BPH49" s="493"/>
      <c r="BPI49" s="493"/>
      <c r="BPJ49" s="493"/>
      <c r="BPK49" s="493"/>
      <c r="BPL49" s="493"/>
      <c r="BPM49" s="493"/>
      <c r="BPN49" s="493"/>
      <c r="BPO49" s="493"/>
      <c r="BPP49" s="493"/>
      <c r="BPQ49" s="493"/>
      <c r="BPR49" s="493"/>
      <c r="BPS49" s="493"/>
      <c r="BPT49" s="493"/>
      <c r="BPU49" s="493"/>
      <c r="BPV49" s="493"/>
      <c r="BPW49" s="493"/>
      <c r="BPX49" s="493"/>
      <c r="BPY49" s="493"/>
      <c r="BPZ49" s="493"/>
      <c r="BQA49" s="493"/>
      <c r="BQB49" s="493"/>
      <c r="BQC49" s="493"/>
      <c r="BQD49" s="493"/>
      <c r="BQE49" s="493"/>
      <c r="BQF49" s="493"/>
      <c r="BQG49" s="493"/>
      <c r="BQH49" s="493"/>
      <c r="BQI49" s="493"/>
      <c r="BQJ49" s="493"/>
      <c r="BQK49" s="493"/>
      <c r="BQL49" s="493"/>
      <c r="BQM49" s="493"/>
      <c r="BQN49" s="493"/>
      <c r="BQO49" s="493"/>
      <c r="BQP49" s="493"/>
      <c r="BQQ49" s="493"/>
      <c r="BQR49" s="493"/>
      <c r="BQS49" s="493"/>
      <c r="BQT49" s="493"/>
      <c r="BQU49" s="493"/>
      <c r="BQV49" s="493"/>
      <c r="BQW49" s="493"/>
      <c r="BQX49" s="493"/>
      <c r="BQY49" s="493"/>
      <c r="BQZ49" s="493"/>
      <c r="BRA49" s="493"/>
      <c r="BRB49" s="493"/>
      <c r="BRC49" s="493"/>
      <c r="BRD49" s="493"/>
      <c r="BRE49" s="493"/>
      <c r="BRF49" s="493"/>
      <c r="BRG49" s="493"/>
      <c r="BRH49" s="493"/>
      <c r="BRI49" s="493"/>
      <c r="BRJ49" s="493"/>
      <c r="BRK49" s="493"/>
      <c r="BRL49" s="493"/>
      <c r="BRM49" s="493"/>
      <c r="BRN49" s="493"/>
      <c r="BRO49" s="493"/>
      <c r="BRP49" s="493"/>
      <c r="BRQ49" s="493"/>
      <c r="BRR49" s="493"/>
      <c r="BRS49" s="493"/>
      <c r="BRT49" s="493"/>
      <c r="BRU49" s="493"/>
      <c r="BRV49" s="493"/>
      <c r="BRW49" s="493"/>
      <c r="BRX49" s="493"/>
      <c r="BRY49" s="493"/>
      <c r="BRZ49" s="493"/>
      <c r="BSA49" s="493"/>
      <c r="BSB49" s="493"/>
      <c r="BSC49" s="493"/>
      <c r="BSD49" s="493"/>
      <c r="BSE49" s="493"/>
      <c r="BSF49" s="493"/>
      <c r="BSG49" s="493"/>
      <c r="BSH49" s="493"/>
      <c r="BSI49" s="493"/>
      <c r="BSJ49" s="493"/>
      <c r="BSK49" s="493"/>
      <c r="BSL49" s="493"/>
      <c r="BSM49" s="493"/>
      <c r="BSN49" s="493"/>
      <c r="BSO49" s="493"/>
      <c r="BSP49" s="493"/>
      <c r="BSQ49" s="493"/>
      <c r="BSR49" s="493"/>
      <c r="BSS49" s="493"/>
      <c r="BST49" s="493"/>
      <c r="BSU49" s="493"/>
      <c r="BSV49" s="493"/>
      <c r="BSW49" s="493"/>
      <c r="BSX49" s="493"/>
      <c r="BSY49" s="493"/>
      <c r="BSZ49" s="493"/>
      <c r="BTA49" s="493"/>
      <c r="BTB49" s="493"/>
      <c r="BTC49" s="493"/>
      <c r="BTD49" s="493"/>
      <c r="BTE49" s="493"/>
      <c r="BTF49" s="493"/>
      <c r="BTG49" s="493"/>
      <c r="BTH49" s="493"/>
      <c r="BTI49" s="493"/>
      <c r="BTJ49" s="493"/>
      <c r="BTK49" s="493"/>
      <c r="BTL49" s="493"/>
      <c r="BTM49" s="493"/>
      <c r="BTN49" s="493"/>
      <c r="BTO49" s="493"/>
      <c r="BTP49" s="493"/>
      <c r="BTQ49" s="493"/>
      <c r="BTR49" s="493"/>
      <c r="BTS49" s="493"/>
      <c r="BTT49" s="493"/>
      <c r="BTU49" s="493"/>
      <c r="BTV49" s="493"/>
      <c r="BTW49" s="493"/>
      <c r="BTX49" s="493"/>
      <c r="BTY49" s="493"/>
      <c r="BTZ49" s="493"/>
      <c r="BUA49" s="493"/>
      <c r="BUB49" s="493"/>
      <c r="BUC49" s="493"/>
      <c r="BUD49" s="493"/>
      <c r="BUE49" s="493"/>
      <c r="BUF49" s="493"/>
      <c r="BUG49" s="493"/>
      <c r="BUH49" s="493"/>
      <c r="BUI49" s="493"/>
      <c r="BUJ49" s="493"/>
      <c r="BUK49" s="493"/>
      <c r="BUL49" s="493"/>
      <c r="BUM49" s="493"/>
      <c r="BUN49" s="493"/>
      <c r="BUO49" s="493"/>
      <c r="BUP49" s="493"/>
      <c r="BUQ49" s="493"/>
      <c r="BUR49" s="493"/>
      <c r="BUS49" s="493"/>
      <c r="BUT49" s="493"/>
      <c r="BUU49" s="493"/>
      <c r="BUV49" s="493"/>
      <c r="BUW49" s="493"/>
      <c r="BUX49" s="493"/>
      <c r="BUY49" s="493"/>
      <c r="BUZ49" s="493"/>
      <c r="BVA49" s="493"/>
      <c r="BVB49" s="493"/>
      <c r="BVC49" s="493"/>
      <c r="BVD49" s="493"/>
      <c r="BVE49" s="493"/>
      <c r="BVF49" s="493"/>
      <c r="BVG49" s="493"/>
      <c r="BVH49" s="493"/>
      <c r="BVI49" s="493"/>
      <c r="BVJ49" s="493"/>
      <c r="BVK49" s="493"/>
      <c r="BVL49" s="493"/>
      <c r="BVM49" s="493"/>
      <c r="BVN49" s="493"/>
      <c r="BVO49" s="493"/>
      <c r="BVP49" s="493"/>
      <c r="BVQ49" s="493"/>
      <c r="BVR49" s="493"/>
      <c r="BVS49" s="493"/>
      <c r="BVT49" s="493"/>
      <c r="BVU49" s="493"/>
      <c r="BVV49" s="493"/>
      <c r="BVW49" s="493"/>
      <c r="BVX49" s="493"/>
      <c r="BVY49" s="493"/>
      <c r="BVZ49" s="493"/>
      <c r="BWA49" s="493"/>
      <c r="BWB49" s="493"/>
      <c r="BWC49" s="493"/>
      <c r="BWD49" s="493"/>
      <c r="BWE49" s="493"/>
      <c r="BWF49" s="493"/>
      <c r="BWG49" s="493"/>
      <c r="BWH49" s="493"/>
      <c r="BWI49" s="493"/>
      <c r="BWJ49" s="493"/>
      <c r="BWK49" s="493"/>
      <c r="BWL49" s="493"/>
      <c r="BWM49" s="493"/>
      <c r="BWN49" s="493"/>
      <c r="BWO49" s="493"/>
      <c r="BWP49" s="493"/>
      <c r="BWQ49" s="493"/>
      <c r="BWR49" s="493"/>
      <c r="BWS49" s="493"/>
      <c r="BWT49" s="493"/>
      <c r="BWU49" s="493"/>
      <c r="BWV49" s="493"/>
      <c r="BWW49" s="493"/>
      <c r="BWX49" s="493"/>
      <c r="BWY49" s="493"/>
      <c r="BWZ49" s="493"/>
      <c r="BXA49" s="493"/>
      <c r="BXB49" s="493"/>
      <c r="BXC49" s="493"/>
      <c r="BXD49" s="493"/>
      <c r="BXE49" s="493"/>
      <c r="BXF49" s="493"/>
      <c r="BXG49" s="493"/>
      <c r="BXH49" s="493"/>
      <c r="BXI49" s="493"/>
      <c r="BXJ49" s="493"/>
      <c r="BXK49" s="493"/>
      <c r="BXL49" s="493"/>
      <c r="BXM49" s="493"/>
      <c r="BXN49" s="493"/>
      <c r="BXO49" s="493"/>
      <c r="BXP49" s="493"/>
      <c r="BXQ49" s="493"/>
      <c r="BXR49" s="493"/>
      <c r="BXS49" s="493"/>
      <c r="BXT49" s="493"/>
      <c r="BXU49" s="493"/>
      <c r="BXV49" s="493"/>
      <c r="BXW49" s="493"/>
      <c r="BXX49" s="493"/>
      <c r="BXY49" s="493"/>
      <c r="BXZ49" s="493"/>
      <c r="BYA49" s="493"/>
      <c r="BYB49" s="493"/>
      <c r="BYC49" s="493"/>
      <c r="BYD49" s="493"/>
      <c r="BYE49" s="493"/>
      <c r="BYF49" s="493"/>
      <c r="BYG49" s="493"/>
      <c r="BYH49" s="493"/>
      <c r="BYI49" s="493"/>
      <c r="BYJ49" s="493"/>
      <c r="BYK49" s="493"/>
      <c r="BYL49" s="493"/>
      <c r="BYM49" s="493"/>
      <c r="BYN49" s="493"/>
      <c r="BYO49" s="493"/>
      <c r="BYP49" s="493"/>
      <c r="BYQ49" s="493"/>
      <c r="BYR49" s="493"/>
      <c r="BYS49" s="493"/>
      <c r="BYT49" s="493"/>
      <c r="BYU49" s="493"/>
      <c r="BYV49" s="493"/>
      <c r="BYW49" s="493"/>
      <c r="BYX49" s="493"/>
      <c r="BYY49" s="493"/>
      <c r="BYZ49" s="493"/>
      <c r="BZA49" s="493"/>
      <c r="BZB49" s="493"/>
      <c r="BZC49" s="493"/>
      <c r="BZD49" s="493"/>
      <c r="BZE49" s="493"/>
      <c r="BZF49" s="493"/>
      <c r="BZG49" s="493"/>
      <c r="BZH49" s="493"/>
      <c r="BZI49" s="493"/>
      <c r="BZJ49" s="493"/>
      <c r="BZK49" s="493"/>
      <c r="BZL49" s="493"/>
      <c r="BZM49" s="493"/>
      <c r="BZN49" s="493"/>
      <c r="BZO49" s="493"/>
      <c r="BZP49" s="493"/>
      <c r="BZQ49" s="493"/>
      <c r="BZR49" s="493"/>
      <c r="BZS49" s="493"/>
      <c r="BZT49" s="493"/>
      <c r="BZU49" s="493"/>
      <c r="BZV49" s="493"/>
      <c r="BZW49" s="493"/>
      <c r="BZX49" s="493"/>
      <c r="BZY49" s="493"/>
      <c r="BZZ49" s="493"/>
      <c r="CAA49" s="493"/>
      <c r="CAB49" s="493"/>
      <c r="CAC49" s="493"/>
      <c r="CAD49" s="493"/>
      <c r="CAE49" s="493"/>
      <c r="CAF49" s="493"/>
      <c r="CAG49" s="493"/>
      <c r="CAH49" s="493"/>
      <c r="CAI49" s="493"/>
      <c r="CAJ49" s="493"/>
      <c r="CAK49" s="493"/>
      <c r="CAL49" s="493"/>
      <c r="CAM49" s="493"/>
      <c r="CAN49" s="493"/>
      <c r="CAO49" s="493"/>
      <c r="CAP49" s="493"/>
      <c r="CAQ49" s="493"/>
      <c r="CAR49" s="493"/>
      <c r="CAS49" s="493"/>
      <c r="CAT49" s="493"/>
      <c r="CAU49" s="493"/>
      <c r="CAV49" s="493"/>
      <c r="CAW49" s="493"/>
      <c r="CAX49" s="493"/>
      <c r="CAY49" s="493"/>
      <c r="CAZ49" s="493"/>
      <c r="CBA49" s="493"/>
      <c r="CBB49" s="493"/>
      <c r="CBC49" s="493"/>
      <c r="CBD49" s="493"/>
      <c r="CBE49" s="493"/>
      <c r="CBF49" s="493"/>
      <c r="CBG49" s="493"/>
      <c r="CBH49" s="493"/>
      <c r="CBI49" s="493"/>
      <c r="CBJ49" s="493"/>
      <c r="CBK49" s="493"/>
      <c r="CBL49" s="493"/>
      <c r="CBM49" s="493"/>
      <c r="CBN49" s="493"/>
      <c r="CBO49" s="493"/>
      <c r="CBP49" s="493"/>
      <c r="CBQ49" s="493"/>
      <c r="CBR49" s="493"/>
      <c r="CBS49" s="493"/>
      <c r="CBT49" s="493"/>
      <c r="CBU49" s="493"/>
      <c r="CBV49" s="493"/>
      <c r="CBW49" s="493"/>
      <c r="CBX49" s="493"/>
      <c r="CBY49" s="493"/>
      <c r="CBZ49" s="493"/>
      <c r="CCA49" s="493"/>
      <c r="CCB49" s="493"/>
      <c r="CCC49" s="493"/>
      <c r="CCD49" s="493"/>
      <c r="CCE49" s="493"/>
      <c r="CCF49" s="493"/>
      <c r="CCG49" s="493"/>
      <c r="CCH49" s="493"/>
      <c r="CCI49" s="493"/>
      <c r="CCJ49" s="493"/>
      <c r="CCK49" s="493"/>
      <c r="CCL49" s="493"/>
      <c r="CCM49" s="493"/>
      <c r="CCN49" s="493"/>
      <c r="CCO49" s="493"/>
      <c r="CCP49" s="493"/>
      <c r="CCQ49" s="493"/>
      <c r="CCR49" s="493"/>
      <c r="CCS49" s="493"/>
      <c r="CCT49" s="493"/>
      <c r="CCU49" s="493"/>
      <c r="CCV49" s="493"/>
      <c r="CCW49" s="493"/>
      <c r="CCX49" s="493"/>
      <c r="CCY49" s="493"/>
      <c r="CCZ49" s="493"/>
      <c r="CDA49" s="493"/>
      <c r="CDB49" s="493"/>
      <c r="CDC49" s="493"/>
      <c r="CDD49" s="493"/>
      <c r="CDE49" s="493"/>
      <c r="CDF49" s="493"/>
      <c r="CDG49" s="493"/>
      <c r="CDH49" s="493"/>
      <c r="CDI49" s="493"/>
      <c r="CDJ49" s="493"/>
      <c r="CDK49" s="493"/>
      <c r="CDL49" s="493"/>
      <c r="CDM49" s="493"/>
      <c r="CDN49" s="493"/>
      <c r="CDO49" s="493"/>
      <c r="CDP49" s="493"/>
      <c r="CDQ49" s="493"/>
      <c r="CDR49" s="493"/>
      <c r="CDS49" s="493"/>
      <c r="CDT49" s="493"/>
      <c r="CDU49" s="493"/>
      <c r="CDV49" s="493"/>
      <c r="CDW49" s="493"/>
      <c r="CDX49" s="493"/>
      <c r="CDY49" s="493"/>
      <c r="CDZ49" s="493"/>
      <c r="CEA49" s="493"/>
      <c r="CEB49" s="493"/>
      <c r="CEC49" s="493"/>
      <c r="CED49" s="493"/>
      <c r="CEE49" s="493"/>
      <c r="CEF49" s="493"/>
      <c r="CEG49" s="493"/>
      <c r="CEH49" s="493"/>
      <c r="CEI49" s="493"/>
      <c r="CEJ49" s="493"/>
      <c r="CEK49" s="493"/>
      <c r="CEL49" s="493"/>
      <c r="CEM49" s="493"/>
      <c r="CEN49" s="493"/>
      <c r="CEO49" s="493"/>
      <c r="CEP49" s="493"/>
      <c r="CEQ49" s="493"/>
      <c r="CER49" s="493"/>
      <c r="CES49" s="493"/>
      <c r="CET49" s="493"/>
      <c r="CEU49" s="493"/>
      <c r="CEV49" s="493"/>
      <c r="CEW49" s="493"/>
      <c r="CEX49" s="493"/>
      <c r="CEY49" s="493"/>
      <c r="CEZ49" s="493"/>
      <c r="CFA49" s="493"/>
      <c r="CFB49" s="493"/>
      <c r="CFC49" s="493"/>
      <c r="CFD49" s="493"/>
      <c r="CFE49" s="493"/>
      <c r="CFF49" s="493"/>
      <c r="CFG49" s="493"/>
      <c r="CFH49" s="493"/>
      <c r="CFI49" s="493"/>
      <c r="CFJ49" s="493"/>
      <c r="CFK49" s="493"/>
      <c r="CFL49" s="493"/>
      <c r="CFM49" s="493"/>
      <c r="CFN49" s="493"/>
      <c r="CFO49" s="493"/>
      <c r="CFP49" s="493"/>
      <c r="CFQ49" s="493"/>
      <c r="CFR49" s="493"/>
      <c r="CFS49" s="493"/>
      <c r="CFT49" s="493"/>
      <c r="CFU49" s="493"/>
      <c r="CFV49" s="493"/>
      <c r="CFW49" s="493"/>
      <c r="CFX49" s="493"/>
      <c r="CFY49" s="493"/>
      <c r="CFZ49" s="493"/>
      <c r="CGA49" s="493"/>
      <c r="CGB49" s="493"/>
      <c r="CGC49" s="493"/>
      <c r="CGD49" s="493"/>
      <c r="CGE49" s="493"/>
      <c r="CGF49" s="493"/>
      <c r="CGG49" s="493"/>
      <c r="CGH49" s="493"/>
      <c r="CGI49" s="493"/>
      <c r="CGJ49" s="493"/>
      <c r="CGK49" s="493"/>
      <c r="CGL49" s="493"/>
      <c r="CGM49" s="493"/>
      <c r="CGN49" s="493"/>
      <c r="CGO49" s="493"/>
      <c r="CGP49" s="493"/>
      <c r="CGQ49" s="493"/>
      <c r="CGR49" s="493"/>
      <c r="CGS49" s="493"/>
      <c r="CGT49" s="493"/>
      <c r="CGU49" s="493"/>
      <c r="CGV49" s="493"/>
      <c r="CGW49" s="493"/>
      <c r="CGX49" s="493"/>
      <c r="CGY49" s="493"/>
      <c r="CGZ49" s="493"/>
      <c r="CHA49" s="493"/>
      <c r="CHB49" s="493"/>
      <c r="CHC49" s="493"/>
      <c r="CHD49" s="493"/>
      <c r="CHE49" s="493"/>
      <c r="CHF49" s="493"/>
      <c r="CHG49" s="493"/>
      <c r="CHH49" s="493"/>
      <c r="CHI49" s="493"/>
      <c r="CHJ49" s="493"/>
      <c r="CHK49" s="493"/>
      <c r="CHL49" s="493"/>
      <c r="CHM49" s="493"/>
      <c r="CHN49" s="493"/>
      <c r="CHO49" s="493"/>
      <c r="CHP49" s="493"/>
      <c r="CHQ49" s="493"/>
      <c r="CHR49" s="493"/>
      <c r="CHS49" s="493"/>
      <c r="CHT49" s="493"/>
      <c r="CHU49" s="493"/>
      <c r="CHV49" s="493"/>
      <c r="CHW49" s="493"/>
      <c r="CHX49" s="493"/>
      <c r="CHY49" s="493"/>
      <c r="CHZ49" s="493"/>
      <c r="CIA49" s="493"/>
      <c r="CIB49" s="493"/>
      <c r="CIC49" s="493"/>
      <c r="CID49" s="493"/>
      <c r="CIE49" s="493"/>
      <c r="CIF49" s="493"/>
      <c r="CIG49" s="493"/>
      <c r="CIH49" s="493"/>
      <c r="CII49" s="493"/>
      <c r="CIJ49" s="493"/>
      <c r="CIK49" s="493"/>
      <c r="CIL49" s="493"/>
      <c r="CIM49" s="493"/>
      <c r="CIN49" s="493"/>
      <c r="CIO49" s="493"/>
      <c r="CIP49" s="493"/>
      <c r="CIQ49" s="493"/>
      <c r="CIR49" s="493"/>
      <c r="CIS49" s="493"/>
      <c r="CIT49" s="493"/>
      <c r="CIU49" s="493"/>
      <c r="CIV49" s="493"/>
      <c r="CIW49" s="493"/>
      <c r="CIX49" s="493"/>
      <c r="CIY49" s="493"/>
      <c r="CIZ49" s="493"/>
      <c r="CJA49" s="493"/>
      <c r="CJB49" s="493"/>
      <c r="CJC49" s="493"/>
      <c r="CJD49" s="493"/>
      <c r="CJE49" s="493"/>
      <c r="CJF49" s="493"/>
      <c r="CJG49" s="493"/>
      <c r="CJH49" s="493"/>
      <c r="CJI49" s="493"/>
      <c r="CJJ49" s="493"/>
      <c r="CJK49" s="493"/>
      <c r="CJL49" s="493"/>
      <c r="CJM49" s="493"/>
      <c r="CJN49" s="493"/>
      <c r="CJO49" s="493"/>
      <c r="CJP49" s="493"/>
      <c r="CJQ49" s="493"/>
      <c r="CJR49" s="493"/>
      <c r="CJS49" s="493"/>
      <c r="CJT49" s="493"/>
      <c r="CJU49" s="493"/>
      <c r="CJV49" s="493"/>
      <c r="CJW49" s="493"/>
      <c r="CJX49" s="493"/>
      <c r="CJY49" s="493"/>
      <c r="CJZ49" s="493"/>
      <c r="CKA49" s="493"/>
      <c r="CKB49" s="493"/>
      <c r="CKC49" s="493"/>
      <c r="CKD49" s="493"/>
      <c r="CKE49" s="493"/>
      <c r="CKF49" s="493"/>
      <c r="CKG49" s="493"/>
      <c r="CKH49" s="493"/>
      <c r="CKI49" s="493"/>
      <c r="CKJ49" s="493"/>
      <c r="CKK49" s="493"/>
      <c r="CKL49" s="493"/>
      <c r="CKM49" s="493"/>
      <c r="CKN49" s="493"/>
      <c r="CKO49" s="493"/>
      <c r="CKP49" s="493"/>
      <c r="CKQ49" s="493"/>
      <c r="CKR49" s="493"/>
      <c r="CKS49" s="493"/>
      <c r="CKT49" s="493"/>
      <c r="CKU49" s="493"/>
      <c r="CKV49" s="493"/>
      <c r="CKW49" s="493"/>
      <c r="CKX49" s="493"/>
      <c r="CKY49" s="493"/>
      <c r="CKZ49" s="493"/>
      <c r="CLA49" s="493"/>
      <c r="CLB49" s="493"/>
      <c r="CLC49" s="493"/>
      <c r="CLD49" s="493"/>
      <c r="CLE49" s="493"/>
      <c r="CLF49" s="493"/>
      <c r="CLG49" s="493"/>
      <c r="CLH49" s="493"/>
      <c r="CLI49" s="493"/>
      <c r="CLJ49" s="493"/>
      <c r="CLK49" s="493"/>
      <c r="CLL49" s="493"/>
      <c r="CLM49" s="493"/>
      <c r="CLN49" s="493"/>
      <c r="CLO49" s="493"/>
      <c r="CLP49" s="493"/>
      <c r="CLQ49" s="493"/>
      <c r="CLR49" s="493"/>
      <c r="CLS49" s="493"/>
      <c r="CLT49" s="493"/>
      <c r="CLU49" s="493"/>
      <c r="CLV49" s="493"/>
      <c r="CLW49" s="493"/>
      <c r="CLX49" s="493"/>
      <c r="CLY49" s="493"/>
      <c r="CLZ49" s="493"/>
      <c r="CMA49" s="493"/>
      <c r="CMB49" s="493"/>
      <c r="CMC49" s="493"/>
      <c r="CMD49" s="493"/>
      <c r="CME49" s="493"/>
      <c r="CMF49" s="493"/>
      <c r="CMG49" s="493"/>
      <c r="CMH49" s="493"/>
      <c r="CMI49" s="493"/>
      <c r="CMJ49" s="493"/>
      <c r="CMK49" s="493"/>
      <c r="CML49" s="493"/>
      <c r="CMM49" s="493"/>
      <c r="CMN49" s="493"/>
      <c r="CMO49" s="493"/>
      <c r="CMP49" s="493"/>
      <c r="CMQ49" s="493"/>
      <c r="CMR49" s="493"/>
      <c r="CMS49" s="493"/>
      <c r="CMT49" s="493"/>
      <c r="CMU49" s="493"/>
      <c r="CMV49" s="493"/>
      <c r="CMW49" s="493"/>
      <c r="CMX49" s="493"/>
      <c r="CMY49" s="493"/>
      <c r="CMZ49" s="493"/>
      <c r="CNA49" s="493"/>
      <c r="CNB49" s="493"/>
      <c r="CNC49" s="493"/>
      <c r="CND49" s="493"/>
      <c r="CNE49" s="493"/>
      <c r="CNF49" s="493"/>
      <c r="CNG49" s="493"/>
      <c r="CNH49" s="493"/>
      <c r="CNI49" s="493"/>
      <c r="CNJ49" s="493"/>
      <c r="CNK49" s="493"/>
      <c r="CNL49" s="493"/>
      <c r="CNM49" s="493"/>
      <c r="CNN49" s="493"/>
      <c r="CNO49" s="493"/>
      <c r="CNP49" s="493"/>
      <c r="CNQ49" s="493"/>
      <c r="CNR49" s="493"/>
      <c r="CNS49" s="493"/>
      <c r="CNT49" s="493"/>
      <c r="CNU49" s="493"/>
      <c r="CNV49" s="493"/>
      <c r="CNW49" s="493"/>
      <c r="CNX49" s="493"/>
      <c r="CNY49" s="493"/>
      <c r="CNZ49" s="493"/>
      <c r="COA49" s="493"/>
      <c r="COB49" s="493"/>
      <c r="COC49" s="493"/>
      <c r="COD49" s="493"/>
      <c r="COE49" s="493"/>
      <c r="COF49" s="493"/>
      <c r="COG49" s="493"/>
      <c r="COH49" s="493"/>
      <c r="COI49" s="493"/>
      <c r="COJ49" s="493"/>
      <c r="COK49" s="493"/>
      <c r="COL49" s="493"/>
      <c r="COM49" s="493"/>
      <c r="CON49" s="493"/>
      <c r="COO49" s="493"/>
      <c r="COP49" s="493"/>
      <c r="COQ49" s="493"/>
      <c r="COR49" s="493"/>
      <c r="COS49" s="493"/>
      <c r="COT49" s="493"/>
      <c r="COU49" s="493"/>
      <c r="COV49" s="493"/>
      <c r="COW49" s="493"/>
      <c r="COX49" s="493"/>
      <c r="COY49" s="493"/>
      <c r="COZ49" s="493"/>
      <c r="CPA49" s="493"/>
      <c r="CPB49" s="493"/>
      <c r="CPC49" s="493"/>
      <c r="CPD49" s="493"/>
      <c r="CPE49" s="493"/>
      <c r="CPF49" s="493"/>
      <c r="CPG49" s="493"/>
      <c r="CPH49" s="493"/>
      <c r="CPI49" s="493"/>
      <c r="CPJ49" s="493"/>
      <c r="CPK49" s="493"/>
      <c r="CPL49" s="493"/>
      <c r="CPM49" s="493"/>
      <c r="CPN49" s="493"/>
      <c r="CPO49" s="493"/>
      <c r="CPP49" s="493"/>
      <c r="CPQ49" s="493"/>
      <c r="CPR49" s="493"/>
      <c r="CPS49" s="493"/>
      <c r="CPT49" s="493"/>
      <c r="CPU49" s="493"/>
      <c r="CPV49" s="493"/>
      <c r="CPW49" s="493"/>
      <c r="CPX49" s="493"/>
      <c r="CPY49" s="493"/>
      <c r="CPZ49" s="493"/>
      <c r="CQA49" s="493"/>
      <c r="CQB49" s="493"/>
      <c r="CQC49" s="493"/>
      <c r="CQD49" s="493"/>
      <c r="CQE49" s="493"/>
      <c r="CQF49" s="493"/>
      <c r="CQG49" s="493"/>
      <c r="CQH49" s="493"/>
      <c r="CQI49" s="493"/>
      <c r="CQJ49" s="493"/>
      <c r="CQK49" s="493"/>
      <c r="CQL49" s="493"/>
      <c r="CQM49" s="493"/>
      <c r="CQN49" s="493"/>
      <c r="CQO49" s="493"/>
      <c r="CQP49" s="493"/>
      <c r="CQQ49" s="493"/>
      <c r="CQR49" s="493"/>
      <c r="CQS49" s="493"/>
      <c r="CQT49" s="493"/>
      <c r="CQU49" s="493"/>
      <c r="CQV49" s="493"/>
      <c r="CQW49" s="493"/>
      <c r="CQX49" s="493"/>
      <c r="CQY49" s="493"/>
      <c r="CQZ49" s="493"/>
      <c r="CRA49" s="493"/>
      <c r="CRB49" s="493"/>
      <c r="CRC49" s="493"/>
      <c r="CRD49" s="493"/>
      <c r="CRE49" s="493"/>
      <c r="CRF49" s="493"/>
      <c r="CRG49" s="493"/>
      <c r="CRH49" s="493"/>
      <c r="CRI49" s="493"/>
      <c r="CRJ49" s="493"/>
      <c r="CRK49" s="493"/>
      <c r="CRL49" s="493"/>
      <c r="CRM49" s="493"/>
      <c r="CRN49" s="493"/>
      <c r="CRO49" s="493"/>
      <c r="CRP49" s="493"/>
      <c r="CRQ49" s="493"/>
      <c r="CRR49" s="493"/>
      <c r="CRS49" s="493"/>
      <c r="CRT49" s="493"/>
      <c r="CRU49" s="493"/>
      <c r="CRV49" s="493"/>
      <c r="CRW49" s="493"/>
      <c r="CRX49" s="493"/>
      <c r="CRY49" s="493"/>
      <c r="CRZ49" s="493"/>
      <c r="CSA49" s="493"/>
      <c r="CSB49" s="493"/>
      <c r="CSC49" s="493"/>
      <c r="CSD49" s="493"/>
      <c r="CSE49" s="493"/>
      <c r="CSF49" s="493"/>
      <c r="CSG49" s="493"/>
      <c r="CSH49" s="493"/>
      <c r="CSI49" s="493"/>
      <c r="CSJ49" s="493"/>
      <c r="CSK49" s="493"/>
      <c r="CSL49" s="493"/>
      <c r="CSM49" s="493"/>
      <c r="CSN49" s="493"/>
      <c r="CSO49" s="493"/>
      <c r="CSP49" s="493"/>
      <c r="CSQ49" s="493"/>
      <c r="CSR49" s="493"/>
      <c r="CSS49" s="493"/>
      <c r="CST49" s="493"/>
      <c r="CSU49" s="493"/>
      <c r="CSV49" s="493"/>
      <c r="CSW49" s="493"/>
      <c r="CSX49" s="493"/>
      <c r="CSY49" s="493"/>
      <c r="CSZ49" s="493"/>
      <c r="CTA49" s="493"/>
      <c r="CTB49" s="493"/>
      <c r="CTC49" s="493"/>
      <c r="CTD49" s="493"/>
      <c r="CTE49" s="493"/>
      <c r="CTF49" s="493"/>
      <c r="CTG49" s="493"/>
      <c r="CTH49" s="493"/>
      <c r="CTI49" s="493"/>
      <c r="CTJ49" s="493"/>
      <c r="CTK49" s="493"/>
      <c r="CTL49" s="493"/>
      <c r="CTM49" s="493"/>
      <c r="CTN49" s="493"/>
      <c r="CTO49" s="493"/>
      <c r="CTP49" s="493"/>
      <c r="CTQ49" s="493"/>
      <c r="CTR49" s="493"/>
      <c r="CTS49" s="493"/>
      <c r="CTT49" s="493"/>
      <c r="CTU49" s="493"/>
      <c r="CTV49" s="493"/>
      <c r="CTW49" s="493"/>
      <c r="CTX49" s="493"/>
      <c r="CTY49" s="493"/>
      <c r="CTZ49" s="493"/>
      <c r="CUA49" s="493"/>
      <c r="CUB49" s="493"/>
      <c r="CUC49" s="493"/>
      <c r="CUD49" s="493"/>
      <c r="CUE49" s="493"/>
      <c r="CUF49" s="493"/>
      <c r="CUG49" s="493"/>
      <c r="CUH49" s="493"/>
      <c r="CUI49" s="493"/>
      <c r="CUJ49" s="493"/>
      <c r="CUK49" s="493"/>
      <c r="CUL49" s="493"/>
      <c r="CUM49" s="493"/>
      <c r="CUN49" s="493"/>
      <c r="CUO49" s="493"/>
      <c r="CUP49" s="493"/>
      <c r="CUQ49" s="493"/>
      <c r="CUR49" s="493"/>
      <c r="CUS49" s="493"/>
      <c r="CUT49" s="493"/>
      <c r="CUU49" s="493"/>
      <c r="CUV49" s="493"/>
      <c r="CUW49" s="493"/>
      <c r="CUX49" s="493"/>
      <c r="CUY49" s="493"/>
      <c r="CUZ49" s="493"/>
      <c r="CVA49" s="493"/>
      <c r="CVB49" s="493"/>
      <c r="CVC49" s="493"/>
      <c r="CVD49" s="493"/>
      <c r="CVE49" s="493"/>
      <c r="CVF49" s="493"/>
      <c r="CVG49" s="493"/>
      <c r="CVH49" s="493"/>
      <c r="CVI49" s="493"/>
      <c r="CVJ49" s="493"/>
      <c r="CVK49" s="493"/>
      <c r="CVL49" s="493"/>
      <c r="CVM49" s="493"/>
      <c r="CVN49" s="493"/>
      <c r="CVO49" s="493"/>
      <c r="CVP49" s="493"/>
      <c r="CVQ49" s="493"/>
      <c r="CVR49" s="493"/>
      <c r="CVS49" s="493"/>
      <c r="CVT49" s="493"/>
      <c r="CVU49" s="493"/>
      <c r="CVV49" s="493"/>
      <c r="CVW49" s="493"/>
      <c r="CVX49" s="493"/>
      <c r="CVY49" s="493"/>
      <c r="CVZ49" s="493"/>
      <c r="CWA49" s="493"/>
      <c r="CWB49" s="493"/>
      <c r="CWC49" s="493"/>
      <c r="CWD49" s="493"/>
      <c r="CWE49" s="493"/>
      <c r="CWF49" s="493"/>
      <c r="CWG49" s="493"/>
      <c r="CWH49" s="493"/>
      <c r="CWI49" s="493"/>
      <c r="CWJ49" s="493"/>
      <c r="CWK49" s="493"/>
      <c r="CWL49" s="493"/>
      <c r="CWM49" s="493"/>
      <c r="CWN49" s="493"/>
      <c r="CWO49" s="493"/>
      <c r="CWP49" s="493"/>
      <c r="CWQ49" s="493"/>
      <c r="CWR49" s="493"/>
      <c r="CWS49" s="493"/>
      <c r="CWT49" s="493"/>
      <c r="CWU49" s="493"/>
      <c r="CWV49" s="493"/>
      <c r="CWW49" s="493"/>
      <c r="CWX49" s="493"/>
      <c r="CWY49" s="493"/>
      <c r="CWZ49" s="493"/>
      <c r="CXA49" s="493"/>
      <c r="CXB49" s="493"/>
      <c r="CXC49" s="493"/>
      <c r="CXD49" s="493"/>
      <c r="CXE49" s="493"/>
      <c r="CXF49" s="493"/>
      <c r="CXG49" s="493"/>
      <c r="CXH49" s="493"/>
      <c r="CXI49" s="493"/>
      <c r="CXJ49" s="493"/>
      <c r="CXK49" s="493"/>
      <c r="CXL49" s="493"/>
      <c r="CXM49" s="493"/>
      <c r="CXN49" s="493"/>
      <c r="CXO49" s="493"/>
      <c r="CXP49" s="493"/>
      <c r="CXQ49" s="493"/>
      <c r="CXR49" s="493"/>
      <c r="CXS49" s="493"/>
      <c r="CXT49" s="493"/>
      <c r="CXU49" s="493"/>
      <c r="CXV49" s="493"/>
      <c r="CXW49" s="493"/>
      <c r="CXX49" s="493"/>
      <c r="CXY49" s="493"/>
      <c r="CXZ49" s="493"/>
      <c r="CYA49" s="493"/>
      <c r="CYB49" s="493"/>
      <c r="CYC49" s="493"/>
      <c r="CYD49" s="493"/>
      <c r="CYE49" s="493"/>
      <c r="CYF49" s="493"/>
      <c r="CYG49" s="493"/>
      <c r="CYH49" s="493"/>
      <c r="CYI49" s="493"/>
      <c r="CYJ49" s="493"/>
      <c r="CYK49" s="493"/>
      <c r="CYL49" s="493"/>
      <c r="CYM49" s="493"/>
      <c r="CYN49" s="493"/>
      <c r="CYO49" s="493"/>
      <c r="CYP49" s="493"/>
      <c r="CYQ49" s="493"/>
      <c r="CYR49" s="493"/>
      <c r="CYS49" s="493"/>
      <c r="CYT49" s="493"/>
      <c r="CYU49" s="493"/>
      <c r="CYV49" s="493"/>
      <c r="CYW49" s="493"/>
      <c r="CYX49" s="493"/>
      <c r="CYY49" s="493"/>
      <c r="CYZ49" s="493"/>
      <c r="CZA49" s="493"/>
      <c r="CZB49" s="493"/>
      <c r="CZC49" s="493"/>
      <c r="CZD49" s="493"/>
      <c r="CZE49" s="493"/>
      <c r="CZF49" s="493"/>
      <c r="CZG49" s="493"/>
      <c r="CZH49" s="493"/>
      <c r="CZI49" s="493"/>
      <c r="CZJ49" s="493"/>
      <c r="CZK49" s="493"/>
      <c r="CZL49" s="493"/>
      <c r="CZM49" s="493"/>
      <c r="CZN49" s="493"/>
      <c r="CZO49" s="493"/>
      <c r="CZP49" s="493"/>
      <c r="CZQ49" s="493"/>
      <c r="CZR49" s="493"/>
      <c r="CZS49" s="493"/>
      <c r="CZT49" s="493"/>
      <c r="CZU49" s="493"/>
      <c r="CZV49" s="493"/>
      <c r="CZW49" s="493"/>
      <c r="CZX49" s="493"/>
      <c r="CZY49" s="493"/>
      <c r="CZZ49" s="493"/>
      <c r="DAA49" s="493"/>
      <c r="DAB49" s="493"/>
      <c r="DAC49" s="493"/>
      <c r="DAD49" s="493"/>
      <c r="DAE49" s="493"/>
      <c r="DAF49" s="493"/>
      <c r="DAG49" s="493"/>
      <c r="DAH49" s="493"/>
      <c r="DAI49" s="493"/>
      <c r="DAJ49" s="493"/>
      <c r="DAK49" s="493"/>
      <c r="DAL49" s="493"/>
      <c r="DAM49" s="493"/>
      <c r="DAN49" s="493"/>
      <c r="DAO49" s="493"/>
      <c r="DAP49" s="493"/>
      <c r="DAQ49" s="493"/>
      <c r="DAR49" s="493"/>
      <c r="DAS49" s="493"/>
      <c r="DAT49" s="493"/>
      <c r="DAU49" s="493"/>
      <c r="DAV49" s="493"/>
      <c r="DAW49" s="493"/>
      <c r="DAX49" s="493"/>
      <c r="DAY49" s="493"/>
      <c r="DAZ49" s="493"/>
      <c r="DBA49" s="493"/>
      <c r="DBB49" s="493"/>
      <c r="DBC49" s="493"/>
      <c r="DBD49" s="493"/>
      <c r="DBE49" s="493"/>
      <c r="DBF49" s="493"/>
      <c r="DBG49" s="493"/>
      <c r="DBH49" s="493"/>
      <c r="DBI49" s="493"/>
      <c r="DBJ49" s="493"/>
      <c r="DBK49" s="493"/>
      <c r="DBL49" s="493"/>
      <c r="DBM49" s="493"/>
      <c r="DBN49" s="493"/>
      <c r="DBO49" s="493"/>
      <c r="DBP49" s="493"/>
      <c r="DBQ49" s="493"/>
      <c r="DBR49" s="493"/>
      <c r="DBS49" s="493"/>
      <c r="DBT49" s="493"/>
      <c r="DBU49" s="493"/>
      <c r="DBV49" s="493"/>
      <c r="DBW49" s="493"/>
      <c r="DBX49" s="493"/>
      <c r="DBY49" s="493"/>
      <c r="DBZ49" s="493"/>
      <c r="DCA49" s="493"/>
      <c r="DCB49" s="493"/>
      <c r="DCC49" s="493"/>
      <c r="DCD49" s="493"/>
      <c r="DCE49" s="493"/>
      <c r="DCF49" s="493"/>
      <c r="DCG49" s="493"/>
      <c r="DCH49" s="493"/>
      <c r="DCI49" s="493"/>
      <c r="DCJ49" s="493"/>
      <c r="DCK49" s="493"/>
      <c r="DCL49" s="493"/>
      <c r="DCM49" s="493"/>
      <c r="DCN49" s="493"/>
      <c r="DCO49" s="493"/>
      <c r="DCP49" s="493"/>
      <c r="DCQ49" s="493"/>
      <c r="DCR49" s="493"/>
      <c r="DCS49" s="493"/>
      <c r="DCT49" s="493"/>
      <c r="DCU49" s="493"/>
      <c r="DCV49" s="493"/>
      <c r="DCW49" s="493"/>
      <c r="DCX49" s="493"/>
      <c r="DCY49" s="493"/>
      <c r="DCZ49" s="493"/>
      <c r="DDA49" s="493"/>
      <c r="DDB49" s="493"/>
      <c r="DDC49" s="493"/>
      <c r="DDD49" s="493"/>
      <c r="DDE49" s="493"/>
      <c r="DDF49" s="493"/>
      <c r="DDG49" s="493"/>
      <c r="DDH49" s="493"/>
      <c r="DDI49" s="493"/>
      <c r="DDJ49" s="493"/>
      <c r="DDK49" s="493"/>
      <c r="DDL49" s="493"/>
      <c r="DDM49" s="493"/>
      <c r="DDN49" s="493"/>
      <c r="DDO49" s="493"/>
      <c r="DDP49" s="493"/>
      <c r="DDQ49" s="493"/>
      <c r="DDR49" s="493"/>
      <c r="DDS49" s="493"/>
      <c r="DDT49" s="493"/>
      <c r="DDU49" s="493"/>
      <c r="DDV49" s="493"/>
      <c r="DDW49" s="493"/>
      <c r="DDX49" s="493"/>
      <c r="DDY49" s="493"/>
      <c r="DDZ49" s="493"/>
      <c r="DEA49" s="493"/>
      <c r="DEB49" s="493"/>
      <c r="DEC49" s="493"/>
      <c r="DED49" s="493"/>
      <c r="DEE49" s="493"/>
      <c r="DEF49" s="493"/>
      <c r="DEG49" s="493"/>
      <c r="DEH49" s="493"/>
      <c r="DEI49" s="493"/>
      <c r="DEJ49" s="493"/>
      <c r="DEK49" s="493"/>
      <c r="DEL49" s="493"/>
      <c r="DEM49" s="493"/>
      <c r="DEN49" s="493"/>
      <c r="DEO49" s="493"/>
      <c r="DEP49" s="493"/>
      <c r="DEQ49" s="493"/>
      <c r="DER49" s="493"/>
      <c r="DES49" s="493"/>
      <c r="DET49" s="493"/>
      <c r="DEU49" s="493"/>
      <c r="DEV49" s="493"/>
      <c r="DEW49" s="493"/>
      <c r="DEX49" s="493"/>
      <c r="DEY49" s="493"/>
      <c r="DEZ49" s="493"/>
      <c r="DFA49" s="493"/>
      <c r="DFB49" s="493"/>
      <c r="DFC49" s="493"/>
      <c r="DFD49" s="493"/>
      <c r="DFE49" s="493"/>
      <c r="DFF49" s="493"/>
      <c r="DFG49" s="493"/>
      <c r="DFH49" s="493"/>
      <c r="DFI49" s="493"/>
      <c r="DFJ49" s="493"/>
      <c r="DFK49" s="493"/>
      <c r="DFL49" s="493"/>
      <c r="DFM49" s="493"/>
      <c r="DFN49" s="493"/>
      <c r="DFO49" s="493"/>
      <c r="DFP49" s="493"/>
      <c r="DFQ49" s="493"/>
      <c r="DFR49" s="493"/>
      <c r="DFS49" s="493"/>
      <c r="DFT49" s="493"/>
      <c r="DFU49" s="493"/>
      <c r="DFV49" s="493"/>
      <c r="DFW49" s="493"/>
      <c r="DFX49" s="493"/>
      <c r="DFY49" s="493"/>
      <c r="DFZ49" s="493"/>
      <c r="DGA49" s="493"/>
      <c r="DGB49" s="493"/>
      <c r="DGC49" s="493"/>
      <c r="DGD49" s="493"/>
      <c r="DGE49" s="493"/>
      <c r="DGF49" s="493"/>
      <c r="DGG49" s="493"/>
      <c r="DGH49" s="493"/>
      <c r="DGI49" s="493"/>
      <c r="DGJ49" s="493"/>
      <c r="DGK49" s="493"/>
      <c r="DGL49" s="493"/>
      <c r="DGM49" s="493"/>
      <c r="DGN49" s="493"/>
      <c r="DGO49" s="493"/>
      <c r="DGP49" s="493"/>
      <c r="DGQ49" s="493"/>
      <c r="DGR49" s="493"/>
      <c r="DGS49" s="493"/>
      <c r="DGT49" s="493"/>
      <c r="DGU49" s="493"/>
      <c r="DGV49" s="493"/>
      <c r="DGW49" s="493"/>
      <c r="DGX49" s="493"/>
      <c r="DGY49" s="493"/>
      <c r="DGZ49" s="493"/>
      <c r="DHA49" s="493"/>
      <c r="DHB49" s="493"/>
      <c r="DHC49" s="493"/>
      <c r="DHD49" s="493"/>
      <c r="DHE49" s="493"/>
      <c r="DHF49" s="493"/>
      <c r="DHG49" s="493"/>
      <c r="DHH49" s="493"/>
      <c r="DHI49" s="493"/>
      <c r="DHJ49" s="493"/>
      <c r="DHK49" s="493"/>
      <c r="DHL49" s="493"/>
      <c r="DHM49" s="493"/>
      <c r="DHN49" s="493"/>
      <c r="DHO49" s="493"/>
      <c r="DHP49" s="493"/>
      <c r="DHQ49" s="493"/>
      <c r="DHR49" s="493"/>
      <c r="DHS49" s="493"/>
      <c r="DHT49" s="493"/>
      <c r="DHU49" s="493"/>
      <c r="DHV49" s="493"/>
      <c r="DHW49" s="493"/>
      <c r="DHX49" s="493"/>
      <c r="DHY49" s="493"/>
      <c r="DHZ49" s="493"/>
      <c r="DIA49" s="493"/>
      <c r="DIB49" s="493"/>
      <c r="DIC49" s="493"/>
      <c r="DID49" s="493"/>
      <c r="DIE49" s="493"/>
      <c r="DIF49" s="493"/>
      <c r="DIG49" s="493"/>
      <c r="DIH49" s="493"/>
      <c r="DII49" s="493"/>
      <c r="DIJ49" s="493"/>
      <c r="DIK49" s="493"/>
      <c r="DIL49" s="493"/>
      <c r="DIM49" s="493"/>
      <c r="DIN49" s="493"/>
      <c r="DIO49" s="493"/>
      <c r="DIP49" s="493"/>
      <c r="DIQ49" s="493"/>
      <c r="DIR49" s="493"/>
      <c r="DIS49" s="493"/>
      <c r="DIT49" s="493"/>
      <c r="DIU49" s="493"/>
      <c r="DIV49" s="493"/>
      <c r="DIW49" s="493"/>
      <c r="DIX49" s="493"/>
      <c r="DIY49" s="493"/>
      <c r="DIZ49" s="493"/>
      <c r="DJA49" s="493"/>
      <c r="DJB49" s="493"/>
      <c r="DJC49" s="493"/>
      <c r="DJD49" s="493"/>
      <c r="DJE49" s="493"/>
      <c r="DJF49" s="493"/>
      <c r="DJG49" s="493"/>
      <c r="DJH49" s="493"/>
      <c r="DJI49" s="493"/>
      <c r="DJJ49" s="493"/>
      <c r="DJK49" s="493"/>
      <c r="DJL49" s="493"/>
      <c r="DJM49" s="493"/>
      <c r="DJN49" s="493"/>
      <c r="DJO49" s="493"/>
      <c r="DJP49" s="493"/>
      <c r="DJQ49" s="493"/>
      <c r="DJR49" s="493"/>
      <c r="DJS49" s="493"/>
      <c r="DJT49" s="493"/>
      <c r="DJU49" s="493"/>
      <c r="DJV49" s="493"/>
      <c r="DJW49" s="493"/>
      <c r="DJX49" s="493"/>
      <c r="DJY49" s="493"/>
      <c r="DJZ49" s="493"/>
      <c r="DKA49" s="493"/>
      <c r="DKB49" s="493"/>
      <c r="DKC49" s="493"/>
      <c r="DKD49" s="493"/>
      <c r="DKE49" s="493"/>
      <c r="DKF49" s="493"/>
      <c r="DKG49" s="493"/>
      <c r="DKH49" s="493"/>
      <c r="DKI49" s="493"/>
      <c r="DKJ49" s="493"/>
      <c r="DKK49" s="493"/>
      <c r="DKL49" s="493"/>
      <c r="DKM49" s="493"/>
      <c r="DKN49" s="493"/>
      <c r="DKO49" s="493"/>
      <c r="DKP49" s="493"/>
      <c r="DKQ49" s="493"/>
      <c r="DKR49" s="493"/>
      <c r="DKS49" s="493"/>
      <c r="DKT49" s="493"/>
      <c r="DKU49" s="493"/>
      <c r="DKV49" s="493"/>
      <c r="DKW49" s="493"/>
      <c r="DKX49" s="493"/>
      <c r="DKY49" s="493"/>
      <c r="DKZ49" s="493"/>
      <c r="DLA49" s="493"/>
      <c r="DLB49" s="493"/>
      <c r="DLC49" s="493"/>
      <c r="DLD49" s="493"/>
      <c r="DLE49" s="493"/>
      <c r="DLF49" s="493"/>
      <c r="DLG49" s="493"/>
      <c r="DLH49" s="493"/>
      <c r="DLI49" s="493"/>
      <c r="DLJ49" s="493"/>
      <c r="DLK49" s="493"/>
      <c r="DLL49" s="493"/>
      <c r="DLM49" s="493"/>
      <c r="DLN49" s="493"/>
      <c r="DLO49" s="493"/>
      <c r="DLP49" s="493"/>
      <c r="DLQ49" s="493"/>
      <c r="DLR49" s="493"/>
      <c r="DLS49" s="493"/>
      <c r="DLT49" s="493"/>
      <c r="DLU49" s="493"/>
      <c r="DLV49" s="493"/>
      <c r="DLW49" s="493"/>
      <c r="DLX49" s="493"/>
      <c r="DLY49" s="493"/>
      <c r="DLZ49" s="493"/>
      <c r="DMA49" s="493"/>
      <c r="DMB49" s="493"/>
      <c r="DMC49" s="493"/>
      <c r="DMD49" s="493"/>
      <c r="DME49" s="493"/>
      <c r="DMF49" s="493"/>
      <c r="DMG49" s="493"/>
      <c r="DMH49" s="493"/>
      <c r="DMI49" s="493"/>
      <c r="DMJ49" s="493"/>
      <c r="DMK49" s="493"/>
      <c r="DML49" s="493"/>
      <c r="DMM49" s="493"/>
      <c r="DMN49" s="493"/>
      <c r="DMO49" s="493"/>
      <c r="DMP49" s="493"/>
      <c r="DMQ49" s="493"/>
      <c r="DMR49" s="493"/>
      <c r="DMS49" s="493"/>
      <c r="DMT49" s="493"/>
      <c r="DMU49" s="493"/>
      <c r="DMV49" s="493"/>
      <c r="DMW49" s="493"/>
      <c r="DMX49" s="493"/>
      <c r="DMY49" s="493"/>
      <c r="DMZ49" s="493"/>
      <c r="DNA49" s="493"/>
      <c r="DNB49" s="493"/>
      <c r="DNC49" s="493"/>
      <c r="DND49" s="493"/>
      <c r="DNE49" s="493"/>
      <c r="DNF49" s="493"/>
      <c r="DNG49" s="493"/>
      <c r="DNH49" s="493"/>
      <c r="DNI49" s="493"/>
      <c r="DNJ49" s="493"/>
      <c r="DNK49" s="493"/>
      <c r="DNL49" s="493"/>
      <c r="DNM49" s="493"/>
      <c r="DNN49" s="493"/>
      <c r="DNO49" s="493"/>
      <c r="DNP49" s="493"/>
      <c r="DNQ49" s="493"/>
      <c r="DNR49" s="493"/>
      <c r="DNS49" s="493"/>
      <c r="DNT49" s="493"/>
      <c r="DNU49" s="493"/>
      <c r="DNV49" s="493"/>
      <c r="DNW49" s="493"/>
      <c r="DNX49" s="493"/>
      <c r="DNY49" s="493"/>
      <c r="DNZ49" s="493"/>
      <c r="DOA49" s="493"/>
      <c r="DOB49" s="493"/>
      <c r="DOC49" s="493"/>
      <c r="DOD49" s="493"/>
      <c r="DOE49" s="493"/>
      <c r="DOF49" s="493"/>
      <c r="DOG49" s="493"/>
      <c r="DOH49" s="493"/>
      <c r="DOI49" s="493"/>
      <c r="DOJ49" s="493"/>
      <c r="DOK49" s="493"/>
      <c r="DOL49" s="493"/>
      <c r="DOM49" s="493"/>
      <c r="DON49" s="493"/>
      <c r="DOO49" s="493"/>
      <c r="DOP49" s="493"/>
      <c r="DOQ49" s="493"/>
      <c r="DOR49" s="493"/>
      <c r="DOS49" s="493"/>
      <c r="DOT49" s="493"/>
      <c r="DOU49" s="493"/>
      <c r="DOV49" s="493"/>
      <c r="DOW49" s="493"/>
      <c r="DOX49" s="493"/>
      <c r="DOY49" s="493"/>
      <c r="DOZ49" s="493"/>
      <c r="DPA49" s="493"/>
      <c r="DPB49" s="493"/>
      <c r="DPC49" s="493"/>
      <c r="DPD49" s="493"/>
      <c r="DPE49" s="493"/>
      <c r="DPF49" s="493"/>
      <c r="DPG49" s="493"/>
      <c r="DPH49" s="493"/>
      <c r="DPI49" s="493"/>
      <c r="DPJ49" s="493"/>
      <c r="DPK49" s="493"/>
      <c r="DPL49" s="493"/>
      <c r="DPM49" s="493"/>
      <c r="DPN49" s="493"/>
      <c r="DPO49" s="493"/>
      <c r="DPP49" s="493"/>
      <c r="DPQ49" s="493"/>
      <c r="DPR49" s="493"/>
      <c r="DPS49" s="493"/>
      <c r="DPT49" s="493"/>
      <c r="DPU49" s="493"/>
      <c r="DPV49" s="493"/>
      <c r="DPW49" s="493"/>
      <c r="DPX49" s="493"/>
      <c r="DPY49" s="493"/>
      <c r="DPZ49" s="493"/>
      <c r="DQA49" s="493"/>
      <c r="DQB49" s="493"/>
      <c r="DQC49" s="493"/>
      <c r="DQD49" s="493"/>
      <c r="DQE49" s="493"/>
      <c r="DQF49" s="493"/>
      <c r="DQG49" s="493"/>
      <c r="DQH49" s="493"/>
      <c r="DQI49" s="493"/>
      <c r="DQJ49" s="493"/>
      <c r="DQK49" s="493"/>
      <c r="DQL49" s="493"/>
      <c r="DQM49" s="493"/>
      <c r="DQN49" s="493"/>
      <c r="DQO49" s="493"/>
      <c r="DQP49" s="493"/>
      <c r="DQQ49" s="493"/>
      <c r="DQR49" s="493"/>
      <c r="DQS49" s="493"/>
      <c r="DQT49" s="493"/>
      <c r="DQU49" s="493"/>
      <c r="DQV49" s="493"/>
      <c r="DQW49" s="493"/>
      <c r="DQX49" s="493"/>
      <c r="DQY49" s="493"/>
      <c r="DQZ49" s="493"/>
      <c r="DRA49" s="493"/>
      <c r="DRB49" s="493"/>
      <c r="DRC49" s="493"/>
      <c r="DRD49" s="493"/>
      <c r="DRE49" s="493"/>
      <c r="DRF49" s="493"/>
      <c r="DRG49" s="493"/>
      <c r="DRH49" s="493"/>
      <c r="DRI49" s="493"/>
      <c r="DRJ49" s="493"/>
      <c r="DRK49" s="493"/>
      <c r="DRL49" s="493"/>
      <c r="DRM49" s="493"/>
      <c r="DRN49" s="493"/>
      <c r="DRO49" s="493"/>
      <c r="DRP49" s="493"/>
      <c r="DRQ49" s="493"/>
      <c r="DRR49" s="493"/>
      <c r="DRS49" s="493"/>
      <c r="DRT49" s="493"/>
      <c r="DRU49" s="493"/>
      <c r="DRV49" s="493"/>
      <c r="DRW49" s="493"/>
      <c r="DRX49" s="493"/>
      <c r="DRY49" s="493"/>
      <c r="DRZ49" s="493"/>
      <c r="DSA49" s="493"/>
      <c r="DSB49" s="493"/>
      <c r="DSC49" s="493"/>
      <c r="DSD49" s="493"/>
      <c r="DSE49" s="493"/>
      <c r="DSF49" s="493"/>
      <c r="DSG49" s="493"/>
      <c r="DSH49" s="493"/>
      <c r="DSI49" s="493"/>
      <c r="DSJ49" s="493"/>
      <c r="DSK49" s="493"/>
      <c r="DSL49" s="493"/>
      <c r="DSM49" s="493"/>
      <c r="DSN49" s="493"/>
      <c r="DSO49" s="493"/>
      <c r="DSP49" s="493"/>
      <c r="DSQ49" s="493"/>
      <c r="DSR49" s="493"/>
      <c r="DSS49" s="493"/>
      <c r="DST49" s="493"/>
      <c r="DSU49" s="493"/>
      <c r="DSV49" s="493"/>
      <c r="DSW49" s="493"/>
      <c r="DSX49" s="493"/>
      <c r="DSY49" s="493"/>
      <c r="DSZ49" s="493"/>
      <c r="DTA49" s="493"/>
      <c r="DTB49" s="493"/>
      <c r="DTC49" s="493"/>
      <c r="DTD49" s="493"/>
      <c r="DTE49" s="493"/>
      <c r="DTF49" s="493"/>
      <c r="DTG49" s="493"/>
      <c r="DTH49" s="493"/>
      <c r="DTI49" s="493"/>
      <c r="DTJ49" s="493"/>
      <c r="DTK49" s="493"/>
      <c r="DTL49" s="493"/>
      <c r="DTM49" s="493"/>
      <c r="DTN49" s="493"/>
      <c r="DTO49" s="493"/>
      <c r="DTP49" s="493"/>
      <c r="DTQ49" s="493"/>
      <c r="DTR49" s="493"/>
      <c r="DTS49" s="493"/>
      <c r="DTT49" s="493"/>
      <c r="DTU49" s="493"/>
      <c r="DTV49" s="493"/>
      <c r="DTW49" s="493"/>
      <c r="DTX49" s="493"/>
      <c r="DTY49" s="493"/>
      <c r="DTZ49" s="493"/>
      <c r="DUA49" s="493"/>
      <c r="DUB49" s="493"/>
      <c r="DUC49" s="493"/>
      <c r="DUD49" s="493"/>
      <c r="DUE49" s="493"/>
      <c r="DUF49" s="493"/>
      <c r="DUG49" s="493"/>
      <c r="DUH49" s="493"/>
      <c r="DUI49" s="493"/>
      <c r="DUJ49" s="493"/>
      <c r="DUK49" s="493"/>
      <c r="DUL49" s="493"/>
      <c r="DUM49" s="493"/>
      <c r="DUN49" s="493"/>
      <c r="DUO49" s="493"/>
      <c r="DUP49" s="493"/>
      <c r="DUQ49" s="493"/>
      <c r="DUR49" s="493"/>
      <c r="DUS49" s="493"/>
      <c r="DUT49" s="493"/>
      <c r="DUU49" s="493"/>
      <c r="DUV49" s="493"/>
      <c r="DUW49" s="493"/>
      <c r="DUX49" s="493"/>
      <c r="DUY49" s="493"/>
      <c r="DUZ49" s="493"/>
      <c r="DVA49" s="493"/>
      <c r="DVB49" s="493"/>
      <c r="DVC49" s="493"/>
      <c r="DVD49" s="493"/>
      <c r="DVE49" s="493"/>
      <c r="DVF49" s="493"/>
      <c r="DVG49" s="493"/>
      <c r="DVH49" s="493"/>
      <c r="DVI49" s="493"/>
      <c r="DVJ49" s="493"/>
      <c r="DVK49" s="493"/>
      <c r="DVL49" s="493"/>
      <c r="DVM49" s="493"/>
      <c r="DVN49" s="493"/>
      <c r="DVO49" s="493"/>
      <c r="DVP49" s="493"/>
      <c r="DVQ49" s="493"/>
      <c r="DVR49" s="493"/>
      <c r="DVS49" s="493"/>
      <c r="DVT49" s="493"/>
      <c r="DVU49" s="493"/>
      <c r="DVV49" s="493"/>
      <c r="DVW49" s="493"/>
      <c r="DVX49" s="493"/>
      <c r="DVY49" s="493"/>
      <c r="DVZ49" s="493"/>
      <c r="DWA49" s="493"/>
      <c r="DWB49" s="493"/>
      <c r="DWC49" s="493"/>
      <c r="DWD49" s="493"/>
      <c r="DWE49" s="493"/>
      <c r="DWF49" s="493"/>
      <c r="DWG49" s="493"/>
      <c r="DWH49" s="493"/>
      <c r="DWI49" s="493"/>
      <c r="DWJ49" s="493"/>
      <c r="DWK49" s="493"/>
      <c r="DWL49" s="493"/>
      <c r="DWM49" s="493"/>
      <c r="DWN49" s="493"/>
      <c r="DWO49" s="493"/>
      <c r="DWP49" s="493"/>
      <c r="DWQ49" s="493"/>
      <c r="DWR49" s="493"/>
      <c r="DWS49" s="493"/>
      <c r="DWT49" s="493"/>
      <c r="DWU49" s="493"/>
      <c r="DWV49" s="493"/>
      <c r="DWW49" s="493"/>
      <c r="DWX49" s="493"/>
      <c r="DWY49" s="493"/>
      <c r="DWZ49" s="493"/>
      <c r="DXA49" s="493"/>
      <c r="DXB49" s="493"/>
      <c r="DXC49" s="493"/>
      <c r="DXD49" s="493"/>
      <c r="DXE49" s="493"/>
      <c r="DXF49" s="493"/>
      <c r="DXG49" s="493"/>
      <c r="DXH49" s="493"/>
      <c r="DXI49" s="493"/>
      <c r="DXJ49" s="493"/>
      <c r="DXK49" s="493"/>
      <c r="DXL49" s="493"/>
      <c r="DXM49" s="493"/>
      <c r="DXN49" s="493"/>
      <c r="DXO49" s="493"/>
      <c r="DXP49" s="493"/>
      <c r="DXQ49" s="493"/>
      <c r="DXR49" s="493"/>
      <c r="DXS49" s="493"/>
      <c r="DXT49" s="493"/>
      <c r="DXU49" s="493"/>
      <c r="DXV49" s="493"/>
      <c r="DXW49" s="493"/>
      <c r="DXX49" s="493"/>
      <c r="DXY49" s="493"/>
      <c r="DXZ49" s="493"/>
      <c r="DYA49" s="493"/>
      <c r="DYB49" s="493"/>
      <c r="DYC49" s="493"/>
      <c r="DYD49" s="493"/>
      <c r="DYE49" s="493"/>
      <c r="DYF49" s="493"/>
      <c r="DYG49" s="493"/>
      <c r="DYH49" s="493"/>
      <c r="DYI49" s="493"/>
      <c r="DYJ49" s="493"/>
      <c r="DYK49" s="493"/>
      <c r="DYL49" s="493"/>
      <c r="DYM49" s="493"/>
      <c r="DYN49" s="493"/>
      <c r="DYO49" s="493"/>
      <c r="DYP49" s="493"/>
      <c r="DYQ49" s="493"/>
      <c r="DYR49" s="493"/>
      <c r="DYS49" s="493"/>
      <c r="DYT49" s="493"/>
      <c r="DYU49" s="493"/>
      <c r="DYV49" s="493"/>
      <c r="DYW49" s="493"/>
      <c r="DYX49" s="493"/>
      <c r="DYY49" s="493"/>
      <c r="DYZ49" s="493"/>
      <c r="DZA49" s="493"/>
      <c r="DZB49" s="493"/>
      <c r="DZC49" s="493"/>
      <c r="DZD49" s="493"/>
      <c r="DZE49" s="493"/>
      <c r="DZF49" s="493"/>
      <c r="DZG49" s="493"/>
      <c r="DZH49" s="493"/>
      <c r="DZI49" s="493"/>
      <c r="DZJ49" s="493"/>
      <c r="DZK49" s="493"/>
      <c r="DZL49" s="493"/>
      <c r="DZM49" s="493"/>
      <c r="DZN49" s="493"/>
      <c r="DZO49" s="493"/>
      <c r="DZP49" s="493"/>
      <c r="DZQ49" s="493"/>
      <c r="DZR49" s="493"/>
      <c r="DZS49" s="493"/>
      <c r="DZT49" s="493"/>
      <c r="DZU49" s="493"/>
      <c r="DZV49" s="493"/>
      <c r="DZW49" s="493"/>
      <c r="DZX49" s="493"/>
      <c r="DZY49" s="493"/>
      <c r="DZZ49" s="493"/>
      <c r="EAA49" s="493"/>
      <c r="EAB49" s="493"/>
      <c r="EAC49" s="493"/>
      <c r="EAD49" s="493"/>
      <c r="EAE49" s="493"/>
      <c r="EAF49" s="493"/>
      <c r="EAG49" s="493"/>
      <c r="EAH49" s="493"/>
      <c r="EAI49" s="493"/>
      <c r="EAJ49" s="493"/>
      <c r="EAK49" s="493"/>
      <c r="EAL49" s="493"/>
      <c r="EAM49" s="493"/>
      <c r="EAN49" s="493"/>
      <c r="EAO49" s="493"/>
      <c r="EAP49" s="493"/>
      <c r="EAQ49" s="493"/>
      <c r="EAR49" s="493"/>
      <c r="EAS49" s="493"/>
      <c r="EAT49" s="493"/>
      <c r="EAU49" s="493"/>
      <c r="EAV49" s="493"/>
      <c r="EAW49" s="493"/>
      <c r="EAX49" s="493"/>
      <c r="EAY49" s="493"/>
      <c r="EAZ49" s="493"/>
      <c r="EBA49" s="493"/>
      <c r="EBB49" s="493"/>
      <c r="EBC49" s="493"/>
      <c r="EBD49" s="493"/>
      <c r="EBE49" s="493"/>
      <c r="EBF49" s="493"/>
      <c r="EBG49" s="493"/>
      <c r="EBH49" s="493"/>
      <c r="EBI49" s="493"/>
      <c r="EBJ49" s="493"/>
      <c r="EBK49" s="493"/>
      <c r="EBL49" s="493"/>
      <c r="EBM49" s="493"/>
      <c r="EBN49" s="493"/>
      <c r="EBO49" s="493"/>
      <c r="EBP49" s="493"/>
      <c r="EBQ49" s="493"/>
      <c r="EBR49" s="493"/>
      <c r="EBS49" s="493"/>
      <c r="EBT49" s="493"/>
      <c r="EBU49" s="493"/>
      <c r="EBV49" s="493"/>
      <c r="EBW49" s="493"/>
      <c r="EBX49" s="493"/>
      <c r="EBY49" s="493"/>
      <c r="EBZ49" s="493"/>
      <c r="ECA49" s="493"/>
      <c r="ECB49" s="493"/>
      <c r="ECC49" s="493"/>
      <c r="ECD49" s="493"/>
      <c r="ECE49" s="493"/>
      <c r="ECF49" s="493"/>
      <c r="ECG49" s="493"/>
      <c r="ECH49" s="493"/>
      <c r="ECI49" s="493"/>
      <c r="ECJ49" s="493"/>
      <c r="ECK49" s="493"/>
      <c r="ECL49" s="493"/>
      <c r="ECM49" s="493"/>
      <c r="ECN49" s="493"/>
      <c r="ECO49" s="493"/>
      <c r="ECP49" s="493"/>
      <c r="ECQ49" s="493"/>
      <c r="ECR49" s="493"/>
      <c r="ECS49" s="493"/>
      <c r="ECT49" s="493"/>
      <c r="ECU49" s="493"/>
      <c r="ECV49" s="493"/>
      <c r="ECW49" s="493"/>
      <c r="ECX49" s="493"/>
      <c r="ECY49" s="493"/>
      <c r="ECZ49" s="493"/>
      <c r="EDA49" s="493"/>
      <c r="EDB49" s="493"/>
      <c r="EDC49" s="493"/>
      <c r="EDD49" s="493"/>
      <c r="EDE49" s="493"/>
      <c r="EDF49" s="493"/>
      <c r="EDG49" s="493"/>
      <c r="EDH49" s="493"/>
      <c r="EDI49" s="493"/>
      <c r="EDJ49" s="493"/>
      <c r="EDK49" s="493"/>
      <c r="EDL49" s="493"/>
      <c r="EDM49" s="493"/>
      <c r="EDN49" s="493"/>
      <c r="EDO49" s="493"/>
      <c r="EDP49" s="493"/>
      <c r="EDQ49" s="493"/>
      <c r="EDR49" s="493"/>
      <c r="EDS49" s="493"/>
      <c r="EDT49" s="493"/>
      <c r="EDU49" s="493"/>
      <c r="EDV49" s="493"/>
      <c r="EDW49" s="493"/>
      <c r="EDX49" s="493"/>
      <c r="EDY49" s="493"/>
      <c r="EDZ49" s="493"/>
      <c r="EEA49" s="493"/>
      <c r="EEB49" s="493"/>
      <c r="EEC49" s="493"/>
      <c r="EED49" s="493"/>
      <c r="EEE49" s="493"/>
      <c r="EEF49" s="493"/>
      <c r="EEG49" s="493"/>
      <c r="EEH49" s="493"/>
      <c r="EEI49" s="493"/>
      <c r="EEJ49" s="493"/>
      <c r="EEK49" s="493"/>
      <c r="EEL49" s="493"/>
      <c r="EEM49" s="493"/>
      <c r="EEN49" s="493"/>
      <c r="EEO49" s="493"/>
      <c r="EEP49" s="493"/>
      <c r="EEQ49" s="493"/>
      <c r="EER49" s="493"/>
      <c r="EES49" s="493"/>
      <c r="EET49" s="493"/>
      <c r="EEU49" s="493"/>
      <c r="EEV49" s="493"/>
      <c r="EEW49" s="493"/>
      <c r="EEX49" s="493"/>
      <c r="EEY49" s="493"/>
      <c r="EEZ49" s="493"/>
      <c r="EFA49" s="493"/>
      <c r="EFB49" s="493"/>
      <c r="EFC49" s="493"/>
      <c r="EFD49" s="493"/>
      <c r="EFE49" s="493"/>
      <c r="EFF49" s="493"/>
      <c r="EFG49" s="493"/>
      <c r="EFH49" s="493"/>
      <c r="EFI49" s="493"/>
      <c r="EFJ49" s="493"/>
      <c r="EFK49" s="493"/>
      <c r="EFL49" s="493"/>
      <c r="EFM49" s="493"/>
      <c r="EFN49" s="493"/>
      <c r="EFO49" s="493"/>
      <c r="EFP49" s="493"/>
      <c r="EFQ49" s="493"/>
      <c r="EFR49" s="493"/>
      <c r="EFS49" s="493"/>
      <c r="EFT49" s="493"/>
      <c r="EFU49" s="493"/>
      <c r="EFV49" s="493"/>
      <c r="EFW49" s="493"/>
      <c r="EFX49" s="493"/>
      <c r="EFY49" s="493"/>
      <c r="EFZ49" s="493"/>
      <c r="EGA49" s="493"/>
      <c r="EGB49" s="493"/>
      <c r="EGC49" s="493"/>
      <c r="EGD49" s="493"/>
      <c r="EGE49" s="493"/>
      <c r="EGF49" s="493"/>
      <c r="EGG49" s="493"/>
      <c r="EGH49" s="493"/>
      <c r="EGI49" s="493"/>
      <c r="EGJ49" s="493"/>
      <c r="EGK49" s="493"/>
      <c r="EGL49" s="493"/>
      <c r="EGM49" s="493"/>
      <c r="EGN49" s="493"/>
      <c r="EGO49" s="493"/>
      <c r="EGP49" s="493"/>
      <c r="EGQ49" s="493"/>
      <c r="EGR49" s="493"/>
      <c r="EGS49" s="493"/>
      <c r="EGT49" s="493"/>
      <c r="EGU49" s="493"/>
      <c r="EGV49" s="493"/>
      <c r="EGW49" s="493"/>
      <c r="EGX49" s="493"/>
      <c r="EGY49" s="493"/>
      <c r="EGZ49" s="493"/>
      <c r="EHA49" s="493"/>
      <c r="EHB49" s="493"/>
      <c r="EHC49" s="493"/>
      <c r="EHD49" s="493"/>
      <c r="EHE49" s="493"/>
      <c r="EHF49" s="493"/>
      <c r="EHG49" s="493"/>
      <c r="EHH49" s="493"/>
      <c r="EHI49" s="493"/>
      <c r="EHJ49" s="493"/>
      <c r="EHK49" s="493"/>
      <c r="EHL49" s="493"/>
      <c r="EHM49" s="493"/>
      <c r="EHN49" s="493"/>
      <c r="EHO49" s="493"/>
      <c r="EHP49" s="493"/>
      <c r="EHQ49" s="493"/>
      <c r="EHR49" s="493"/>
      <c r="EHS49" s="493"/>
      <c r="EHT49" s="493"/>
      <c r="EHU49" s="493"/>
      <c r="EHV49" s="493"/>
      <c r="EHW49" s="493"/>
      <c r="EHX49" s="493"/>
      <c r="EHY49" s="493"/>
      <c r="EHZ49" s="493"/>
      <c r="EIA49" s="493"/>
      <c r="EIB49" s="493"/>
      <c r="EIC49" s="493"/>
      <c r="EID49" s="493"/>
      <c r="EIE49" s="493"/>
      <c r="EIF49" s="493"/>
      <c r="EIG49" s="493"/>
      <c r="EIH49" s="493"/>
      <c r="EII49" s="493"/>
      <c r="EIJ49" s="493"/>
      <c r="EIK49" s="493"/>
      <c r="EIL49" s="493"/>
      <c r="EIM49" s="493"/>
      <c r="EIN49" s="493"/>
      <c r="EIO49" s="493"/>
      <c r="EIP49" s="493"/>
      <c r="EIQ49" s="493"/>
      <c r="EIR49" s="493"/>
      <c r="EIS49" s="493"/>
      <c r="EIT49" s="493"/>
      <c r="EIU49" s="493"/>
      <c r="EIV49" s="493"/>
      <c r="EIW49" s="493"/>
      <c r="EIX49" s="493"/>
      <c r="EIY49" s="493"/>
      <c r="EIZ49" s="493"/>
      <c r="EJA49" s="493"/>
      <c r="EJB49" s="493"/>
      <c r="EJC49" s="493"/>
      <c r="EJD49" s="493"/>
      <c r="EJE49" s="493"/>
      <c r="EJF49" s="493"/>
      <c r="EJG49" s="493"/>
      <c r="EJH49" s="493"/>
      <c r="EJI49" s="493"/>
      <c r="EJJ49" s="493"/>
      <c r="EJK49" s="493"/>
      <c r="EJL49" s="493"/>
      <c r="EJM49" s="493"/>
      <c r="EJN49" s="493"/>
      <c r="EJO49" s="493"/>
      <c r="EJP49" s="493"/>
      <c r="EJQ49" s="493"/>
      <c r="EJR49" s="493"/>
      <c r="EJS49" s="493"/>
      <c r="EJT49" s="493"/>
      <c r="EJU49" s="493"/>
      <c r="EJV49" s="493"/>
      <c r="EJW49" s="493"/>
      <c r="EJX49" s="493"/>
      <c r="EJY49" s="493"/>
      <c r="EJZ49" s="493"/>
      <c r="EKA49" s="493"/>
      <c r="EKB49" s="493"/>
      <c r="EKC49" s="493"/>
      <c r="EKD49" s="493"/>
      <c r="EKE49" s="493"/>
      <c r="EKF49" s="493"/>
      <c r="EKG49" s="493"/>
      <c r="EKH49" s="493"/>
      <c r="EKI49" s="493"/>
      <c r="EKJ49" s="493"/>
      <c r="EKK49" s="493"/>
      <c r="EKL49" s="493"/>
      <c r="EKM49" s="493"/>
      <c r="EKN49" s="493"/>
      <c r="EKO49" s="493"/>
      <c r="EKP49" s="493"/>
      <c r="EKQ49" s="493"/>
      <c r="EKR49" s="493"/>
      <c r="EKS49" s="493"/>
      <c r="EKT49" s="493"/>
      <c r="EKU49" s="493"/>
      <c r="EKV49" s="493"/>
      <c r="EKW49" s="493"/>
      <c r="EKX49" s="493"/>
      <c r="EKY49" s="493"/>
      <c r="EKZ49" s="493"/>
      <c r="ELA49" s="493"/>
      <c r="ELB49" s="493"/>
      <c r="ELC49" s="493"/>
      <c r="ELD49" s="493"/>
      <c r="ELE49" s="493"/>
      <c r="ELF49" s="493"/>
      <c r="ELG49" s="493"/>
      <c r="ELH49" s="493"/>
      <c r="ELI49" s="493"/>
      <c r="ELJ49" s="493"/>
      <c r="ELK49" s="493"/>
      <c r="ELL49" s="493"/>
      <c r="ELM49" s="493"/>
      <c r="ELN49" s="493"/>
      <c r="ELO49" s="493"/>
      <c r="ELP49" s="493"/>
      <c r="ELQ49" s="493"/>
      <c r="ELR49" s="493"/>
      <c r="ELS49" s="493"/>
      <c r="ELT49" s="493"/>
      <c r="ELU49" s="493"/>
      <c r="ELV49" s="493"/>
      <c r="ELW49" s="493"/>
      <c r="ELX49" s="493"/>
      <c r="ELY49" s="493"/>
      <c r="ELZ49" s="493"/>
      <c r="EMA49" s="493"/>
      <c r="EMB49" s="493"/>
      <c r="EMC49" s="493"/>
      <c r="EMD49" s="493"/>
      <c r="EME49" s="493"/>
      <c r="EMF49" s="493"/>
      <c r="EMG49" s="493"/>
      <c r="EMH49" s="493"/>
      <c r="EMI49" s="493"/>
      <c r="EMJ49" s="493"/>
      <c r="EMK49" s="493"/>
      <c r="EML49" s="493"/>
      <c r="EMM49" s="493"/>
      <c r="EMN49" s="493"/>
      <c r="EMO49" s="493"/>
      <c r="EMP49" s="493"/>
      <c r="EMQ49" s="493"/>
      <c r="EMR49" s="493"/>
      <c r="EMS49" s="493"/>
      <c r="EMT49" s="493"/>
      <c r="EMU49" s="493"/>
      <c r="EMV49" s="493"/>
      <c r="EMW49" s="493"/>
      <c r="EMX49" s="493"/>
      <c r="EMY49" s="493"/>
      <c r="EMZ49" s="493"/>
      <c r="ENA49" s="493"/>
      <c r="ENB49" s="493"/>
      <c r="ENC49" s="493"/>
      <c r="END49" s="493"/>
      <c r="ENE49" s="493"/>
      <c r="ENF49" s="493"/>
      <c r="ENG49" s="493"/>
      <c r="ENH49" s="493"/>
      <c r="ENI49" s="493"/>
      <c r="ENJ49" s="493"/>
      <c r="ENK49" s="493"/>
      <c r="ENL49" s="493"/>
      <c r="ENM49" s="493"/>
      <c r="ENN49" s="493"/>
      <c r="ENO49" s="493"/>
      <c r="ENP49" s="493"/>
      <c r="ENQ49" s="493"/>
      <c r="ENR49" s="493"/>
      <c r="ENS49" s="493"/>
      <c r="ENT49" s="493"/>
      <c r="ENU49" s="493"/>
      <c r="ENV49" s="493"/>
      <c r="ENW49" s="493"/>
      <c r="ENX49" s="493"/>
      <c r="ENY49" s="493"/>
      <c r="ENZ49" s="493"/>
      <c r="EOA49" s="493"/>
      <c r="EOB49" s="493"/>
      <c r="EOC49" s="493"/>
      <c r="EOD49" s="493"/>
      <c r="EOE49" s="493"/>
      <c r="EOF49" s="493"/>
      <c r="EOG49" s="493"/>
      <c r="EOH49" s="493"/>
      <c r="EOI49" s="493"/>
      <c r="EOJ49" s="493"/>
      <c r="EOK49" s="493"/>
      <c r="EOL49" s="493"/>
      <c r="EOM49" s="493"/>
      <c r="EON49" s="493"/>
      <c r="EOO49" s="493"/>
      <c r="EOP49" s="493"/>
      <c r="EOQ49" s="493"/>
      <c r="EOR49" s="493"/>
      <c r="EOS49" s="493"/>
      <c r="EOT49" s="493"/>
      <c r="EOU49" s="493"/>
      <c r="EOV49" s="493"/>
      <c r="EOW49" s="493"/>
      <c r="EOX49" s="493"/>
      <c r="EOY49" s="493"/>
      <c r="EOZ49" s="493"/>
      <c r="EPA49" s="493"/>
      <c r="EPB49" s="493"/>
      <c r="EPC49" s="493"/>
      <c r="EPD49" s="493"/>
      <c r="EPE49" s="493"/>
      <c r="EPF49" s="493"/>
      <c r="EPG49" s="493"/>
      <c r="EPH49" s="493"/>
      <c r="EPI49" s="493"/>
      <c r="EPJ49" s="493"/>
      <c r="EPK49" s="493"/>
      <c r="EPL49" s="493"/>
      <c r="EPM49" s="493"/>
      <c r="EPN49" s="493"/>
      <c r="EPO49" s="493"/>
      <c r="EPP49" s="493"/>
      <c r="EPQ49" s="493"/>
      <c r="EPR49" s="493"/>
      <c r="EPS49" s="493"/>
      <c r="EPT49" s="493"/>
      <c r="EPU49" s="493"/>
      <c r="EPV49" s="493"/>
      <c r="EPW49" s="493"/>
      <c r="EPX49" s="493"/>
      <c r="EPY49" s="493"/>
      <c r="EPZ49" s="493"/>
      <c r="EQA49" s="493"/>
      <c r="EQB49" s="493"/>
      <c r="EQC49" s="493"/>
      <c r="EQD49" s="493"/>
      <c r="EQE49" s="493"/>
      <c r="EQF49" s="493"/>
      <c r="EQG49" s="493"/>
      <c r="EQH49" s="493"/>
      <c r="EQI49" s="493"/>
      <c r="EQJ49" s="493"/>
      <c r="EQK49" s="493"/>
      <c r="EQL49" s="493"/>
      <c r="EQM49" s="493"/>
      <c r="EQN49" s="493"/>
      <c r="EQO49" s="493"/>
      <c r="EQP49" s="493"/>
      <c r="EQQ49" s="493"/>
      <c r="EQR49" s="493"/>
      <c r="EQS49" s="493"/>
      <c r="EQT49" s="493"/>
      <c r="EQU49" s="493"/>
      <c r="EQV49" s="493"/>
      <c r="EQW49" s="493"/>
      <c r="EQX49" s="493"/>
      <c r="EQY49" s="493"/>
      <c r="EQZ49" s="493"/>
      <c r="ERA49" s="493"/>
      <c r="ERB49" s="493"/>
      <c r="ERC49" s="493"/>
      <c r="ERD49" s="493"/>
      <c r="ERE49" s="493"/>
      <c r="ERF49" s="493"/>
      <c r="ERG49" s="493"/>
      <c r="ERH49" s="493"/>
      <c r="ERI49" s="493"/>
      <c r="ERJ49" s="493"/>
      <c r="ERK49" s="493"/>
      <c r="ERL49" s="493"/>
      <c r="ERM49" s="493"/>
      <c r="ERN49" s="493"/>
      <c r="ERO49" s="493"/>
      <c r="ERP49" s="493"/>
      <c r="ERQ49" s="493"/>
      <c r="ERR49" s="493"/>
      <c r="ERS49" s="493"/>
      <c r="ERT49" s="493"/>
      <c r="ERU49" s="493"/>
      <c r="ERV49" s="493"/>
      <c r="ERW49" s="493"/>
      <c r="ERX49" s="493"/>
      <c r="ERY49" s="493"/>
      <c r="ERZ49" s="493"/>
      <c r="ESA49" s="493"/>
      <c r="ESB49" s="493"/>
      <c r="ESC49" s="493"/>
      <c r="ESD49" s="493"/>
      <c r="ESE49" s="493"/>
      <c r="ESF49" s="493"/>
      <c r="ESG49" s="493"/>
      <c r="ESH49" s="493"/>
      <c r="ESI49" s="493"/>
      <c r="ESJ49" s="493"/>
      <c r="ESK49" s="493"/>
      <c r="ESL49" s="493"/>
      <c r="ESM49" s="493"/>
      <c r="ESN49" s="493"/>
      <c r="ESO49" s="493"/>
      <c r="ESP49" s="493"/>
      <c r="ESQ49" s="493"/>
      <c r="ESR49" s="493"/>
      <c r="ESS49" s="493"/>
      <c r="EST49" s="493"/>
      <c r="ESU49" s="493"/>
      <c r="ESV49" s="493"/>
      <c r="ESW49" s="493"/>
      <c r="ESX49" s="493"/>
      <c r="ESY49" s="493"/>
      <c r="ESZ49" s="493"/>
      <c r="ETA49" s="493"/>
      <c r="ETB49" s="493"/>
      <c r="ETC49" s="493"/>
      <c r="ETD49" s="493"/>
      <c r="ETE49" s="493"/>
      <c r="ETF49" s="493"/>
      <c r="ETG49" s="493"/>
      <c r="ETH49" s="493"/>
      <c r="ETI49" s="493"/>
      <c r="ETJ49" s="493"/>
      <c r="ETK49" s="493"/>
      <c r="ETL49" s="493"/>
      <c r="ETM49" s="493"/>
      <c r="ETN49" s="493"/>
      <c r="ETO49" s="493"/>
      <c r="ETP49" s="493"/>
      <c r="ETQ49" s="493"/>
      <c r="ETR49" s="493"/>
      <c r="ETS49" s="493"/>
      <c r="ETT49" s="493"/>
      <c r="ETU49" s="493"/>
      <c r="ETV49" s="493"/>
      <c r="ETW49" s="493"/>
      <c r="ETX49" s="493"/>
      <c r="ETY49" s="493"/>
      <c r="ETZ49" s="493"/>
      <c r="EUA49" s="493"/>
      <c r="EUB49" s="493"/>
      <c r="EUC49" s="493"/>
      <c r="EUD49" s="493"/>
      <c r="EUE49" s="493"/>
      <c r="EUF49" s="493"/>
      <c r="EUG49" s="493"/>
      <c r="EUH49" s="493"/>
      <c r="EUI49" s="493"/>
      <c r="EUJ49" s="493"/>
      <c r="EUK49" s="493"/>
      <c r="EUL49" s="493"/>
      <c r="EUM49" s="493"/>
      <c r="EUN49" s="493"/>
      <c r="EUO49" s="493"/>
      <c r="EUP49" s="493"/>
      <c r="EUQ49" s="493"/>
      <c r="EUR49" s="493"/>
      <c r="EUS49" s="493"/>
      <c r="EUT49" s="493"/>
      <c r="EUU49" s="493"/>
      <c r="EUV49" s="493"/>
      <c r="EUW49" s="493"/>
      <c r="EUX49" s="493"/>
      <c r="EUY49" s="493"/>
      <c r="EUZ49" s="493"/>
      <c r="EVA49" s="493"/>
      <c r="EVB49" s="493"/>
      <c r="EVC49" s="493"/>
      <c r="EVD49" s="493"/>
      <c r="EVE49" s="493"/>
      <c r="EVF49" s="493"/>
      <c r="EVG49" s="493"/>
      <c r="EVH49" s="493"/>
      <c r="EVI49" s="493"/>
      <c r="EVJ49" s="493"/>
      <c r="EVK49" s="493"/>
      <c r="EVL49" s="493"/>
      <c r="EVM49" s="493"/>
      <c r="EVN49" s="493"/>
      <c r="EVO49" s="493"/>
      <c r="EVP49" s="493"/>
      <c r="EVQ49" s="493"/>
      <c r="EVR49" s="493"/>
      <c r="EVS49" s="493"/>
      <c r="EVT49" s="493"/>
      <c r="EVU49" s="493"/>
      <c r="EVV49" s="493"/>
      <c r="EVW49" s="493"/>
      <c r="EVX49" s="493"/>
      <c r="EVY49" s="493"/>
      <c r="EVZ49" s="493"/>
      <c r="EWA49" s="493"/>
      <c r="EWB49" s="493"/>
      <c r="EWC49" s="493"/>
      <c r="EWD49" s="493"/>
      <c r="EWE49" s="493"/>
      <c r="EWF49" s="493"/>
      <c r="EWG49" s="493"/>
      <c r="EWH49" s="493"/>
      <c r="EWI49" s="493"/>
      <c r="EWJ49" s="493"/>
      <c r="EWK49" s="493"/>
      <c r="EWL49" s="493"/>
      <c r="EWM49" s="493"/>
      <c r="EWN49" s="493"/>
      <c r="EWO49" s="493"/>
      <c r="EWP49" s="493"/>
      <c r="EWQ49" s="493"/>
      <c r="EWR49" s="493"/>
      <c r="EWS49" s="493"/>
      <c r="EWT49" s="493"/>
      <c r="EWU49" s="493"/>
      <c r="EWV49" s="493"/>
      <c r="EWW49" s="493"/>
      <c r="EWX49" s="493"/>
      <c r="EWY49" s="493"/>
      <c r="EWZ49" s="493"/>
      <c r="EXA49" s="493"/>
      <c r="EXB49" s="493"/>
      <c r="EXC49" s="493"/>
      <c r="EXD49" s="493"/>
      <c r="EXE49" s="493"/>
      <c r="EXF49" s="493"/>
      <c r="EXG49" s="493"/>
      <c r="EXH49" s="493"/>
      <c r="EXI49" s="493"/>
      <c r="EXJ49" s="493"/>
      <c r="EXK49" s="493"/>
      <c r="EXL49" s="493"/>
      <c r="EXM49" s="493"/>
      <c r="EXN49" s="493"/>
      <c r="EXO49" s="493"/>
      <c r="EXP49" s="493"/>
      <c r="EXQ49" s="493"/>
      <c r="EXR49" s="493"/>
      <c r="EXS49" s="493"/>
      <c r="EXT49" s="493"/>
      <c r="EXU49" s="493"/>
      <c r="EXV49" s="493"/>
      <c r="EXW49" s="493"/>
      <c r="EXX49" s="493"/>
      <c r="EXY49" s="493"/>
      <c r="EXZ49" s="493"/>
      <c r="EYA49" s="493"/>
      <c r="EYB49" s="493"/>
      <c r="EYC49" s="493"/>
      <c r="EYD49" s="493"/>
      <c r="EYE49" s="493"/>
      <c r="EYF49" s="493"/>
      <c r="EYG49" s="493"/>
      <c r="EYH49" s="493"/>
      <c r="EYI49" s="493"/>
      <c r="EYJ49" s="493"/>
      <c r="EYK49" s="493"/>
      <c r="EYL49" s="493"/>
      <c r="EYM49" s="493"/>
      <c r="EYN49" s="493"/>
      <c r="EYO49" s="493"/>
      <c r="EYP49" s="493"/>
      <c r="EYQ49" s="493"/>
      <c r="EYR49" s="493"/>
      <c r="EYS49" s="493"/>
      <c r="EYT49" s="493"/>
      <c r="EYU49" s="493"/>
      <c r="EYV49" s="493"/>
      <c r="EYW49" s="493"/>
      <c r="EYX49" s="493"/>
      <c r="EYY49" s="493"/>
      <c r="EYZ49" s="493"/>
      <c r="EZA49" s="493"/>
      <c r="EZB49" s="493"/>
      <c r="EZC49" s="493"/>
      <c r="EZD49" s="493"/>
      <c r="EZE49" s="493"/>
      <c r="EZF49" s="493"/>
      <c r="EZG49" s="493"/>
      <c r="EZH49" s="493"/>
      <c r="EZI49" s="493"/>
      <c r="EZJ49" s="493"/>
      <c r="EZK49" s="493"/>
      <c r="EZL49" s="493"/>
      <c r="EZM49" s="493"/>
      <c r="EZN49" s="493"/>
      <c r="EZO49" s="493"/>
      <c r="EZP49" s="493"/>
      <c r="EZQ49" s="493"/>
      <c r="EZR49" s="493"/>
      <c r="EZS49" s="493"/>
      <c r="EZT49" s="493"/>
      <c r="EZU49" s="493"/>
      <c r="EZV49" s="493"/>
      <c r="EZW49" s="493"/>
      <c r="EZX49" s="493"/>
      <c r="EZY49" s="493"/>
      <c r="EZZ49" s="493"/>
      <c r="FAA49" s="493"/>
      <c r="FAB49" s="493"/>
      <c r="FAC49" s="493"/>
      <c r="FAD49" s="493"/>
      <c r="FAE49" s="493"/>
      <c r="FAF49" s="493"/>
      <c r="FAG49" s="493"/>
      <c r="FAH49" s="493"/>
      <c r="FAI49" s="493"/>
      <c r="FAJ49" s="493"/>
      <c r="FAK49" s="493"/>
      <c r="FAL49" s="493"/>
      <c r="FAM49" s="493"/>
      <c r="FAN49" s="493"/>
      <c r="FAO49" s="493"/>
      <c r="FAP49" s="493"/>
      <c r="FAQ49" s="493"/>
      <c r="FAR49" s="493"/>
      <c r="FAS49" s="493"/>
      <c r="FAT49" s="493"/>
      <c r="FAU49" s="493"/>
      <c r="FAV49" s="493"/>
      <c r="FAW49" s="493"/>
      <c r="FAX49" s="493"/>
      <c r="FAY49" s="493"/>
      <c r="FAZ49" s="493"/>
      <c r="FBA49" s="493"/>
      <c r="FBB49" s="493"/>
      <c r="FBC49" s="493"/>
      <c r="FBD49" s="493"/>
      <c r="FBE49" s="493"/>
      <c r="FBF49" s="493"/>
      <c r="FBG49" s="493"/>
      <c r="FBH49" s="493"/>
      <c r="FBI49" s="493"/>
      <c r="FBJ49" s="493"/>
      <c r="FBK49" s="493"/>
      <c r="FBL49" s="493"/>
      <c r="FBM49" s="493"/>
      <c r="FBN49" s="493"/>
      <c r="FBO49" s="493"/>
      <c r="FBP49" s="493"/>
      <c r="FBQ49" s="493"/>
      <c r="FBR49" s="493"/>
      <c r="FBS49" s="493"/>
      <c r="FBT49" s="493"/>
      <c r="FBU49" s="493"/>
      <c r="FBV49" s="493"/>
      <c r="FBW49" s="493"/>
      <c r="FBX49" s="493"/>
      <c r="FBY49" s="493"/>
      <c r="FBZ49" s="493"/>
      <c r="FCA49" s="493"/>
      <c r="FCB49" s="493"/>
      <c r="FCC49" s="493"/>
      <c r="FCD49" s="493"/>
      <c r="FCE49" s="493"/>
      <c r="FCF49" s="493"/>
      <c r="FCG49" s="493"/>
      <c r="FCH49" s="493"/>
      <c r="FCI49" s="493"/>
      <c r="FCJ49" s="493"/>
      <c r="FCK49" s="493"/>
      <c r="FCL49" s="493"/>
      <c r="FCM49" s="493"/>
      <c r="FCN49" s="493"/>
      <c r="FCO49" s="493"/>
      <c r="FCP49" s="493"/>
      <c r="FCQ49" s="493"/>
      <c r="FCR49" s="493"/>
      <c r="FCS49" s="493"/>
      <c r="FCT49" s="493"/>
      <c r="FCU49" s="493"/>
      <c r="FCV49" s="493"/>
      <c r="FCW49" s="493"/>
      <c r="FCX49" s="493"/>
      <c r="FCY49" s="493"/>
      <c r="FCZ49" s="493"/>
      <c r="FDA49" s="493"/>
      <c r="FDB49" s="493"/>
      <c r="FDC49" s="493"/>
      <c r="FDD49" s="493"/>
      <c r="FDE49" s="493"/>
      <c r="FDF49" s="493"/>
      <c r="FDG49" s="493"/>
      <c r="FDH49" s="493"/>
      <c r="FDI49" s="493"/>
      <c r="FDJ49" s="493"/>
      <c r="FDK49" s="493"/>
      <c r="FDL49" s="493"/>
      <c r="FDM49" s="493"/>
      <c r="FDN49" s="493"/>
      <c r="FDO49" s="493"/>
      <c r="FDP49" s="493"/>
      <c r="FDQ49" s="493"/>
      <c r="FDR49" s="493"/>
      <c r="FDS49" s="493"/>
      <c r="FDT49" s="493"/>
      <c r="FDU49" s="493"/>
      <c r="FDV49" s="493"/>
      <c r="FDW49" s="493"/>
      <c r="FDX49" s="493"/>
      <c r="FDY49" s="493"/>
      <c r="FDZ49" s="493"/>
      <c r="FEA49" s="493"/>
      <c r="FEB49" s="493"/>
      <c r="FEC49" s="493"/>
      <c r="FED49" s="493"/>
      <c r="FEE49" s="493"/>
      <c r="FEF49" s="493"/>
      <c r="FEG49" s="493"/>
      <c r="FEH49" s="493"/>
      <c r="FEI49" s="493"/>
      <c r="FEJ49" s="493"/>
      <c r="FEK49" s="493"/>
      <c r="FEL49" s="493"/>
      <c r="FEM49" s="493"/>
      <c r="FEN49" s="493"/>
      <c r="FEO49" s="493"/>
      <c r="FEP49" s="493"/>
      <c r="FEQ49" s="493"/>
      <c r="FER49" s="493"/>
      <c r="FES49" s="493"/>
      <c r="FET49" s="493"/>
      <c r="FEU49" s="493"/>
      <c r="FEV49" s="493"/>
      <c r="FEW49" s="493"/>
      <c r="FEX49" s="493"/>
      <c r="FEY49" s="493"/>
      <c r="FEZ49" s="493"/>
      <c r="FFA49" s="493"/>
      <c r="FFB49" s="493"/>
      <c r="FFC49" s="493"/>
      <c r="FFD49" s="493"/>
      <c r="FFE49" s="493"/>
      <c r="FFF49" s="493"/>
      <c r="FFG49" s="493"/>
      <c r="FFH49" s="493"/>
      <c r="FFI49" s="493"/>
      <c r="FFJ49" s="493"/>
      <c r="FFK49" s="493"/>
      <c r="FFL49" s="493"/>
      <c r="FFM49" s="493"/>
      <c r="FFN49" s="493"/>
      <c r="FFO49" s="493"/>
      <c r="FFP49" s="493"/>
      <c r="FFQ49" s="493"/>
      <c r="FFR49" s="493"/>
      <c r="FFS49" s="493"/>
      <c r="FFT49" s="493"/>
      <c r="FFU49" s="493"/>
      <c r="FFV49" s="493"/>
      <c r="FFW49" s="493"/>
      <c r="FFX49" s="493"/>
      <c r="FFY49" s="493"/>
      <c r="FFZ49" s="493"/>
      <c r="FGA49" s="493"/>
      <c r="FGB49" s="493"/>
      <c r="FGC49" s="493"/>
      <c r="FGD49" s="493"/>
      <c r="FGE49" s="493"/>
      <c r="FGF49" s="493"/>
      <c r="FGG49" s="493"/>
      <c r="FGH49" s="493"/>
      <c r="FGI49" s="493"/>
      <c r="FGJ49" s="493"/>
      <c r="FGK49" s="493"/>
      <c r="FGL49" s="493"/>
      <c r="FGM49" s="493"/>
      <c r="FGN49" s="493"/>
      <c r="FGO49" s="493"/>
      <c r="FGP49" s="493"/>
      <c r="FGQ49" s="493"/>
      <c r="FGR49" s="493"/>
      <c r="FGS49" s="493"/>
      <c r="FGT49" s="493"/>
      <c r="FGU49" s="493"/>
      <c r="FGV49" s="493"/>
      <c r="FGW49" s="493"/>
      <c r="FGX49" s="493"/>
      <c r="FGY49" s="493"/>
      <c r="FGZ49" s="493"/>
      <c r="FHA49" s="493"/>
      <c r="FHB49" s="493"/>
      <c r="FHC49" s="493"/>
      <c r="FHD49" s="493"/>
      <c r="FHE49" s="493"/>
      <c r="FHF49" s="493"/>
      <c r="FHG49" s="493"/>
      <c r="FHH49" s="493"/>
      <c r="FHI49" s="493"/>
      <c r="FHJ49" s="493"/>
      <c r="FHK49" s="493"/>
      <c r="FHL49" s="493"/>
      <c r="FHM49" s="493"/>
      <c r="FHN49" s="493"/>
      <c r="FHO49" s="493"/>
      <c r="FHP49" s="493"/>
      <c r="FHQ49" s="493"/>
      <c r="FHR49" s="493"/>
      <c r="FHS49" s="493"/>
      <c r="FHT49" s="493"/>
      <c r="FHU49" s="493"/>
      <c r="FHV49" s="493"/>
      <c r="FHW49" s="493"/>
      <c r="FHX49" s="493"/>
      <c r="FHY49" s="493"/>
      <c r="FHZ49" s="493"/>
      <c r="FIA49" s="493"/>
      <c r="FIB49" s="493"/>
      <c r="FIC49" s="493"/>
      <c r="FID49" s="493"/>
      <c r="FIE49" s="493"/>
      <c r="FIF49" s="493"/>
      <c r="FIG49" s="493"/>
      <c r="FIH49" s="493"/>
      <c r="FII49" s="493"/>
      <c r="FIJ49" s="493"/>
      <c r="FIK49" s="493"/>
      <c r="FIL49" s="493"/>
      <c r="FIM49" s="493"/>
      <c r="FIN49" s="493"/>
      <c r="FIO49" s="493"/>
      <c r="FIP49" s="493"/>
      <c r="FIQ49" s="493"/>
      <c r="FIR49" s="493"/>
      <c r="FIS49" s="493"/>
      <c r="FIT49" s="493"/>
      <c r="FIU49" s="493"/>
      <c r="FIV49" s="493"/>
      <c r="FIW49" s="493"/>
      <c r="FIX49" s="493"/>
      <c r="FIY49" s="493"/>
      <c r="FIZ49" s="493"/>
      <c r="FJA49" s="493"/>
      <c r="FJB49" s="493"/>
      <c r="FJC49" s="493"/>
      <c r="FJD49" s="493"/>
      <c r="FJE49" s="493"/>
      <c r="FJF49" s="493"/>
      <c r="FJG49" s="493"/>
      <c r="FJH49" s="493"/>
      <c r="FJI49" s="493"/>
      <c r="FJJ49" s="493"/>
      <c r="FJK49" s="493"/>
      <c r="FJL49" s="493"/>
      <c r="FJM49" s="493"/>
      <c r="FJN49" s="493"/>
      <c r="FJO49" s="493"/>
      <c r="FJP49" s="493"/>
      <c r="FJQ49" s="493"/>
      <c r="FJR49" s="493"/>
      <c r="FJS49" s="493"/>
      <c r="FJT49" s="493"/>
      <c r="FJU49" s="493"/>
      <c r="FJV49" s="493"/>
      <c r="FJW49" s="493"/>
      <c r="FJX49" s="493"/>
      <c r="FJY49" s="493"/>
      <c r="FJZ49" s="493"/>
      <c r="FKA49" s="493"/>
      <c r="FKB49" s="493"/>
      <c r="FKC49" s="493"/>
      <c r="FKD49" s="493"/>
      <c r="FKE49" s="493"/>
      <c r="FKF49" s="493"/>
      <c r="FKG49" s="493"/>
      <c r="FKH49" s="493"/>
      <c r="FKI49" s="493"/>
      <c r="FKJ49" s="493"/>
      <c r="FKK49" s="493"/>
      <c r="FKL49" s="493"/>
      <c r="FKM49" s="493"/>
      <c r="FKN49" s="493"/>
      <c r="FKO49" s="493"/>
      <c r="FKP49" s="493"/>
      <c r="FKQ49" s="493"/>
      <c r="FKR49" s="493"/>
      <c r="FKS49" s="493"/>
      <c r="FKT49" s="493"/>
      <c r="FKU49" s="493"/>
      <c r="FKV49" s="493"/>
      <c r="FKW49" s="493"/>
      <c r="FKX49" s="493"/>
      <c r="FKY49" s="493"/>
      <c r="FKZ49" s="493"/>
      <c r="FLA49" s="493"/>
      <c r="FLB49" s="493"/>
      <c r="FLC49" s="493"/>
      <c r="FLD49" s="493"/>
      <c r="FLE49" s="493"/>
      <c r="FLF49" s="493"/>
      <c r="FLG49" s="493"/>
      <c r="FLH49" s="493"/>
      <c r="FLI49" s="493"/>
      <c r="FLJ49" s="493"/>
      <c r="FLK49" s="493"/>
      <c r="FLL49" s="493"/>
      <c r="FLM49" s="493"/>
      <c r="FLN49" s="493"/>
      <c r="FLO49" s="493"/>
      <c r="FLP49" s="493"/>
      <c r="FLQ49" s="493"/>
      <c r="FLR49" s="493"/>
      <c r="FLS49" s="493"/>
      <c r="FLT49" s="493"/>
      <c r="FLU49" s="493"/>
      <c r="FLV49" s="493"/>
      <c r="FLW49" s="493"/>
      <c r="FLX49" s="493"/>
      <c r="FLY49" s="493"/>
      <c r="FLZ49" s="493"/>
      <c r="FMA49" s="493"/>
      <c r="FMB49" s="493"/>
      <c r="FMC49" s="493"/>
      <c r="FMD49" s="493"/>
      <c r="FME49" s="493"/>
      <c r="FMF49" s="493"/>
      <c r="FMG49" s="493"/>
      <c r="FMH49" s="493"/>
      <c r="FMI49" s="493"/>
      <c r="FMJ49" s="493"/>
      <c r="FMK49" s="493"/>
      <c r="FML49" s="493"/>
      <c r="FMM49" s="493"/>
      <c r="FMN49" s="493"/>
      <c r="FMO49" s="493"/>
      <c r="FMP49" s="493"/>
      <c r="FMQ49" s="493"/>
      <c r="FMR49" s="493"/>
      <c r="FMS49" s="493"/>
      <c r="FMT49" s="493"/>
      <c r="FMU49" s="493"/>
      <c r="FMV49" s="493"/>
      <c r="FMW49" s="493"/>
      <c r="FMX49" s="493"/>
      <c r="FMY49" s="493"/>
      <c r="FMZ49" s="493"/>
      <c r="FNA49" s="493"/>
      <c r="FNB49" s="493"/>
      <c r="FNC49" s="493"/>
      <c r="FND49" s="493"/>
      <c r="FNE49" s="493"/>
      <c r="FNF49" s="493"/>
      <c r="FNG49" s="493"/>
      <c r="FNH49" s="493"/>
      <c r="FNI49" s="493"/>
      <c r="FNJ49" s="493"/>
      <c r="FNK49" s="493"/>
      <c r="FNL49" s="493"/>
      <c r="FNM49" s="493"/>
      <c r="FNN49" s="493"/>
      <c r="FNO49" s="493"/>
      <c r="FNP49" s="493"/>
      <c r="FNQ49" s="493"/>
      <c r="FNR49" s="493"/>
      <c r="FNS49" s="493"/>
      <c r="FNT49" s="493"/>
      <c r="FNU49" s="493"/>
      <c r="FNV49" s="493"/>
      <c r="FNW49" s="493"/>
      <c r="FNX49" s="493"/>
      <c r="FNY49" s="493"/>
      <c r="FNZ49" s="493"/>
      <c r="FOA49" s="493"/>
      <c r="FOB49" s="493"/>
      <c r="FOC49" s="493"/>
      <c r="FOD49" s="493"/>
      <c r="FOE49" s="493"/>
      <c r="FOF49" s="493"/>
      <c r="FOG49" s="493"/>
      <c r="FOH49" s="493"/>
      <c r="FOI49" s="493"/>
      <c r="FOJ49" s="493"/>
      <c r="FOK49" s="493"/>
      <c r="FOL49" s="493"/>
      <c r="FOM49" s="493"/>
      <c r="FON49" s="493"/>
      <c r="FOO49" s="493"/>
      <c r="FOP49" s="493"/>
      <c r="FOQ49" s="493"/>
      <c r="FOR49" s="493"/>
      <c r="FOS49" s="493"/>
      <c r="FOT49" s="493"/>
      <c r="FOU49" s="493"/>
      <c r="FOV49" s="493"/>
      <c r="FOW49" s="493"/>
      <c r="FOX49" s="493"/>
      <c r="FOY49" s="493"/>
      <c r="FOZ49" s="493"/>
      <c r="FPA49" s="493"/>
      <c r="FPB49" s="493"/>
      <c r="FPC49" s="493"/>
      <c r="FPD49" s="493"/>
      <c r="FPE49" s="493"/>
      <c r="FPF49" s="493"/>
      <c r="FPG49" s="493"/>
      <c r="FPH49" s="493"/>
      <c r="FPI49" s="493"/>
      <c r="FPJ49" s="493"/>
      <c r="FPK49" s="493"/>
      <c r="FPL49" s="493"/>
      <c r="FPM49" s="493"/>
      <c r="FPN49" s="493"/>
      <c r="FPO49" s="493"/>
      <c r="FPP49" s="493"/>
      <c r="FPQ49" s="493"/>
      <c r="FPR49" s="493"/>
      <c r="FPS49" s="493"/>
      <c r="FPT49" s="493"/>
      <c r="FPU49" s="493"/>
      <c r="FPV49" s="493"/>
      <c r="FPW49" s="493"/>
      <c r="FPX49" s="493"/>
      <c r="FPY49" s="493"/>
      <c r="FPZ49" s="493"/>
      <c r="FQA49" s="493"/>
      <c r="FQB49" s="493"/>
      <c r="FQC49" s="493"/>
      <c r="FQD49" s="493"/>
      <c r="FQE49" s="493"/>
      <c r="FQF49" s="493"/>
      <c r="FQG49" s="493"/>
      <c r="FQH49" s="493"/>
      <c r="FQI49" s="493"/>
      <c r="FQJ49" s="493"/>
      <c r="FQK49" s="493"/>
      <c r="FQL49" s="493"/>
      <c r="FQM49" s="493"/>
      <c r="FQN49" s="493"/>
      <c r="FQO49" s="493"/>
      <c r="FQP49" s="493"/>
      <c r="FQQ49" s="493"/>
      <c r="FQR49" s="493"/>
      <c r="FQS49" s="493"/>
      <c r="FQT49" s="493"/>
      <c r="FQU49" s="493"/>
      <c r="FQV49" s="493"/>
      <c r="FQW49" s="493"/>
      <c r="FQX49" s="493"/>
      <c r="FQY49" s="493"/>
      <c r="FQZ49" s="493"/>
      <c r="FRA49" s="493"/>
      <c r="FRB49" s="493"/>
      <c r="FRC49" s="493"/>
      <c r="FRD49" s="493"/>
      <c r="FRE49" s="493"/>
      <c r="FRF49" s="493"/>
      <c r="FRG49" s="493"/>
      <c r="FRH49" s="493"/>
      <c r="FRI49" s="493"/>
      <c r="FRJ49" s="493"/>
      <c r="FRK49" s="493"/>
      <c r="FRL49" s="493"/>
      <c r="FRM49" s="493"/>
      <c r="FRN49" s="493"/>
      <c r="FRO49" s="493"/>
      <c r="FRP49" s="493"/>
      <c r="FRQ49" s="493"/>
      <c r="FRR49" s="493"/>
      <c r="FRS49" s="493"/>
      <c r="FRT49" s="493"/>
      <c r="FRU49" s="493"/>
      <c r="FRV49" s="493"/>
      <c r="FRW49" s="493"/>
      <c r="FRX49" s="493"/>
      <c r="FRY49" s="493"/>
      <c r="FRZ49" s="493"/>
      <c r="FSA49" s="493"/>
      <c r="FSB49" s="493"/>
      <c r="FSC49" s="493"/>
      <c r="FSD49" s="493"/>
      <c r="FSE49" s="493"/>
      <c r="FSF49" s="493"/>
      <c r="FSG49" s="493"/>
      <c r="FSH49" s="493"/>
      <c r="FSI49" s="493"/>
      <c r="FSJ49" s="493"/>
      <c r="FSK49" s="493"/>
      <c r="FSL49" s="493"/>
      <c r="FSM49" s="493"/>
      <c r="FSN49" s="493"/>
      <c r="FSO49" s="493"/>
      <c r="FSP49" s="493"/>
      <c r="FSQ49" s="493"/>
      <c r="FSR49" s="493"/>
      <c r="FSS49" s="493"/>
      <c r="FST49" s="493"/>
      <c r="FSU49" s="493"/>
      <c r="FSV49" s="493"/>
      <c r="FSW49" s="493"/>
      <c r="FSX49" s="493"/>
      <c r="FSY49" s="493"/>
      <c r="FSZ49" s="493"/>
      <c r="FTA49" s="493"/>
      <c r="FTB49" s="493"/>
      <c r="FTC49" s="493"/>
      <c r="FTD49" s="493"/>
      <c r="FTE49" s="493"/>
      <c r="FTF49" s="493"/>
      <c r="FTG49" s="493"/>
      <c r="FTH49" s="493"/>
      <c r="FTI49" s="493"/>
      <c r="FTJ49" s="493"/>
      <c r="FTK49" s="493"/>
      <c r="FTL49" s="493"/>
      <c r="FTM49" s="493"/>
      <c r="FTN49" s="493"/>
      <c r="FTO49" s="493"/>
      <c r="FTP49" s="493"/>
      <c r="FTQ49" s="493"/>
      <c r="FTR49" s="493"/>
      <c r="FTS49" s="493"/>
      <c r="FTT49" s="493"/>
      <c r="FTU49" s="493"/>
      <c r="FTV49" s="493"/>
      <c r="FTW49" s="493"/>
      <c r="FTX49" s="493"/>
      <c r="FTY49" s="493"/>
      <c r="FTZ49" s="493"/>
      <c r="FUA49" s="493"/>
      <c r="FUB49" s="493"/>
      <c r="FUC49" s="493"/>
      <c r="FUD49" s="493"/>
      <c r="FUE49" s="493"/>
      <c r="FUF49" s="493"/>
      <c r="FUG49" s="493"/>
      <c r="FUH49" s="493"/>
      <c r="FUI49" s="493"/>
      <c r="FUJ49" s="493"/>
      <c r="FUK49" s="493"/>
      <c r="FUL49" s="493"/>
      <c r="FUM49" s="493"/>
      <c r="FUN49" s="493"/>
      <c r="FUO49" s="493"/>
      <c r="FUP49" s="493"/>
      <c r="FUQ49" s="493"/>
      <c r="FUR49" s="493"/>
      <c r="FUS49" s="493"/>
      <c r="FUT49" s="493"/>
      <c r="FUU49" s="493"/>
      <c r="FUV49" s="493"/>
      <c r="FUW49" s="493"/>
      <c r="FUX49" s="493"/>
      <c r="FUY49" s="493"/>
      <c r="FUZ49" s="493"/>
      <c r="FVA49" s="493"/>
      <c r="FVB49" s="493"/>
      <c r="FVC49" s="493"/>
      <c r="FVD49" s="493"/>
      <c r="FVE49" s="493"/>
      <c r="FVF49" s="493"/>
      <c r="FVG49" s="493"/>
      <c r="FVH49" s="493"/>
      <c r="FVI49" s="493"/>
      <c r="FVJ49" s="493"/>
      <c r="FVK49" s="493"/>
      <c r="FVL49" s="493"/>
      <c r="FVM49" s="493"/>
      <c r="FVN49" s="493"/>
      <c r="FVO49" s="493"/>
      <c r="FVP49" s="493"/>
      <c r="FVQ49" s="493"/>
      <c r="FVR49" s="493"/>
      <c r="FVS49" s="493"/>
      <c r="FVT49" s="493"/>
      <c r="FVU49" s="493"/>
      <c r="FVV49" s="493"/>
      <c r="FVW49" s="493"/>
      <c r="FVX49" s="493"/>
      <c r="FVY49" s="493"/>
      <c r="FVZ49" s="493"/>
      <c r="FWA49" s="493"/>
      <c r="FWB49" s="493"/>
      <c r="FWC49" s="493"/>
      <c r="FWD49" s="493"/>
      <c r="FWE49" s="493"/>
      <c r="FWF49" s="493"/>
      <c r="FWG49" s="493"/>
      <c r="FWH49" s="493"/>
      <c r="FWI49" s="493"/>
      <c r="FWJ49" s="493"/>
      <c r="FWK49" s="493"/>
      <c r="FWL49" s="493"/>
      <c r="FWM49" s="493"/>
      <c r="FWN49" s="493"/>
      <c r="FWO49" s="493"/>
      <c r="FWP49" s="493"/>
      <c r="FWQ49" s="493"/>
      <c r="FWR49" s="493"/>
      <c r="FWS49" s="493"/>
      <c r="FWT49" s="493"/>
      <c r="FWU49" s="493"/>
      <c r="FWV49" s="493"/>
      <c r="FWW49" s="493"/>
      <c r="FWX49" s="493"/>
      <c r="FWY49" s="493"/>
      <c r="FWZ49" s="493"/>
      <c r="FXA49" s="493"/>
      <c r="FXB49" s="493"/>
      <c r="FXC49" s="493"/>
      <c r="FXD49" s="493"/>
      <c r="FXE49" s="493"/>
      <c r="FXF49" s="493"/>
      <c r="FXG49" s="493"/>
      <c r="FXH49" s="493"/>
      <c r="FXI49" s="493"/>
      <c r="FXJ49" s="493"/>
      <c r="FXK49" s="493"/>
      <c r="FXL49" s="493"/>
      <c r="FXM49" s="493"/>
      <c r="FXN49" s="493"/>
      <c r="FXO49" s="493"/>
      <c r="FXP49" s="493"/>
      <c r="FXQ49" s="493"/>
      <c r="FXR49" s="493"/>
      <c r="FXS49" s="493"/>
      <c r="FXT49" s="493"/>
      <c r="FXU49" s="493"/>
      <c r="FXV49" s="493"/>
      <c r="FXW49" s="493"/>
      <c r="FXX49" s="493"/>
      <c r="FXY49" s="493"/>
      <c r="FXZ49" s="493"/>
      <c r="FYA49" s="493"/>
      <c r="FYB49" s="493"/>
      <c r="FYC49" s="493"/>
      <c r="FYD49" s="493"/>
      <c r="FYE49" s="493"/>
      <c r="FYF49" s="493"/>
      <c r="FYG49" s="493"/>
      <c r="FYH49" s="493"/>
      <c r="FYI49" s="493"/>
      <c r="FYJ49" s="493"/>
      <c r="FYK49" s="493"/>
      <c r="FYL49" s="493"/>
      <c r="FYM49" s="493"/>
      <c r="FYN49" s="493"/>
      <c r="FYO49" s="493"/>
      <c r="FYP49" s="493"/>
      <c r="FYQ49" s="493"/>
      <c r="FYR49" s="493"/>
      <c r="FYS49" s="493"/>
      <c r="FYT49" s="493"/>
      <c r="FYU49" s="493"/>
      <c r="FYV49" s="493"/>
      <c r="FYW49" s="493"/>
      <c r="FYX49" s="493"/>
      <c r="FYY49" s="493"/>
      <c r="FYZ49" s="493"/>
      <c r="FZA49" s="493"/>
      <c r="FZB49" s="493"/>
      <c r="FZC49" s="493"/>
      <c r="FZD49" s="493"/>
      <c r="FZE49" s="493"/>
      <c r="FZF49" s="493"/>
      <c r="FZG49" s="493"/>
      <c r="FZH49" s="493"/>
      <c r="FZI49" s="493"/>
      <c r="FZJ49" s="493"/>
      <c r="FZK49" s="493"/>
      <c r="FZL49" s="493"/>
      <c r="FZM49" s="493"/>
      <c r="FZN49" s="493"/>
      <c r="FZO49" s="493"/>
      <c r="FZP49" s="493"/>
      <c r="FZQ49" s="493"/>
      <c r="FZR49" s="493"/>
      <c r="FZS49" s="493"/>
      <c r="FZT49" s="493"/>
      <c r="FZU49" s="493"/>
      <c r="FZV49" s="493"/>
      <c r="FZW49" s="493"/>
      <c r="FZX49" s="493"/>
      <c r="FZY49" s="493"/>
      <c r="FZZ49" s="493"/>
      <c r="GAA49" s="493"/>
      <c r="GAB49" s="493"/>
      <c r="GAC49" s="493"/>
      <c r="GAD49" s="493"/>
      <c r="GAE49" s="493"/>
      <c r="GAF49" s="493"/>
      <c r="GAG49" s="493"/>
      <c r="GAH49" s="493"/>
      <c r="GAI49" s="493"/>
      <c r="GAJ49" s="493"/>
      <c r="GAK49" s="493"/>
      <c r="GAL49" s="493"/>
      <c r="GAM49" s="493"/>
      <c r="GAN49" s="493"/>
      <c r="GAO49" s="493"/>
      <c r="GAP49" s="493"/>
      <c r="GAQ49" s="493"/>
      <c r="GAR49" s="493"/>
      <c r="GAS49" s="493"/>
      <c r="GAT49" s="493"/>
      <c r="GAU49" s="493"/>
      <c r="GAV49" s="493"/>
      <c r="GAW49" s="493"/>
      <c r="GAX49" s="493"/>
      <c r="GAY49" s="493"/>
      <c r="GAZ49" s="493"/>
      <c r="GBA49" s="493"/>
      <c r="GBB49" s="493"/>
      <c r="GBC49" s="493"/>
      <c r="GBD49" s="493"/>
      <c r="GBE49" s="493"/>
      <c r="GBF49" s="493"/>
      <c r="GBG49" s="493"/>
      <c r="GBH49" s="493"/>
      <c r="GBI49" s="493"/>
      <c r="GBJ49" s="493"/>
      <c r="GBK49" s="493"/>
      <c r="GBL49" s="493"/>
      <c r="GBM49" s="493"/>
      <c r="GBN49" s="493"/>
      <c r="GBO49" s="493"/>
      <c r="GBP49" s="493"/>
      <c r="GBQ49" s="493"/>
      <c r="GBR49" s="493"/>
      <c r="GBS49" s="493"/>
      <c r="GBT49" s="493"/>
      <c r="GBU49" s="493"/>
      <c r="GBV49" s="493"/>
      <c r="GBW49" s="493"/>
      <c r="GBX49" s="493"/>
      <c r="GBY49" s="493"/>
      <c r="GBZ49" s="493"/>
      <c r="GCA49" s="493"/>
      <c r="GCB49" s="493"/>
      <c r="GCC49" s="493"/>
      <c r="GCD49" s="493"/>
      <c r="GCE49" s="493"/>
      <c r="GCF49" s="493"/>
      <c r="GCG49" s="493"/>
      <c r="GCH49" s="493"/>
      <c r="GCI49" s="493"/>
      <c r="GCJ49" s="493"/>
      <c r="GCK49" s="493"/>
      <c r="GCL49" s="493"/>
      <c r="GCM49" s="493"/>
      <c r="GCN49" s="493"/>
      <c r="GCO49" s="493"/>
      <c r="GCP49" s="493"/>
      <c r="GCQ49" s="493"/>
      <c r="GCR49" s="493"/>
      <c r="GCS49" s="493"/>
      <c r="GCT49" s="493"/>
      <c r="GCU49" s="493"/>
      <c r="GCV49" s="493"/>
      <c r="GCW49" s="493"/>
      <c r="GCX49" s="493"/>
      <c r="GCY49" s="493"/>
      <c r="GCZ49" s="493"/>
      <c r="GDA49" s="493"/>
      <c r="GDB49" s="493"/>
      <c r="GDC49" s="493"/>
      <c r="GDD49" s="493"/>
      <c r="GDE49" s="493"/>
      <c r="GDF49" s="493"/>
      <c r="GDG49" s="493"/>
      <c r="GDH49" s="493"/>
      <c r="GDI49" s="493"/>
      <c r="GDJ49" s="493"/>
      <c r="GDK49" s="493"/>
      <c r="GDL49" s="493"/>
      <c r="GDM49" s="493"/>
      <c r="GDN49" s="493"/>
      <c r="GDO49" s="493"/>
      <c r="GDP49" s="493"/>
      <c r="GDQ49" s="493"/>
      <c r="GDR49" s="493"/>
      <c r="GDS49" s="493"/>
      <c r="GDT49" s="493"/>
      <c r="GDU49" s="493"/>
      <c r="GDV49" s="493"/>
      <c r="GDW49" s="493"/>
      <c r="GDX49" s="493"/>
      <c r="GDY49" s="493"/>
      <c r="GDZ49" s="493"/>
      <c r="GEA49" s="493"/>
      <c r="GEB49" s="493"/>
      <c r="GEC49" s="493"/>
      <c r="GED49" s="493"/>
      <c r="GEE49" s="493"/>
      <c r="GEF49" s="493"/>
      <c r="GEG49" s="493"/>
      <c r="GEH49" s="493"/>
      <c r="GEI49" s="493"/>
      <c r="GEJ49" s="493"/>
      <c r="GEK49" s="493"/>
      <c r="GEL49" s="493"/>
      <c r="GEM49" s="493"/>
      <c r="GEN49" s="493"/>
      <c r="GEO49" s="493"/>
      <c r="GEP49" s="493"/>
      <c r="GEQ49" s="493"/>
      <c r="GER49" s="493"/>
      <c r="GES49" s="493"/>
      <c r="GET49" s="493"/>
      <c r="GEU49" s="493"/>
      <c r="GEV49" s="493"/>
      <c r="GEW49" s="493"/>
      <c r="GEX49" s="493"/>
      <c r="GEY49" s="493"/>
      <c r="GEZ49" s="493"/>
      <c r="GFA49" s="493"/>
      <c r="GFB49" s="493"/>
      <c r="GFC49" s="493"/>
      <c r="GFD49" s="493"/>
      <c r="GFE49" s="493"/>
      <c r="GFF49" s="493"/>
      <c r="GFG49" s="493"/>
      <c r="GFH49" s="493"/>
      <c r="GFI49" s="493"/>
      <c r="GFJ49" s="493"/>
      <c r="GFK49" s="493"/>
      <c r="GFL49" s="493"/>
      <c r="GFM49" s="493"/>
      <c r="GFN49" s="493"/>
      <c r="GFO49" s="493"/>
      <c r="GFP49" s="493"/>
      <c r="GFQ49" s="493"/>
      <c r="GFR49" s="493"/>
      <c r="GFS49" s="493"/>
      <c r="GFT49" s="493"/>
      <c r="GFU49" s="493"/>
      <c r="GFV49" s="493"/>
      <c r="GFW49" s="493"/>
      <c r="GFX49" s="493"/>
      <c r="GFY49" s="493"/>
      <c r="GFZ49" s="493"/>
      <c r="GGA49" s="493"/>
      <c r="GGB49" s="493"/>
      <c r="GGC49" s="493"/>
      <c r="GGD49" s="493"/>
      <c r="GGE49" s="493"/>
      <c r="GGF49" s="493"/>
      <c r="GGG49" s="493"/>
      <c r="GGH49" s="493"/>
      <c r="GGI49" s="493"/>
      <c r="GGJ49" s="493"/>
      <c r="GGK49" s="493"/>
      <c r="GGL49" s="493"/>
      <c r="GGM49" s="493"/>
      <c r="GGN49" s="493"/>
      <c r="GGO49" s="493"/>
      <c r="GGP49" s="493"/>
      <c r="GGQ49" s="493"/>
      <c r="GGR49" s="493"/>
      <c r="GGS49" s="493"/>
      <c r="GGT49" s="493"/>
      <c r="GGU49" s="493"/>
      <c r="GGV49" s="493"/>
      <c r="GGW49" s="493"/>
      <c r="GGX49" s="493"/>
      <c r="GGY49" s="493"/>
      <c r="GGZ49" s="493"/>
      <c r="GHA49" s="493"/>
      <c r="GHB49" s="493"/>
      <c r="GHC49" s="493"/>
      <c r="GHD49" s="493"/>
      <c r="GHE49" s="493"/>
      <c r="GHF49" s="493"/>
      <c r="GHG49" s="493"/>
      <c r="GHH49" s="493"/>
      <c r="GHI49" s="493"/>
      <c r="GHJ49" s="493"/>
      <c r="GHK49" s="493"/>
      <c r="GHL49" s="493"/>
      <c r="GHM49" s="493"/>
      <c r="GHN49" s="493"/>
      <c r="GHO49" s="493"/>
      <c r="GHP49" s="493"/>
      <c r="GHQ49" s="493"/>
      <c r="GHR49" s="493"/>
      <c r="GHS49" s="493"/>
      <c r="GHT49" s="493"/>
      <c r="GHU49" s="493"/>
      <c r="GHV49" s="493"/>
      <c r="GHW49" s="493"/>
      <c r="GHX49" s="493"/>
      <c r="GHY49" s="493"/>
      <c r="GHZ49" s="493"/>
      <c r="GIA49" s="493"/>
      <c r="GIB49" s="493"/>
      <c r="GIC49" s="493"/>
      <c r="GID49" s="493"/>
      <c r="GIE49" s="493"/>
      <c r="GIF49" s="493"/>
      <c r="GIG49" s="493"/>
      <c r="GIH49" s="493"/>
      <c r="GII49" s="493"/>
      <c r="GIJ49" s="493"/>
      <c r="GIK49" s="493"/>
      <c r="GIL49" s="493"/>
      <c r="GIM49" s="493"/>
      <c r="GIN49" s="493"/>
      <c r="GIO49" s="493"/>
      <c r="GIP49" s="493"/>
      <c r="GIQ49" s="493"/>
      <c r="GIR49" s="493"/>
      <c r="GIS49" s="493"/>
      <c r="GIT49" s="493"/>
      <c r="GIU49" s="493"/>
      <c r="GIV49" s="493"/>
      <c r="GIW49" s="493"/>
      <c r="GIX49" s="493"/>
      <c r="GIY49" s="493"/>
      <c r="GIZ49" s="493"/>
      <c r="GJA49" s="493"/>
      <c r="GJB49" s="493"/>
      <c r="GJC49" s="493"/>
      <c r="GJD49" s="493"/>
      <c r="GJE49" s="493"/>
      <c r="GJF49" s="493"/>
      <c r="GJG49" s="493"/>
      <c r="GJH49" s="493"/>
      <c r="GJI49" s="493"/>
      <c r="GJJ49" s="493"/>
      <c r="GJK49" s="493"/>
      <c r="GJL49" s="493"/>
      <c r="GJM49" s="493"/>
      <c r="GJN49" s="493"/>
      <c r="GJO49" s="493"/>
      <c r="GJP49" s="493"/>
      <c r="GJQ49" s="493"/>
      <c r="GJR49" s="493"/>
      <c r="GJS49" s="493"/>
      <c r="GJT49" s="493"/>
      <c r="GJU49" s="493"/>
      <c r="GJV49" s="493"/>
      <c r="GJW49" s="493"/>
      <c r="GJX49" s="493"/>
      <c r="GJY49" s="493"/>
      <c r="GJZ49" s="493"/>
      <c r="GKA49" s="493"/>
      <c r="GKB49" s="493"/>
      <c r="GKC49" s="493"/>
      <c r="GKD49" s="493"/>
      <c r="GKE49" s="493"/>
      <c r="GKF49" s="493"/>
      <c r="GKG49" s="493"/>
      <c r="GKH49" s="493"/>
      <c r="GKI49" s="493"/>
      <c r="GKJ49" s="493"/>
      <c r="GKK49" s="493"/>
      <c r="GKL49" s="493"/>
      <c r="GKM49" s="493"/>
      <c r="GKN49" s="493"/>
      <c r="GKO49" s="493"/>
      <c r="GKP49" s="493"/>
      <c r="GKQ49" s="493"/>
      <c r="GKR49" s="493"/>
      <c r="GKS49" s="493"/>
      <c r="GKT49" s="493"/>
      <c r="GKU49" s="493"/>
      <c r="GKV49" s="493"/>
      <c r="GKW49" s="493"/>
      <c r="GKX49" s="493"/>
      <c r="GKY49" s="493"/>
      <c r="GKZ49" s="493"/>
      <c r="GLA49" s="493"/>
      <c r="GLB49" s="493"/>
      <c r="GLC49" s="493"/>
      <c r="GLD49" s="493"/>
      <c r="GLE49" s="493"/>
      <c r="GLF49" s="493"/>
      <c r="GLG49" s="493"/>
      <c r="GLH49" s="493"/>
      <c r="GLI49" s="493"/>
      <c r="GLJ49" s="493"/>
      <c r="GLK49" s="493"/>
      <c r="GLL49" s="493"/>
      <c r="GLM49" s="493"/>
      <c r="GLN49" s="493"/>
      <c r="GLO49" s="493"/>
      <c r="GLP49" s="493"/>
      <c r="GLQ49" s="493"/>
      <c r="GLR49" s="493"/>
      <c r="GLS49" s="493"/>
      <c r="GLT49" s="493"/>
      <c r="GLU49" s="493"/>
      <c r="GLV49" s="493"/>
      <c r="GLW49" s="493"/>
      <c r="GLX49" s="493"/>
      <c r="GLY49" s="493"/>
      <c r="GLZ49" s="493"/>
      <c r="GMA49" s="493"/>
      <c r="GMB49" s="493"/>
      <c r="GMC49" s="493"/>
      <c r="GMD49" s="493"/>
      <c r="GME49" s="493"/>
      <c r="GMF49" s="493"/>
      <c r="GMG49" s="493"/>
      <c r="GMH49" s="493"/>
      <c r="GMI49" s="493"/>
      <c r="GMJ49" s="493"/>
      <c r="GMK49" s="493"/>
      <c r="GML49" s="493"/>
      <c r="GMM49" s="493"/>
      <c r="GMN49" s="493"/>
      <c r="GMO49" s="493"/>
      <c r="GMP49" s="493"/>
      <c r="GMQ49" s="493"/>
      <c r="GMR49" s="493"/>
      <c r="GMS49" s="493"/>
      <c r="GMT49" s="493"/>
      <c r="GMU49" s="493"/>
      <c r="GMV49" s="493"/>
      <c r="GMW49" s="493"/>
      <c r="GMX49" s="493"/>
      <c r="GMY49" s="493"/>
      <c r="GMZ49" s="493"/>
      <c r="GNA49" s="493"/>
      <c r="GNB49" s="493"/>
      <c r="GNC49" s="493"/>
      <c r="GND49" s="493"/>
      <c r="GNE49" s="493"/>
      <c r="GNF49" s="493"/>
      <c r="GNG49" s="493"/>
      <c r="GNH49" s="493"/>
      <c r="GNI49" s="493"/>
      <c r="GNJ49" s="493"/>
      <c r="GNK49" s="493"/>
      <c r="GNL49" s="493"/>
      <c r="GNM49" s="493"/>
      <c r="GNN49" s="493"/>
      <c r="GNO49" s="493"/>
      <c r="GNP49" s="493"/>
      <c r="GNQ49" s="493"/>
      <c r="GNR49" s="493"/>
      <c r="GNS49" s="493"/>
      <c r="GNT49" s="493"/>
      <c r="GNU49" s="493"/>
      <c r="GNV49" s="493"/>
      <c r="GNW49" s="493"/>
      <c r="GNX49" s="493"/>
      <c r="GNY49" s="493"/>
      <c r="GNZ49" s="493"/>
      <c r="GOA49" s="493"/>
      <c r="GOB49" s="493"/>
      <c r="GOC49" s="493"/>
      <c r="GOD49" s="493"/>
      <c r="GOE49" s="493"/>
      <c r="GOF49" s="493"/>
      <c r="GOG49" s="493"/>
      <c r="GOH49" s="493"/>
      <c r="GOI49" s="493"/>
      <c r="GOJ49" s="493"/>
      <c r="GOK49" s="493"/>
      <c r="GOL49" s="493"/>
      <c r="GOM49" s="493"/>
      <c r="GON49" s="493"/>
      <c r="GOO49" s="493"/>
      <c r="GOP49" s="493"/>
      <c r="GOQ49" s="493"/>
      <c r="GOR49" s="493"/>
      <c r="GOS49" s="493"/>
      <c r="GOT49" s="493"/>
      <c r="GOU49" s="493"/>
      <c r="GOV49" s="493"/>
      <c r="GOW49" s="493"/>
      <c r="GOX49" s="493"/>
      <c r="GOY49" s="493"/>
      <c r="GOZ49" s="493"/>
      <c r="GPA49" s="493"/>
      <c r="GPB49" s="493"/>
      <c r="GPC49" s="493"/>
      <c r="GPD49" s="493"/>
      <c r="GPE49" s="493"/>
      <c r="GPF49" s="493"/>
      <c r="GPG49" s="493"/>
      <c r="GPH49" s="493"/>
      <c r="GPI49" s="493"/>
      <c r="GPJ49" s="493"/>
      <c r="GPK49" s="493"/>
      <c r="GPL49" s="493"/>
      <c r="GPM49" s="493"/>
      <c r="GPN49" s="493"/>
      <c r="GPO49" s="493"/>
      <c r="GPP49" s="493"/>
      <c r="GPQ49" s="493"/>
      <c r="GPR49" s="493"/>
      <c r="GPS49" s="493"/>
      <c r="GPT49" s="493"/>
      <c r="GPU49" s="493"/>
      <c r="GPV49" s="493"/>
      <c r="GPW49" s="493"/>
      <c r="GPX49" s="493"/>
      <c r="GPY49" s="493"/>
      <c r="GPZ49" s="493"/>
      <c r="GQA49" s="493"/>
      <c r="GQB49" s="493"/>
      <c r="GQC49" s="493"/>
      <c r="GQD49" s="493"/>
      <c r="GQE49" s="493"/>
      <c r="GQF49" s="493"/>
      <c r="GQG49" s="493"/>
      <c r="GQH49" s="493"/>
      <c r="GQI49" s="493"/>
      <c r="GQJ49" s="493"/>
      <c r="GQK49" s="493"/>
      <c r="GQL49" s="493"/>
      <c r="GQM49" s="493"/>
      <c r="GQN49" s="493"/>
      <c r="GQO49" s="493"/>
      <c r="GQP49" s="493"/>
      <c r="GQQ49" s="493"/>
      <c r="GQR49" s="493"/>
      <c r="GQS49" s="493"/>
      <c r="GQT49" s="493"/>
      <c r="GQU49" s="493"/>
      <c r="GQV49" s="493"/>
      <c r="GQW49" s="493"/>
      <c r="GQX49" s="493"/>
      <c r="GQY49" s="493"/>
      <c r="GQZ49" s="493"/>
      <c r="GRA49" s="493"/>
      <c r="GRB49" s="493"/>
      <c r="GRC49" s="493"/>
      <c r="GRD49" s="493"/>
      <c r="GRE49" s="493"/>
      <c r="GRF49" s="493"/>
      <c r="GRG49" s="493"/>
      <c r="GRH49" s="493"/>
      <c r="GRI49" s="493"/>
      <c r="GRJ49" s="493"/>
      <c r="GRK49" s="493"/>
      <c r="GRL49" s="493"/>
      <c r="GRM49" s="493"/>
      <c r="GRN49" s="493"/>
      <c r="GRO49" s="493"/>
      <c r="GRP49" s="493"/>
      <c r="GRQ49" s="493"/>
      <c r="GRR49" s="493"/>
      <c r="GRS49" s="493"/>
      <c r="GRT49" s="493"/>
      <c r="GRU49" s="493"/>
      <c r="GRV49" s="493"/>
      <c r="GRW49" s="493"/>
      <c r="GRX49" s="493"/>
      <c r="GRY49" s="493"/>
      <c r="GRZ49" s="493"/>
      <c r="GSA49" s="493"/>
      <c r="GSB49" s="493"/>
      <c r="GSC49" s="493"/>
      <c r="GSD49" s="493"/>
      <c r="GSE49" s="493"/>
      <c r="GSF49" s="493"/>
      <c r="GSG49" s="493"/>
      <c r="GSH49" s="493"/>
      <c r="GSI49" s="493"/>
      <c r="GSJ49" s="493"/>
      <c r="GSK49" s="493"/>
      <c r="GSL49" s="493"/>
      <c r="GSM49" s="493"/>
      <c r="GSN49" s="493"/>
      <c r="GSO49" s="493"/>
      <c r="GSP49" s="493"/>
      <c r="GSQ49" s="493"/>
      <c r="GSR49" s="493"/>
      <c r="GSS49" s="493"/>
      <c r="GST49" s="493"/>
      <c r="GSU49" s="493"/>
      <c r="GSV49" s="493"/>
      <c r="GSW49" s="493"/>
      <c r="GSX49" s="493"/>
      <c r="GSY49" s="493"/>
      <c r="GSZ49" s="493"/>
      <c r="GTA49" s="493"/>
      <c r="GTB49" s="493"/>
      <c r="GTC49" s="493"/>
      <c r="GTD49" s="493"/>
      <c r="GTE49" s="493"/>
      <c r="GTF49" s="493"/>
      <c r="GTG49" s="493"/>
      <c r="GTH49" s="493"/>
      <c r="GTI49" s="493"/>
      <c r="GTJ49" s="493"/>
      <c r="GTK49" s="493"/>
      <c r="GTL49" s="493"/>
      <c r="GTM49" s="493"/>
      <c r="GTN49" s="493"/>
      <c r="GTO49" s="493"/>
      <c r="GTP49" s="493"/>
      <c r="GTQ49" s="493"/>
      <c r="GTR49" s="493"/>
      <c r="GTS49" s="493"/>
      <c r="GTT49" s="493"/>
      <c r="GTU49" s="493"/>
      <c r="GTV49" s="493"/>
      <c r="GTW49" s="493"/>
      <c r="GTX49" s="493"/>
      <c r="GTY49" s="493"/>
      <c r="GTZ49" s="493"/>
      <c r="GUA49" s="493"/>
      <c r="GUB49" s="493"/>
      <c r="GUC49" s="493"/>
      <c r="GUD49" s="493"/>
      <c r="GUE49" s="493"/>
      <c r="GUF49" s="493"/>
      <c r="GUG49" s="493"/>
      <c r="GUH49" s="493"/>
      <c r="GUI49" s="493"/>
      <c r="GUJ49" s="493"/>
      <c r="GUK49" s="493"/>
      <c r="GUL49" s="493"/>
      <c r="GUM49" s="493"/>
      <c r="GUN49" s="493"/>
      <c r="GUO49" s="493"/>
      <c r="GUP49" s="493"/>
      <c r="GUQ49" s="493"/>
      <c r="GUR49" s="493"/>
      <c r="GUS49" s="493"/>
      <c r="GUT49" s="493"/>
      <c r="GUU49" s="493"/>
      <c r="GUV49" s="493"/>
      <c r="GUW49" s="493"/>
      <c r="GUX49" s="493"/>
      <c r="GUY49" s="493"/>
      <c r="GUZ49" s="493"/>
      <c r="GVA49" s="493"/>
      <c r="GVB49" s="493"/>
      <c r="GVC49" s="493"/>
      <c r="GVD49" s="493"/>
      <c r="GVE49" s="493"/>
      <c r="GVF49" s="493"/>
      <c r="GVG49" s="493"/>
      <c r="GVH49" s="493"/>
      <c r="GVI49" s="493"/>
      <c r="GVJ49" s="493"/>
      <c r="GVK49" s="493"/>
      <c r="GVL49" s="493"/>
      <c r="GVM49" s="493"/>
      <c r="GVN49" s="493"/>
      <c r="GVO49" s="493"/>
      <c r="GVP49" s="493"/>
      <c r="GVQ49" s="493"/>
      <c r="GVR49" s="493"/>
      <c r="GVS49" s="493"/>
      <c r="GVT49" s="493"/>
      <c r="GVU49" s="493"/>
      <c r="GVV49" s="493"/>
      <c r="GVW49" s="493"/>
      <c r="GVX49" s="493"/>
      <c r="GVY49" s="493"/>
      <c r="GVZ49" s="493"/>
      <c r="GWA49" s="493"/>
      <c r="GWB49" s="493"/>
      <c r="GWC49" s="493"/>
      <c r="GWD49" s="493"/>
      <c r="GWE49" s="493"/>
      <c r="GWF49" s="493"/>
      <c r="GWG49" s="493"/>
      <c r="GWH49" s="493"/>
      <c r="GWI49" s="493"/>
      <c r="GWJ49" s="493"/>
      <c r="GWK49" s="493"/>
      <c r="GWL49" s="493"/>
      <c r="GWM49" s="493"/>
      <c r="GWN49" s="493"/>
      <c r="GWO49" s="493"/>
      <c r="GWP49" s="493"/>
      <c r="GWQ49" s="493"/>
      <c r="GWR49" s="493"/>
      <c r="GWS49" s="493"/>
      <c r="GWT49" s="493"/>
      <c r="GWU49" s="493"/>
      <c r="GWV49" s="493"/>
      <c r="GWW49" s="493"/>
      <c r="GWX49" s="493"/>
      <c r="GWY49" s="493"/>
      <c r="GWZ49" s="493"/>
      <c r="GXA49" s="493"/>
      <c r="GXB49" s="493"/>
      <c r="GXC49" s="493"/>
      <c r="GXD49" s="493"/>
      <c r="GXE49" s="493"/>
      <c r="GXF49" s="493"/>
      <c r="GXG49" s="493"/>
      <c r="GXH49" s="493"/>
      <c r="GXI49" s="493"/>
      <c r="GXJ49" s="493"/>
      <c r="GXK49" s="493"/>
      <c r="GXL49" s="493"/>
      <c r="GXM49" s="493"/>
      <c r="GXN49" s="493"/>
      <c r="GXO49" s="493"/>
      <c r="GXP49" s="493"/>
      <c r="GXQ49" s="493"/>
      <c r="GXR49" s="493"/>
      <c r="GXS49" s="493"/>
      <c r="GXT49" s="493"/>
      <c r="GXU49" s="493"/>
      <c r="GXV49" s="493"/>
      <c r="GXW49" s="493"/>
      <c r="GXX49" s="493"/>
      <c r="GXY49" s="493"/>
      <c r="GXZ49" s="493"/>
      <c r="GYA49" s="493"/>
      <c r="GYB49" s="493"/>
      <c r="GYC49" s="493"/>
      <c r="GYD49" s="493"/>
      <c r="GYE49" s="493"/>
      <c r="GYF49" s="493"/>
      <c r="GYG49" s="493"/>
      <c r="GYH49" s="493"/>
      <c r="GYI49" s="493"/>
      <c r="GYJ49" s="493"/>
      <c r="GYK49" s="493"/>
      <c r="GYL49" s="493"/>
      <c r="GYM49" s="493"/>
      <c r="GYN49" s="493"/>
      <c r="GYO49" s="493"/>
      <c r="GYP49" s="493"/>
      <c r="GYQ49" s="493"/>
      <c r="GYR49" s="493"/>
      <c r="GYS49" s="493"/>
      <c r="GYT49" s="493"/>
      <c r="GYU49" s="493"/>
      <c r="GYV49" s="493"/>
      <c r="GYW49" s="493"/>
      <c r="GYX49" s="493"/>
      <c r="GYY49" s="493"/>
      <c r="GYZ49" s="493"/>
      <c r="GZA49" s="493"/>
      <c r="GZB49" s="493"/>
      <c r="GZC49" s="493"/>
      <c r="GZD49" s="493"/>
      <c r="GZE49" s="493"/>
      <c r="GZF49" s="493"/>
      <c r="GZG49" s="493"/>
      <c r="GZH49" s="493"/>
      <c r="GZI49" s="493"/>
      <c r="GZJ49" s="493"/>
      <c r="GZK49" s="493"/>
      <c r="GZL49" s="493"/>
      <c r="GZM49" s="493"/>
      <c r="GZN49" s="493"/>
      <c r="GZO49" s="493"/>
      <c r="GZP49" s="493"/>
      <c r="GZQ49" s="493"/>
      <c r="GZR49" s="493"/>
      <c r="GZS49" s="493"/>
      <c r="GZT49" s="493"/>
      <c r="GZU49" s="493"/>
      <c r="GZV49" s="493"/>
      <c r="GZW49" s="493"/>
      <c r="GZX49" s="493"/>
      <c r="GZY49" s="493"/>
      <c r="GZZ49" s="493"/>
      <c r="HAA49" s="493"/>
      <c r="HAB49" s="493"/>
      <c r="HAC49" s="493"/>
      <c r="HAD49" s="493"/>
      <c r="HAE49" s="493"/>
      <c r="HAF49" s="493"/>
      <c r="HAG49" s="493"/>
      <c r="HAH49" s="493"/>
      <c r="HAI49" s="493"/>
      <c r="HAJ49" s="493"/>
      <c r="HAK49" s="493"/>
      <c r="HAL49" s="493"/>
      <c r="HAM49" s="493"/>
      <c r="HAN49" s="493"/>
      <c r="HAO49" s="493"/>
      <c r="HAP49" s="493"/>
      <c r="HAQ49" s="493"/>
      <c r="HAR49" s="493"/>
      <c r="HAS49" s="493"/>
      <c r="HAT49" s="493"/>
      <c r="HAU49" s="493"/>
      <c r="HAV49" s="493"/>
      <c r="HAW49" s="493"/>
      <c r="HAX49" s="493"/>
      <c r="HAY49" s="493"/>
      <c r="HAZ49" s="493"/>
      <c r="HBA49" s="493"/>
      <c r="HBB49" s="493"/>
      <c r="HBC49" s="493"/>
      <c r="HBD49" s="493"/>
      <c r="HBE49" s="493"/>
      <c r="HBF49" s="493"/>
      <c r="HBG49" s="493"/>
      <c r="HBH49" s="493"/>
      <c r="HBI49" s="493"/>
      <c r="HBJ49" s="493"/>
      <c r="HBK49" s="493"/>
      <c r="HBL49" s="493"/>
      <c r="HBM49" s="493"/>
      <c r="HBN49" s="493"/>
      <c r="HBO49" s="493"/>
      <c r="HBP49" s="493"/>
      <c r="HBQ49" s="493"/>
      <c r="HBR49" s="493"/>
      <c r="HBS49" s="493"/>
      <c r="HBT49" s="493"/>
      <c r="HBU49" s="493"/>
      <c r="HBV49" s="493"/>
      <c r="HBW49" s="493"/>
      <c r="HBX49" s="493"/>
      <c r="HBY49" s="493"/>
      <c r="HBZ49" s="493"/>
      <c r="HCA49" s="493"/>
      <c r="HCB49" s="493"/>
      <c r="HCC49" s="493"/>
      <c r="HCD49" s="493"/>
      <c r="HCE49" s="493"/>
      <c r="HCF49" s="493"/>
      <c r="HCG49" s="493"/>
      <c r="HCH49" s="493"/>
      <c r="HCI49" s="493"/>
      <c r="HCJ49" s="493"/>
      <c r="HCK49" s="493"/>
      <c r="HCL49" s="493"/>
      <c r="HCM49" s="493"/>
      <c r="HCN49" s="493"/>
      <c r="HCO49" s="493"/>
      <c r="HCP49" s="493"/>
      <c r="HCQ49" s="493"/>
      <c r="HCR49" s="493"/>
      <c r="HCS49" s="493"/>
      <c r="HCT49" s="493"/>
      <c r="HCU49" s="493"/>
      <c r="HCV49" s="493"/>
      <c r="HCW49" s="493"/>
      <c r="HCX49" s="493"/>
      <c r="HCY49" s="493"/>
      <c r="HCZ49" s="493"/>
      <c r="HDA49" s="493"/>
      <c r="HDB49" s="493"/>
      <c r="HDC49" s="493"/>
      <c r="HDD49" s="493"/>
      <c r="HDE49" s="493"/>
      <c r="HDF49" s="493"/>
      <c r="HDG49" s="493"/>
      <c r="HDH49" s="493"/>
      <c r="HDI49" s="493"/>
      <c r="HDJ49" s="493"/>
      <c r="HDK49" s="493"/>
      <c r="HDL49" s="493"/>
      <c r="HDM49" s="493"/>
      <c r="HDN49" s="493"/>
      <c r="HDO49" s="493"/>
      <c r="HDP49" s="493"/>
      <c r="HDQ49" s="493"/>
      <c r="HDR49" s="493"/>
      <c r="HDS49" s="493"/>
      <c r="HDT49" s="493"/>
      <c r="HDU49" s="493"/>
      <c r="HDV49" s="493"/>
      <c r="HDW49" s="493"/>
      <c r="HDX49" s="493"/>
      <c r="HDY49" s="493"/>
      <c r="HDZ49" s="493"/>
      <c r="HEA49" s="493"/>
      <c r="HEB49" s="493"/>
      <c r="HEC49" s="493"/>
      <c r="HED49" s="493"/>
      <c r="HEE49" s="493"/>
      <c r="HEF49" s="493"/>
      <c r="HEG49" s="493"/>
      <c r="HEH49" s="493"/>
      <c r="HEI49" s="493"/>
      <c r="HEJ49" s="493"/>
      <c r="HEK49" s="493"/>
      <c r="HEL49" s="493"/>
      <c r="HEM49" s="493"/>
      <c r="HEN49" s="493"/>
      <c r="HEO49" s="493"/>
      <c r="HEP49" s="493"/>
      <c r="HEQ49" s="493"/>
      <c r="HER49" s="493"/>
      <c r="HES49" s="493"/>
      <c r="HET49" s="493"/>
      <c r="HEU49" s="493"/>
      <c r="HEV49" s="493"/>
      <c r="HEW49" s="493"/>
      <c r="HEX49" s="493"/>
      <c r="HEY49" s="493"/>
      <c r="HEZ49" s="493"/>
      <c r="HFA49" s="493"/>
      <c r="HFB49" s="493"/>
      <c r="HFC49" s="493"/>
      <c r="HFD49" s="493"/>
      <c r="HFE49" s="493"/>
      <c r="HFF49" s="493"/>
      <c r="HFG49" s="493"/>
      <c r="HFH49" s="493"/>
      <c r="HFI49" s="493"/>
      <c r="HFJ49" s="493"/>
      <c r="HFK49" s="493"/>
      <c r="HFL49" s="493"/>
      <c r="HFM49" s="493"/>
      <c r="HFN49" s="493"/>
      <c r="HFO49" s="493"/>
      <c r="HFP49" s="493"/>
      <c r="HFQ49" s="493"/>
      <c r="HFR49" s="493"/>
      <c r="HFS49" s="493"/>
      <c r="HFT49" s="493"/>
      <c r="HFU49" s="493"/>
      <c r="HFV49" s="493"/>
      <c r="HFW49" s="493"/>
      <c r="HFX49" s="493"/>
      <c r="HFY49" s="493"/>
      <c r="HFZ49" s="493"/>
      <c r="HGA49" s="493"/>
      <c r="HGB49" s="493"/>
      <c r="HGC49" s="493"/>
      <c r="HGD49" s="493"/>
      <c r="HGE49" s="493"/>
      <c r="HGF49" s="493"/>
      <c r="HGG49" s="493"/>
      <c r="HGH49" s="493"/>
      <c r="HGI49" s="493"/>
      <c r="HGJ49" s="493"/>
      <c r="HGK49" s="493"/>
      <c r="HGL49" s="493"/>
      <c r="HGM49" s="493"/>
      <c r="HGN49" s="493"/>
      <c r="HGO49" s="493"/>
      <c r="HGP49" s="493"/>
      <c r="HGQ49" s="493"/>
      <c r="HGR49" s="493"/>
      <c r="HGS49" s="493"/>
      <c r="HGT49" s="493"/>
      <c r="HGU49" s="493"/>
      <c r="HGV49" s="493"/>
      <c r="HGW49" s="493"/>
      <c r="HGX49" s="493"/>
      <c r="HGY49" s="493"/>
      <c r="HGZ49" s="493"/>
      <c r="HHA49" s="493"/>
      <c r="HHB49" s="493"/>
      <c r="HHC49" s="493"/>
      <c r="HHD49" s="493"/>
      <c r="HHE49" s="493"/>
      <c r="HHF49" s="493"/>
      <c r="HHG49" s="493"/>
      <c r="HHH49" s="493"/>
      <c r="HHI49" s="493"/>
      <c r="HHJ49" s="493"/>
      <c r="HHK49" s="493"/>
      <c r="HHL49" s="493"/>
      <c r="HHM49" s="493"/>
      <c r="HHN49" s="493"/>
      <c r="HHO49" s="493"/>
      <c r="HHP49" s="493"/>
      <c r="HHQ49" s="493"/>
      <c r="HHR49" s="493"/>
      <c r="HHS49" s="493"/>
      <c r="HHT49" s="493"/>
      <c r="HHU49" s="493"/>
      <c r="HHV49" s="493"/>
      <c r="HHW49" s="493"/>
      <c r="HHX49" s="493"/>
      <c r="HHY49" s="493"/>
      <c r="HHZ49" s="493"/>
      <c r="HIA49" s="493"/>
      <c r="HIB49" s="493"/>
      <c r="HIC49" s="493"/>
      <c r="HID49" s="493"/>
      <c r="HIE49" s="493"/>
      <c r="HIF49" s="493"/>
      <c r="HIG49" s="493"/>
      <c r="HIH49" s="493"/>
      <c r="HII49" s="493"/>
      <c r="HIJ49" s="493"/>
      <c r="HIK49" s="493"/>
      <c r="HIL49" s="493"/>
      <c r="HIM49" s="493"/>
      <c r="HIN49" s="493"/>
      <c r="HIO49" s="493"/>
      <c r="HIP49" s="493"/>
      <c r="HIQ49" s="493"/>
      <c r="HIR49" s="493"/>
      <c r="HIS49" s="493"/>
      <c r="HIT49" s="493"/>
      <c r="HIU49" s="493"/>
      <c r="HIV49" s="493"/>
      <c r="HIW49" s="493"/>
      <c r="HIX49" s="493"/>
      <c r="HIY49" s="493"/>
      <c r="HIZ49" s="493"/>
      <c r="HJA49" s="493"/>
      <c r="HJB49" s="493"/>
      <c r="HJC49" s="493"/>
      <c r="HJD49" s="493"/>
      <c r="HJE49" s="493"/>
      <c r="HJF49" s="493"/>
      <c r="HJG49" s="493"/>
      <c r="HJH49" s="493"/>
      <c r="HJI49" s="493"/>
      <c r="HJJ49" s="493"/>
      <c r="HJK49" s="493"/>
      <c r="HJL49" s="493"/>
      <c r="HJM49" s="493"/>
      <c r="HJN49" s="493"/>
      <c r="HJO49" s="493"/>
      <c r="HJP49" s="493"/>
      <c r="HJQ49" s="493"/>
      <c r="HJR49" s="493"/>
      <c r="HJS49" s="493"/>
      <c r="HJT49" s="493"/>
      <c r="HJU49" s="493"/>
      <c r="HJV49" s="493"/>
      <c r="HJW49" s="493"/>
      <c r="HJX49" s="493"/>
      <c r="HJY49" s="493"/>
      <c r="HJZ49" s="493"/>
      <c r="HKA49" s="493"/>
      <c r="HKB49" s="493"/>
      <c r="HKC49" s="493"/>
      <c r="HKD49" s="493"/>
      <c r="HKE49" s="493"/>
      <c r="HKF49" s="493"/>
      <c r="HKG49" s="493"/>
      <c r="HKH49" s="493"/>
      <c r="HKI49" s="493"/>
      <c r="HKJ49" s="493"/>
      <c r="HKK49" s="493"/>
      <c r="HKL49" s="493"/>
      <c r="HKM49" s="493"/>
      <c r="HKN49" s="493"/>
      <c r="HKO49" s="493"/>
      <c r="HKP49" s="493"/>
      <c r="HKQ49" s="493"/>
      <c r="HKR49" s="493"/>
      <c r="HKS49" s="493"/>
      <c r="HKT49" s="493"/>
      <c r="HKU49" s="493"/>
      <c r="HKV49" s="493"/>
      <c r="HKW49" s="493"/>
      <c r="HKX49" s="493"/>
      <c r="HKY49" s="493"/>
      <c r="HKZ49" s="493"/>
      <c r="HLA49" s="493"/>
      <c r="HLB49" s="493"/>
      <c r="HLC49" s="493"/>
      <c r="HLD49" s="493"/>
      <c r="HLE49" s="493"/>
      <c r="HLF49" s="493"/>
      <c r="HLG49" s="493"/>
      <c r="HLH49" s="493"/>
      <c r="HLI49" s="493"/>
      <c r="HLJ49" s="493"/>
      <c r="HLK49" s="493"/>
      <c r="HLL49" s="493"/>
      <c r="HLM49" s="493"/>
      <c r="HLN49" s="493"/>
      <c r="HLO49" s="493"/>
      <c r="HLP49" s="493"/>
      <c r="HLQ49" s="493"/>
      <c r="HLR49" s="493"/>
      <c r="HLS49" s="493"/>
      <c r="HLT49" s="493"/>
      <c r="HLU49" s="493"/>
      <c r="HLV49" s="493"/>
      <c r="HLW49" s="493"/>
      <c r="HLX49" s="493"/>
      <c r="HLY49" s="493"/>
      <c r="HLZ49" s="493"/>
      <c r="HMA49" s="493"/>
      <c r="HMB49" s="493"/>
      <c r="HMC49" s="493"/>
      <c r="HMD49" s="493"/>
      <c r="HME49" s="493"/>
      <c r="HMF49" s="493"/>
      <c r="HMG49" s="493"/>
      <c r="HMH49" s="493"/>
      <c r="HMI49" s="493"/>
      <c r="HMJ49" s="493"/>
      <c r="HMK49" s="493"/>
      <c r="HML49" s="493"/>
      <c r="HMM49" s="493"/>
      <c r="HMN49" s="493"/>
      <c r="HMO49" s="493"/>
      <c r="HMP49" s="493"/>
      <c r="HMQ49" s="493"/>
      <c r="HMR49" s="493"/>
      <c r="HMS49" s="493"/>
      <c r="HMT49" s="493"/>
      <c r="HMU49" s="493"/>
      <c r="HMV49" s="493"/>
      <c r="HMW49" s="493"/>
      <c r="HMX49" s="493"/>
      <c r="HMY49" s="493"/>
      <c r="HMZ49" s="493"/>
      <c r="HNA49" s="493"/>
      <c r="HNB49" s="493"/>
      <c r="HNC49" s="493"/>
      <c r="HND49" s="493"/>
      <c r="HNE49" s="493"/>
      <c r="HNF49" s="493"/>
      <c r="HNG49" s="493"/>
      <c r="HNH49" s="493"/>
      <c r="HNI49" s="493"/>
      <c r="HNJ49" s="493"/>
      <c r="HNK49" s="493"/>
      <c r="HNL49" s="493"/>
      <c r="HNM49" s="493"/>
      <c r="HNN49" s="493"/>
      <c r="HNO49" s="493"/>
      <c r="HNP49" s="493"/>
      <c r="HNQ49" s="493"/>
      <c r="HNR49" s="493"/>
      <c r="HNS49" s="493"/>
      <c r="HNT49" s="493"/>
      <c r="HNU49" s="493"/>
      <c r="HNV49" s="493"/>
      <c r="HNW49" s="493"/>
      <c r="HNX49" s="493"/>
      <c r="HNY49" s="493"/>
      <c r="HNZ49" s="493"/>
      <c r="HOA49" s="493"/>
      <c r="HOB49" s="493"/>
      <c r="HOC49" s="493"/>
      <c r="HOD49" s="493"/>
      <c r="HOE49" s="493"/>
      <c r="HOF49" s="493"/>
      <c r="HOG49" s="493"/>
      <c r="HOH49" s="493"/>
      <c r="HOI49" s="493"/>
      <c r="HOJ49" s="493"/>
      <c r="HOK49" s="493"/>
      <c r="HOL49" s="493"/>
      <c r="HOM49" s="493"/>
      <c r="HON49" s="493"/>
      <c r="HOO49" s="493"/>
      <c r="HOP49" s="493"/>
      <c r="HOQ49" s="493"/>
      <c r="HOR49" s="493"/>
      <c r="HOS49" s="493"/>
      <c r="HOT49" s="493"/>
      <c r="HOU49" s="493"/>
      <c r="HOV49" s="493"/>
      <c r="HOW49" s="493"/>
      <c r="HOX49" s="493"/>
      <c r="HOY49" s="493"/>
      <c r="HOZ49" s="493"/>
      <c r="HPA49" s="493"/>
      <c r="HPB49" s="493"/>
      <c r="HPC49" s="493"/>
      <c r="HPD49" s="493"/>
      <c r="HPE49" s="493"/>
      <c r="HPF49" s="493"/>
      <c r="HPG49" s="493"/>
      <c r="HPH49" s="493"/>
      <c r="HPI49" s="493"/>
      <c r="HPJ49" s="493"/>
      <c r="HPK49" s="493"/>
      <c r="HPL49" s="493"/>
      <c r="HPM49" s="493"/>
      <c r="HPN49" s="493"/>
      <c r="HPO49" s="493"/>
      <c r="HPP49" s="493"/>
      <c r="HPQ49" s="493"/>
      <c r="HPR49" s="493"/>
      <c r="HPS49" s="493"/>
      <c r="HPT49" s="493"/>
      <c r="HPU49" s="493"/>
      <c r="HPV49" s="493"/>
      <c r="HPW49" s="493"/>
      <c r="HPX49" s="493"/>
      <c r="HPY49" s="493"/>
      <c r="HPZ49" s="493"/>
      <c r="HQA49" s="493"/>
      <c r="HQB49" s="493"/>
      <c r="HQC49" s="493"/>
      <c r="HQD49" s="493"/>
      <c r="HQE49" s="493"/>
      <c r="HQF49" s="493"/>
      <c r="HQG49" s="493"/>
      <c r="HQH49" s="493"/>
      <c r="HQI49" s="493"/>
      <c r="HQJ49" s="493"/>
      <c r="HQK49" s="493"/>
      <c r="HQL49" s="493"/>
      <c r="HQM49" s="493"/>
      <c r="HQN49" s="493"/>
      <c r="HQO49" s="493"/>
      <c r="HQP49" s="493"/>
      <c r="HQQ49" s="493"/>
      <c r="HQR49" s="493"/>
      <c r="HQS49" s="493"/>
      <c r="HQT49" s="493"/>
      <c r="HQU49" s="493"/>
      <c r="HQV49" s="493"/>
      <c r="HQW49" s="493"/>
      <c r="HQX49" s="493"/>
      <c r="HQY49" s="493"/>
      <c r="HQZ49" s="493"/>
      <c r="HRA49" s="493"/>
      <c r="HRB49" s="493"/>
      <c r="HRC49" s="493"/>
      <c r="HRD49" s="493"/>
      <c r="HRE49" s="493"/>
      <c r="HRF49" s="493"/>
      <c r="HRG49" s="493"/>
      <c r="HRH49" s="493"/>
      <c r="HRI49" s="493"/>
      <c r="HRJ49" s="493"/>
      <c r="HRK49" s="493"/>
      <c r="HRL49" s="493"/>
      <c r="HRM49" s="493"/>
      <c r="HRN49" s="493"/>
      <c r="HRO49" s="493"/>
      <c r="HRP49" s="493"/>
      <c r="HRQ49" s="493"/>
      <c r="HRR49" s="493"/>
      <c r="HRS49" s="493"/>
      <c r="HRT49" s="493"/>
      <c r="HRU49" s="493"/>
      <c r="HRV49" s="493"/>
      <c r="HRW49" s="493"/>
      <c r="HRX49" s="493"/>
      <c r="HRY49" s="493"/>
      <c r="HRZ49" s="493"/>
      <c r="HSA49" s="493"/>
      <c r="HSB49" s="493"/>
      <c r="HSC49" s="493"/>
      <c r="HSD49" s="493"/>
      <c r="HSE49" s="493"/>
      <c r="HSF49" s="493"/>
      <c r="HSG49" s="493"/>
      <c r="HSH49" s="493"/>
      <c r="HSI49" s="493"/>
      <c r="HSJ49" s="493"/>
      <c r="HSK49" s="493"/>
      <c r="HSL49" s="493"/>
      <c r="HSM49" s="493"/>
      <c r="HSN49" s="493"/>
      <c r="HSO49" s="493"/>
      <c r="HSP49" s="493"/>
      <c r="HSQ49" s="493"/>
      <c r="HSR49" s="493"/>
      <c r="HSS49" s="493"/>
      <c r="HST49" s="493"/>
      <c r="HSU49" s="493"/>
      <c r="HSV49" s="493"/>
      <c r="HSW49" s="493"/>
      <c r="HSX49" s="493"/>
      <c r="HSY49" s="493"/>
      <c r="HSZ49" s="493"/>
      <c r="HTA49" s="493"/>
      <c r="HTB49" s="493"/>
      <c r="HTC49" s="493"/>
      <c r="HTD49" s="493"/>
      <c r="HTE49" s="493"/>
      <c r="HTF49" s="493"/>
      <c r="HTG49" s="493"/>
      <c r="HTH49" s="493"/>
      <c r="HTI49" s="493"/>
      <c r="HTJ49" s="493"/>
      <c r="HTK49" s="493"/>
      <c r="HTL49" s="493"/>
      <c r="HTM49" s="493"/>
      <c r="HTN49" s="493"/>
      <c r="HTO49" s="493"/>
      <c r="HTP49" s="493"/>
      <c r="HTQ49" s="493"/>
      <c r="HTR49" s="493"/>
      <c r="HTS49" s="493"/>
      <c r="HTT49" s="493"/>
      <c r="HTU49" s="493"/>
      <c r="HTV49" s="493"/>
      <c r="HTW49" s="493"/>
      <c r="HTX49" s="493"/>
      <c r="HTY49" s="493"/>
      <c r="HTZ49" s="493"/>
      <c r="HUA49" s="493"/>
      <c r="HUB49" s="493"/>
      <c r="HUC49" s="493"/>
      <c r="HUD49" s="493"/>
      <c r="HUE49" s="493"/>
      <c r="HUF49" s="493"/>
      <c r="HUG49" s="493"/>
      <c r="HUH49" s="493"/>
      <c r="HUI49" s="493"/>
      <c r="HUJ49" s="493"/>
      <c r="HUK49" s="493"/>
      <c r="HUL49" s="493"/>
      <c r="HUM49" s="493"/>
      <c r="HUN49" s="493"/>
      <c r="HUO49" s="493"/>
      <c r="HUP49" s="493"/>
      <c r="HUQ49" s="493"/>
      <c r="HUR49" s="493"/>
      <c r="HUS49" s="493"/>
      <c r="HUT49" s="493"/>
      <c r="HUU49" s="493"/>
      <c r="HUV49" s="493"/>
      <c r="HUW49" s="493"/>
      <c r="HUX49" s="493"/>
      <c r="HUY49" s="493"/>
      <c r="HUZ49" s="493"/>
      <c r="HVA49" s="493"/>
      <c r="HVB49" s="493"/>
      <c r="HVC49" s="493"/>
      <c r="HVD49" s="493"/>
      <c r="HVE49" s="493"/>
      <c r="HVF49" s="493"/>
      <c r="HVG49" s="493"/>
      <c r="HVH49" s="493"/>
      <c r="HVI49" s="493"/>
      <c r="HVJ49" s="493"/>
      <c r="HVK49" s="493"/>
      <c r="HVL49" s="493"/>
      <c r="HVM49" s="493"/>
      <c r="HVN49" s="493"/>
      <c r="HVO49" s="493"/>
      <c r="HVP49" s="493"/>
      <c r="HVQ49" s="493"/>
      <c r="HVR49" s="493"/>
      <c r="HVS49" s="493"/>
      <c r="HVT49" s="493"/>
      <c r="HVU49" s="493"/>
      <c r="HVV49" s="493"/>
      <c r="HVW49" s="493"/>
      <c r="HVX49" s="493"/>
      <c r="HVY49" s="493"/>
      <c r="HVZ49" s="493"/>
      <c r="HWA49" s="493"/>
      <c r="HWB49" s="493"/>
      <c r="HWC49" s="493"/>
      <c r="HWD49" s="493"/>
      <c r="HWE49" s="493"/>
      <c r="HWF49" s="493"/>
      <c r="HWG49" s="493"/>
      <c r="HWH49" s="493"/>
      <c r="HWI49" s="493"/>
      <c r="HWJ49" s="493"/>
      <c r="HWK49" s="493"/>
      <c r="HWL49" s="493"/>
      <c r="HWM49" s="493"/>
      <c r="HWN49" s="493"/>
      <c r="HWO49" s="493"/>
      <c r="HWP49" s="493"/>
      <c r="HWQ49" s="493"/>
      <c r="HWR49" s="493"/>
      <c r="HWS49" s="493"/>
      <c r="HWT49" s="493"/>
      <c r="HWU49" s="493"/>
      <c r="HWV49" s="493"/>
      <c r="HWW49" s="493"/>
      <c r="HWX49" s="493"/>
      <c r="HWY49" s="493"/>
      <c r="HWZ49" s="493"/>
      <c r="HXA49" s="493"/>
      <c r="HXB49" s="493"/>
      <c r="HXC49" s="493"/>
      <c r="HXD49" s="493"/>
      <c r="HXE49" s="493"/>
      <c r="HXF49" s="493"/>
      <c r="HXG49" s="493"/>
      <c r="HXH49" s="493"/>
      <c r="HXI49" s="493"/>
      <c r="HXJ49" s="493"/>
      <c r="HXK49" s="493"/>
      <c r="HXL49" s="493"/>
      <c r="HXM49" s="493"/>
      <c r="HXN49" s="493"/>
      <c r="HXO49" s="493"/>
      <c r="HXP49" s="493"/>
      <c r="HXQ49" s="493"/>
      <c r="HXR49" s="493"/>
      <c r="HXS49" s="493"/>
      <c r="HXT49" s="493"/>
      <c r="HXU49" s="493"/>
      <c r="HXV49" s="493"/>
      <c r="HXW49" s="493"/>
      <c r="HXX49" s="493"/>
      <c r="HXY49" s="493"/>
      <c r="HXZ49" s="493"/>
      <c r="HYA49" s="493"/>
      <c r="HYB49" s="493"/>
      <c r="HYC49" s="493"/>
      <c r="HYD49" s="493"/>
      <c r="HYE49" s="493"/>
      <c r="HYF49" s="493"/>
      <c r="HYG49" s="493"/>
      <c r="HYH49" s="493"/>
      <c r="HYI49" s="493"/>
      <c r="HYJ49" s="493"/>
      <c r="HYK49" s="493"/>
      <c r="HYL49" s="493"/>
      <c r="HYM49" s="493"/>
      <c r="HYN49" s="493"/>
      <c r="HYO49" s="493"/>
      <c r="HYP49" s="493"/>
      <c r="HYQ49" s="493"/>
      <c r="HYR49" s="493"/>
      <c r="HYS49" s="493"/>
      <c r="HYT49" s="493"/>
      <c r="HYU49" s="493"/>
      <c r="HYV49" s="493"/>
      <c r="HYW49" s="493"/>
      <c r="HYX49" s="493"/>
      <c r="HYY49" s="493"/>
      <c r="HYZ49" s="493"/>
      <c r="HZA49" s="493"/>
      <c r="HZB49" s="493"/>
      <c r="HZC49" s="493"/>
      <c r="HZD49" s="493"/>
      <c r="HZE49" s="493"/>
      <c r="HZF49" s="493"/>
      <c r="HZG49" s="493"/>
      <c r="HZH49" s="493"/>
      <c r="HZI49" s="493"/>
      <c r="HZJ49" s="493"/>
      <c r="HZK49" s="493"/>
      <c r="HZL49" s="493"/>
      <c r="HZM49" s="493"/>
      <c r="HZN49" s="493"/>
      <c r="HZO49" s="493"/>
      <c r="HZP49" s="493"/>
      <c r="HZQ49" s="493"/>
      <c r="HZR49" s="493"/>
      <c r="HZS49" s="493"/>
      <c r="HZT49" s="493"/>
      <c r="HZU49" s="493"/>
      <c r="HZV49" s="493"/>
      <c r="HZW49" s="493"/>
      <c r="HZX49" s="493"/>
      <c r="HZY49" s="493"/>
      <c r="HZZ49" s="493"/>
      <c r="IAA49" s="493"/>
      <c r="IAB49" s="493"/>
      <c r="IAC49" s="493"/>
      <c r="IAD49" s="493"/>
      <c r="IAE49" s="493"/>
      <c r="IAF49" s="493"/>
      <c r="IAG49" s="493"/>
      <c r="IAH49" s="493"/>
      <c r="IAI49" s="493"/>
      <c r="IAJ49" s="493"/>
      <c r="IAK49" s="493"/>
      <c r="IAL49" s="493"/>
      <c r="IAM49" s="493"/>
      <c r="IAN49" s="493"/>
      <c r="IAO49" s="493"/>
      <c r="IAP49" s="493"/>
      <c r="IAQ49" s="493"/>
      <c r="IAR49" s="493"/>
      <c r="IAS49" s="493"/>
      <c r="IAT49" s="493"/>
      <c r="IAU49" s="493"/>
      <c r="IAV49" s="493"/>
      <c r="IAW49" s="493"/>
      <c r="IAX49" s="493"/>
      <c r="IAY49" s="493"/>
      <c r="IAZ49" s="493"/>
      <c r="IBA49" s="493"/>
      <c r="IBB49" s="493"/>
      <c r="IBC49" s="493"/>
      <c r="IBD49" s="493"/>
      <c r="IBE49" s="493"/>
      <c r="IBF49" s="493"/>
      <c r="IBG49" s="493"/>
      <c r="IBH49" s="493"/>
      <c r="IBI49" s="493"/>
      <c r="IBJ49" s="493"/>
      <c r="IBK49" s="493"/>
      <c r="IBL49" s="493"/>
      <c r="IBM49" s="493"/>
      <c r="IBN49" s="493"/>
      <c r="IBO49" s="493"/>
      <c r="IBP49" s="493"/>
      <c r="IBQ49" s="493"/>
      <c r="IBR49" s="493"/>
      <c r="IBS49" s="493"/>
      <c r="IBT49" s="493"/>
      <c r="IBU49" s="493"/>
      <c r="IBV49" s="493"/>
      <c r="IBW49" s="493"/>
      <c r="IBX49" s="493"/>
      <c r="IBY49" s="493"/>
      <c r="IBZ49" s="493"/>
      <c r="ICA49" s="493"/>
      <c r="ICB49" s="493"/>
      <c r="ICC49" s="493"/>
      <c r="ICD49" s="493"/>
      <c r="ICE49" s="493"/>
      <c r="ICF49" s="493"/>
      <c r="ICG49" s="493"/>
      <c r="ICH49" s="493"/>
      <c r="ICI49" s="493"/>
      <c r="ICJ49" s="493"/>
      <c r="ICK49" s="493"/>
      <c r="ICL49" s="493"/>
      <c r="ICM49" s="493"/>
      <c r="ICN49" s="493"/>
      <c r="ICO49" s="493"/>
      <c r="ICP49" s="493"/>
      <c r="ICQ49" s="493"/>
      <c r="ICR49" s="493"/>
      <c r="ICS49" s="493"/>
      <c r="ICT49" s="493"/>
      <c r="ICU49" s="493"/>
      <c r="ICV49" s="493"/>
      <c r="ICW49" s="493"/>
      <c r="ICX49" s="493"/>
      <c r="ICY49" s="493"/>
      <c r="ICZ49" s="493"/>
      <c r="IDA49" s="493"/>
      <c r="IDB49" s="493"/>
      <c r="IDC49" s="493"/>
      <c r="IDD49" s="493"/>
      <c r="IDE49" s="493"/>
      <c r="IDF49" s="493"/>
      <c r="IDG49" s="493"/>
      <c r="IDH49" s="493"/>
      <c r="IDI49" s="493"/>
      <c r="IDJ49" s="493"/>
      <c r="IDK49" s="493"/>
      <c r="IDL49" s="493"/>
      <c r="IDM49" s="493"/>
      <c r="IDN49" s="493"/>
      <c r="IDO49" s="493"/>
      <c r="IDP49" s="493"/>
      <c r="IDQ49" s="493"/>
      <c r="IDR49" s="493"/>
      <c r="IDS49" s="493"/>
      <c r="IDT49" s="493"/>
      <c r="IDU49" s="493"/>
      <c r="IDV49" s="493"/>
      <c r="IDW49" s="493"/>
      <c r="IDX49" s="493"/>
      <c r="IDY49" s="493"/>
      <c r="IDZ49" s="493"/>
      <c r="IEA49" s="493"/>
      <c r="IEB49" s="493"/>
      <c r="IEC49" s="493"/>
      <c r="IED49" s="493"/>
      <c r="IEE49" s="493"/>
      <c r="IEF49" s="493"/>
      <c r="IEG49" s="493"/>
      <c r="IEH49" s="493"/>
      <c r="IEI49" s="493"/>
      <c r="IEJ49" s="493"/>
      <c r="IEK49" s="493"/>
      <c r="IEL49" s="493"/>
      <c r="IEM49" s="493"/>
      <c r="IEN49" s="493"/>
      <c r="IEO49" s="493"/>
      <c r="IEP49" s="493"/>
      <c r="IEQ49" s="493"/>
      <c r="IER49" s="493"/>
      <c r="IES49" s="493"/>
      <c r="IET49" s="493"/>
      <c r="IEU49" s="493"/>
      <c r="IEV49" s="493"/>
      <c r="IEW49" s="493"/>
      <c r="IEX49" s="493"/>
      <c r="IEY49" s="493"/>
      <c r="IEZ49" s="493"/>
      <c r="IFA49" s="493"/>
      <c r="IFB49" s="493"/>
      <c r="IFC49" s="493"/>
      <c r="IFD49" s="493"/>
      <c r="IFE49" s="493"/>
      <c r="IFF49" s="493"/>
      <c r="IFG49" s="493"/>
      <c r="IFH49" s="493"/>
      <c r="IFI49" s="493"/>
      <c r="IFJ49" s="493"/>
      <c r="IFK49" s="493"/>
      <c r="IFL49" s="493"/>
      <c r="IFM49" s="493"/>
      <c r="IFN49" s="493"/>
      <c r="IFO49" s="493"/>
      <c r="IFP49" s="493"/>
      <c r="IFQ49" s="493"/>
      <c r="IFR49" s="493"/>
      <c r="IFS49" s="493"/>
      <c r="IFT49" s="493"/>
      <c r="IFU49" s="493"/>
      <c r="IFV49" s="493"/>
      <c r="IFW49" s="493"/>
      <c r="IFX49" s="493"/>
      <c r="IFY49" s="493"/>
      <c r="IFZ49" s="493"/>
      <c r="IGA49" s="493"/>
      <c r="IGB49" s="493"/>
      <c r="IGC49" s="493"/>
      <c r="IGD49" s="493"/>
      <c r="IGE49" s="493"/>
      <c r="IGF49" s="493"/>
      <c r="IGG49" s="493"/>
      <c r="IGH49" s="493"/>
      <c r="IGI49" s="493"/>
      <c r="IGJ49" s="493"/>
      <c r="IGK49" s="493"/>
      <c r="IGL49" s="493"/>
      <c r="IGM49" s="493"/>
      <c r="IGN49" s="493"/>
      <c r="IGO49" s="493"/>
      <c r="IGP49" s="493"/>
      <c r="IGQ49" s="493"/>
      <c r="IGR49" s="493"/>
      <c r="IGS49" s="493"/>
      <c r="IGT49" s="493"/>
      <c r="IGU49" s="493"/>
      <c r="IGV49" s="493"/>
      <c r="IGW49" s="493"/>
      <c r="IGX49" s="493"/>
      <c r="IGY49" s="493"/>
      <c r="IGZ49" s="493"/>
      <c r="IHA49" s="493"/>
      <c r="IHB49" s="493"/>
      <c r="IHC49" s="493"/>
      <c r="IHD49" s="493"/>
      <c r="IHE49" s="493"/>
      <c r="IHF49" s="493"/>
      <c r="IHG49" s="493"/>
      <c r="IHH49" s="493"/>
      <c r="IHI49" s="493"/>
      <c r="IHJ49" s="493"/>
      <c r="IHK49" s="493"/>
      <c r="IHL49" s="493"/>
      <c r="IHM49" s="493"/>
      <c r="IHN49" s="493"/>
      <c r="IHO49" s="493"/>
      <c r="IHP49" s="493"/>
      <c r="IHQ49" s="493"/>
      <c r="IHR49" s="493"/>
      <c r="IHS49" s="493"/>
      <c r="IHT49" s="493"/>
      <c r="IHU49" s="493"/>
      <c r="IHV49" s="493"/>
      <c r="IHW49" s="493"/>
      <c r="IHX49" s="493"/>
      <c r="IHY49" s="493"/>
      <c r="IHZ49" s="493"/>
      <c r="IIA49" s="493"/>
      <c r="IIB49" s="493"/>
      <c r="IIC49" s="493"/>
      <c r="IID49" s="493"/>
      <c r="IIE49" s="493"/>
      <c r="IIF49" s="493"/>
      <c r="IIG49" s="493"/>
      <c r="IIH49" s="493"/>
      <c r="III49" s="493"/>
      <c r="IIJ49" s="493"/>
      <c r="IIK49" s="493"/>
      <c r="IIL49" s="493"/>
      <c r="IIM49" s="493"/>
      <c r="IIN49" s="493"/>
      <c r="IIO49" s="493"/>
      <c r="IIP49" s="493"/>
      <c r="IIQ49" s="493"/>
      <c r="IIR49" s="493"/>
      <c r="IIS49" s="493"/>
      <c r="IIT49" s="493"/>
      <c r="IIU49" s="493"/>
      <c r="IIV49" s="493"/>
      <c r="IIW49" s="493"/>
      <c r="IIX49" s="493"/>
      <c r="IIY49" s="493"/>
      <c r="IIZ49" s="493"/>
      <c r="IJA49" s="493"/>
      <c r="IJB49" s="493"/>
      <c r="IJC49" s="493"/>
      <c r="IJD49" s="493"/>
      <c r="IJE49" s="493"/>
      <c r="IJF49" s="493"/>
      <c r="IJG49" s="493"/>
      <c r="IJH49" s="493"/>
      <c r="IJI49" s="493"/>
      <c r="IJJ49" s="493"/>
      <c r="IJK49" s="493"/>
      <c r="IJL49" s="493"/>
      <c r="IJM49" s="493"/>
      <c r="IJN49" s="493"/>
      <c r="IJO49" s="493"/>
      <c r="IJP49" s="493"/>
      <c r="IJQ49" s="493"/>
      <c r="IJR49" s="493"/>
      <c r="IJS49" s="493"/>
      <c r="IJT49" s="493"/>
      <c r="IJU49" s="493"/>
      <c r="IJV49" s="493"/>
      <c r="IJW49" s="493"/>
      <c r="IJX49" s="493"/>
      <c r="IJY49" s="493"/>
      <c r="IJZ49" s="493"/>
      <c r="IKA49" s="493"/>
      <c r="IKB49" s="493"/>
      <c r="IKC49" s="493"/>
      <c r="IKD49" s="493"/>
      <c r="IKE49" s="493"/>
      <c r="IKF49" s="493"/>
      <c r="IKG49" s="493"/>
      <c r="IKH49" s="493"/>
      <c r="IKI49" s="493"/>
      <c r="IKJ49" s="493"/>
      <c r="IKK49" s="493"/>
      <c r="IKL49" s="493"/>
      <c r="IKM49" s="493"/>
      <c r="IKN49" s="493"/>
      <c r="IKO49" s="493"/>
      <c r="IKP49" s="493"/>
      <c r="IKQ49" s="493"/>
      <c r="IKR49" s="493"/>
      <c r="IKS49" s="493"/>
      <c r="IKT49" s="493"/>
      <c r="IKU49" s="493"/>
      <c r="IKV49" s="493"/>
      <c r="IKW49" s="493"/>
      <c r="IKX49" s="493"/>
      <c r="IKY49" s="493"/>
      <c r="IKZ49" s="493"/>
      <c r="ILA49" s="493"/>
      <c r="ILB49" s="493"/>
      <c r="ILC49" s="493"/>
      <c r="ILD49" s="493"/>
      <c r="ILE49" s="493"/>
      <c r="ILF49" s="493"/>
      <c r="ILG49" s="493"/>
      <c r="ILH49" s="493"/>
      <c r="ILI49" s="493"/>
      <c r="ILJ49" s="493"/>
      <c r="ILK49" s="493"/>
      <c r="ILL49" s="493"/>
      <c r="ILM49" s="493"/>
      <c r="ILN49" s="493"/>
      <c r="ILO49" s="493"/>
      <c r="ILP49" s="493"/>
      <c r="ILQ49" s="493"/>
      <c r="ILR49" s="493"/>
      <c r="ILS49" s="493"/>
      <c r="ILT49" s="493"/>
      <c r="ILU49" s="493"/>
      <c r="ILV49" s="493"/>
      <c r="ILW49" s="493"/>
      <c r="ILX49" s="493"/>
      <c r="ILY49" s="493"/>
      <c r="ILZ49" s="493"/>
      <c r="IMA49" s="493"/>
      <c r="IMB49" s="493"/>
      <c r="IMC49" s="493"/>
      <c r="IMD49" s="493"/>
      <c r="IME49" s="493"/>
      <c r="IMF49" s="493"/>
      <c r="IMG49" s="493"/>
      <c r="IMH49" s="493"/>
      <c r="IMI49" s="493"/>
      <c r="IMJ49" s="493"/>
      <c r="IMK49" s="493"/>
      <c r="IML49" s="493"/>
      <c r="IMM49" s="493"/>
      <c r="IMN49" s="493"/>
      <c r="IMO49" s="493"/>
      <c r="IMP49" s="493"/>
      <c r="IMQ49" s="493"/>
      <c r="IMR49" s="493"/>
      <c r="IMS49" s="493"/>
      <c r="IMT49" s="493"/>
      <c r="IMU49" s="493"/>
      <c r="IMV49" s="493"/>
      <c r="IMW49" s="493"/>
      <c r="IMX49" s="493"/>
      <c r="IMY49" s="493"/>
      <c r="IMZ49" s="493"/>
      <c r="INA49" s="493"/>
      <c r="INB49" s="493"/>
      <c r="INC49" s="493"/>
      <c r="IND49" s="493"/>
      <c r="INE49" s="493"/>
      <c r="INF49" s="493"/>
      <c r="ING49" s="493"/>
      <c r="INH49" s="493"/>
      <c r="INI49" s="493"/>
      <c r="INJ49" s="493"/>
      <c r="INK49" s="493"/>
      <c r="INL49" s="493"/>
      <c r="INM49" s="493"/>
      <c r="INN49" s="493"/>
      <c r="INO49" s="493"/>
      <c r="INP49" s="493"/>
      <c r="INQ49" s="493"/>
      <c r="INR49" s="493"/>
      <c r="INS49" s="493"/>
      <c r="INT49" s="493"/>
      <c r="INU49" s="493"/>
      <c r="INV49" s="493"/>
      <c r="INW49" s="493"/>
      <c r="INX49" s="493"/>
      <c r="INY49" s="493"/>
      <c r="INZ49" s="493"/>
      <c r="IOA49" s="493"/>
      <c r="IOB49" s="493"/>
      <c r="IOC49" s="493"/>
      <c r="IOD49" s="493"/>
      <c r="IOE49" s="493"/>
      <c r="IOF49" s="493"/>
      <c r="IOG49" s="493"/>
      <c r="IOH49" s="493"/>
      <c r="IOI49" s="493"/>
      <c r="IOJ49" s="493"/>
      <c r="IOK49" s="493"/>
      <c r="IOL49" s="493"/>
      <c r="IOM49" s="493"/>
      <c r="ION49" s="493"/>
      <c r="IOO49" s="493"/>
      <c r="IOP49" s="493"/>
      <c r="IOQ49" s="493"/>
      <c r="IOR49" s="493"/>
      <c r="IOS49" s="493"/>
      <c r="IOT49" s="493"/>
      <c r="IOU49" s="493"/>
      <c r="IOV49" s="493"/>
      <c r="IOW49" s="493"/>
      <c r="IOX49" s="493"/>
      <c r="IOY49" s="493"/>
      <c r="IOZ49" s="493"/>
      <c r="IPA49" s="493"/>
      <c r="IPB49" s="493"/>
      <c r="IPC49" s="493"/>
      <c r="IPD49" s="493"/>
      <c r="IPE49" s="493"/>
      <c r="IPF49" s="493"/>
      <c r="IPG49" s="493"/>
      <c r="IPH49" s="493"/>
      <c r="IPI49" s="493"/>
      <c r="IPJ49" s="493"/>
      <c r="IPK49" s="493"/>
      <c r="IPL49" s="493"/>
      <c r="IPM49" s="493"/>
      <c r="IPN49" s="493"/>
      <c r="IPO49" s="493"/>
      <c r="IPP49" s="493"/>
      <c r="IPQ49" s="493"/>
      <c r="IPR49" s="493"/>
      <c r="IPS49" s="493"/>
      <c r="IPT49" s="493"/>
      <c r="IPU49" s="493"/>
      <c r="IPV49" s="493"/>
      <c r="IPW49" s="493"/>
      <c r="IPX49" s="493"/>
      <c r="IPY49" s="493"/>
      <c r="IPZ49" s="493"/>
      <c r="IQA49" s="493"/>
      <c r="IQB49" s="493"/>
      <c r="IQC49" s="493"/>
      <c r="IQD49" s="493"/>
      <c r="IQE49" s="493"/>
      <c r="IQF49" s="493"/>
      <c r="IQG49" s="493"/>
      <c r="IQH49" s="493"/>
      <c r="IQI49" s="493"/>
      <c r="IQJ49" s="493"/>
      <c r="IQK49" s="493"/>
      <c r="IQL49" s="493"/>
      <c r="IQM49" s="493"/>
      <c r="IQN49" s="493"/>
      <c r="IQO49" s="493"/>
      <c r="IQP49" s="493"/>
      <c r="IQQ49" s="493"/>
      <c r="IQR49" s="493"/>
      <c r="IQS49" s="493"/>
      <c r="IQT49" s="493"/>
      <c r="IQU49" s="493"/>
      <c r="IQV49" s="493"/>
      <c r="IQW49" s="493"/>
      <c r="IQX49" s="493"/>
      <c r="IQY49" s="493"/>
      <c r="IQZ49" s="493"/>
      <c r="IRA49" s="493"/>
      <c r="IRB49" s="493"/>
      <c r="IRC49" s="493"/>
      <c r="IRD49" s="493"/>
      <c r="IRE49" s="493"/>
      <c r="IRF49" s="493"/>
      <c r="IRG49" s="493"/>
      <c r="IRH49" s="493"/>
      <c r="IRI49" s="493"/>
      <c r="IRJ49" s="493"/>
      <c r="IRK49" s="493"/>
      <c r="IRL49" s="493"/>
      <c r="IRM49" s="493"/>
      <c r="IRN49" s="493"/>
      <c r="IRO49" s="493"/>
      <c r="IRP49" s="493"/>
      <c r="IRQ49" s="493"/>
      <c r="IRR49" s="493"/>
      <c r="IRS49" s="493"/>
      <c r="IRT49" s="493"/>
      <c r="IRU49" s="493"/>
      <c r="IRV49" s="493"/>
      <c r="IRW49" s="493"/>
      <c r="IRX49" s="493"/>
      <c r="IRY49" s="493"/>
      <c r="IRZ49" s="493"/>
      <c r="ISA49" s="493"/>
      <c r="ISB49" s="493"/>
      <c r="ISC49" s="493"/>
      <c r="ISD49" s="493"/>
      <c r="ISE49" s="493"/>
      <c r="ISF49" s="493"/>
      <c r="ISG49" s="493"/>
      <c r="ISH49" s="493"/>
      <c r="ISI49" s="493"/>
      <c r="ISJ49" s="493"/>
      <c r="ISK49" s="493"/>
      <c r="ISL49" s="493"/>
      <c r="ISM49" s="493"/>
      <c r="ISN49" s="493"/>
      <c r="ISO49" s="493"/>
      <c r="ISP49" s="493"/>
      <c r="ISQ49" s="493"/>
      <c r="ISR49" s="493"/>
      <c r="ISS49" s="493"/>
      <c r="IST49" s="493"/>
      <c r="ISU49" s="493"/>
      <c r="ISV49" s="493"/>
      <c r="ISW49" s="493"/>
      <c r="ISX49" s="493"/>
      <c r="ISY49" s="493"/>
      <c r="ISZ49" s="493"/>
      <c r="ITA49" s="493"/>
      <c r="ITB49" s="493"/>
      <c r="ITC49" s="493"/>
      <c r="ITD49" s="493"/>
      <c r="ITE49" s="493"/>
      <c r="ITF49" s="493"/>
      <c r="ITG49" s="493"/>
      <c r="ITH49" s="493"/>
      <c r="ITI49" s="493"/>
      <c r="ITJ49" s="493"/>
      <c r="ITK49" s="493"/>
      <c r="ITL49" s="493"/>
      <c r="ITM49" s="493"/>
      <c r="ITN49" s="493"/>
      <c r="ITO49" s="493"/>
      <c r="ITP49" s="493"/>
      <c r="ITQ49" s="493"/>
      <c r="ITR49" s="493"/>
      <c r="ITS49" s="493"/>
      <c r="ITT49" s="493"/>
      <c r="ITU49" s="493"/>
      <c r="ITV49" s="493"/>
      <c r="ITW49" s="493"/>
      <c r="ITX49" s="493"/>
      <c r="ITY49" s="493"/>
      <c r="ITZ49" s="493"/>
      <c r="IUA49" s="493"/>
      <c r="IUB49" s="493"/>
      <c r="IUC49" s="493"/>
      <c r="IUD49" s="493"/>
      <c r="IUE49" s="493"/>
      <c r="IUF49" s="493"/>
      <c r="IUG49" s="493"/>
      <c r="IUH49" s="493"/>
      <c r="IUI49" s="493"/>
      <c r="IUJ49" s="493"/>
      <c r="IUK49" s="493"/>
      <c r="IUL49" s="493"/>
      <c r="IUM49" s="493"/>
      <c r="IUN49" s="493"/>
      <c r="IUO49" s="493"/>
      <c r="IUP49" s="493"/>
      <c r="IUQ49" s="493"/>
      <c r="IUR49" s="493"/>
      <c r="IUS49" s="493"/>
      <c r="IUT49" s="493"/>
      <c r="IUU49" s="493"/>
      <c r="IUV49" s="493"/>
      <c r="IUW49" s="493"/>
      <c r="IUX49" s="493"/>
      <c r="IUY49" s="493"/>
      <c r="IUZ49" s="493"/>
      <c r="IVA49" s="493"/>
      <c r="IVB49" s="493"/>
      <c r="IVC49" s="493"/>
      <c r="IVD49" s="493"/>
      <c r="IVE49" s="493"/>
      <c r="IVF49" s="493"/>
      <c r="IVG49" s="493"/>
      <c r="IVH49" s="493"/>
      <c r="IVI49" s="493"/>
      <c r="IVJ49" s="493"/>
      <c r="IVK49" s="493"/>
      <c r="IVL49" s="493"/>
      <c r="IVM49" s="493"/>
      <c r="IVN49" s="493"/>
      <c r="IVO49" s="493"/>
      <c r="IVP49" s="493"/>
      <c r="IVQ49" s="493"/>
      <c r="IVR49" s="493"/>
      <c r="IVS49" s="493"/>
      <c r="IVT49" s="493"/>
      <c r="IVU49" s="493"/>
      <c r="IVV49" s="493"/>
      <c r="IVW49" s="493"/>
      <c r="IVX49" s="493"/>
      <c r="IVY49" s="493"/>
      <c r="IVZ49" s="493"/>
      <c r="IWA49" s="493"/>
      <c r="IWB49" s="493"/>
      <c r="IWC49" s="493"/>
      <c r="IWD49" s="493"/>
      <c r="IWE49" s="493"/>
      <c r="IWF49" s="493"/>
      <c r="IWG49" s="493"/>
      <c r="IWH49" s="493"/>
      <c r="IWI49" s="493"/>
      <c r="IWJ49" s="493"/>
      <c r="IWK49" s="493"/>
      <c r="IWL49" s="493"/>
      <c r="IWM49" s="493"/>
      <c r="IWN49" s="493"/>
      <c r="IWO49" s="493"/>
      <c r="IWP49" s="493"/>
      <c r="IWQ49" s="493"/>
      <c r="IWR49" s="493"/>
      <c r="IWS49" s="493"/>
      <c r="IWT49" s="493"/>
      <c r="IWU49" s="493"/>
      <c r="IWV49" s="493"/>
      <c r="IWW49" s="493"/>
      <c r="IWX49" s="493"/>
      <c r="IWY49" s="493"/>
      <c r="IWZ49" s="493"/>
      <c r="IXA49" s="493"/>
      <c r="IXB49" s="493"/>
      <c r="IXC49" s="493"/>
      <c r="IXD49" s="493"/>
      <c r="IXE49" s="493"/>
      <c r="IXF49" s="493"/>
      <c r="IXG49" s="493"/>
      <c r="IXH49" s="493"/>
      <c r="IXI49" s="493"/>
      <c r="IXJ49" s="493"/>
      <c r="IXK49" s="493"/>
      <c r="IXL49" s="493"/>
      <c r="IXM49" s="493"/>
      <c r="IXN49" s="493"/>
      <c r="IXO49" s="493"/>
      <c r="IXP49" s="493"/>
      <c r="IXQ49" s="493"/>
      <c r="IXR49" s="493"/>
      <c r="IXS49" s="493"/>
      <c r="IXT49" s="493"/>
      <c r="IXU49" s="493"/>
      <c r="IXV49" s="493"/>
      <c r="IXW49" s="493"/>
      <c r="IXX49" s="493"/>
      <c r="IXY49" s="493"/>
      <c r="IXZ49" s="493"/>
      <c r="IYA49" s="493"/>
      <c r="IYB49" s="493"/>
      <c r="IYC49" s="493"/>
      <c r="IYD49" s="493"/>
      <c r="IYE49" s="493"/>
      <c r="IYF49" s="493"/>
      <c r="IYG49" s="493"/>
      <c r="IYH49" s="493"/>
      <c r="IYI49" s="493"/>
      <c r="IYJ49" s="493"/>
      <c r="IYK49" s="493"/>
      <c r="IYL49" s="493"/>
      <c r="IYM49" s="493"/>
      <c r="IYN49" s="493"/>
      <c r="IYO49" s="493"/>
      <c r="IYP49" s="493"/>
      <c r="IYQ49" s="493"/>
      <c r="IYR49" s="493"/>
      <c r="IYS49" s="493"/>
      <c r="IYT49" s="493"/>
      <c r="IYU49" s="493"/>
      <c r="IYV49" s="493"/>
      <c r="IYW49" s="493"/>
      <c r="IYX49" s="493"/>
      <c r="IYY49" s="493"/>
      <c r="IYZ49" s="493"/>
      <c r="IZA49" s="493"/>
      <c r="IZB49" s="493"/>
      <c r="IZC49" s="493"/>
      <c r="IZD49" s="493"/>
      <c r="IZE49" s="493"/>
      <c r="IZF49" s="493"/>
      <c r="IZG49" s="493"/>
      <c r="IZH49" s="493"/>
      <c r="IZI49" s="493"/>
      <c r="IZJ49" s="493"/>
      <c r="IZK49" s="493"/>
      <c r="IZL49" s="493"/>
      <c r="IZM49" s="493"/>
      <c r="IZN49" s="493"/>
      <c r="IZO49" s="493"/>
      <c r="IZP49" s="493"/>
      <c r="IZQ49" s="493"/>
      <c r="IZR49" s="493"/>
      <c r="IZS49" s="493"/>
      <c r="IZT49" s="493"/>
      <c r="IZU49" s="493"/>
      <c r="IZV49" s="493"/>
      <c r="IZW49" s="493"/>
      <c r="IZX49" s="493"/>
      <c r="IZY49" s="493"/>
      <c r="IZZ49" s="493"/>
      <c r="JAA49" s="493"/>
      <c r="JAB49" s="493"/>
      <c r="JAC49" s="493"/>
      <c r="JAD49" s="493"/>
      <c r="JAE49" s="493"/>
      <c r="JAF49" s="493"/>
      <c r="JAG49" s="493"/>
      <c r="JAH49" s="493"/>
      <c r="JAI49" s="493"/>
      <c r="JAJ49" s="493"/>
      <c r="JAK49" s="493"/>
      <c r="JAL49" s="493"/>
      <c r="JAM49" s="493"/>
      <c r="JAN49" s="493"/>
      <c r="JAO49" s="493"/>
      <c r="JAP49" s="493"/>
      <c r="JAQ49" s="493"/>
      <c r="JAR49" s="493"/>
      <c r="JAS49" s="493"/>
      <c r="JAT49" s="493"/>
      <c r="JAU49" s="493"/>
      <c r="JAV49" s="493"/>
      <c r="JAW49" s="493"/>
      <c r="JAX49" s="493"/>
      <c r="JAY49" s="493"/>
      <c r="JAZ49" s="493"/>
      <c r="JBA49" s="493"/>
      <c r="JBB49" s="493"/>
      <c r="JBC49" s="493"/>
      <c r="JBD49" s="493"/>
      <c r="JBE49" s="493"/>
      <c r="JBF49" s="493"/>
      <c r="JBG49" s="493"/>
      <c r="JBH49" s="493"/>
      <c r="JBI49" s="493"/>
      <c r="JBJ49" s="493"/>
      <c r="JBK49" s="493"/>
      <c r="JBL49" s="493"/>
      <c r="JBM49" s="493"/>
      <c r="JBN49" s="493"/>
      <c r="JBO49" s="493"/>
      <c r="JBP49" s="493"/>
      <c r="JBQ49" s="493"/>
      <c r="JBR49" s="493"/>
      <c r="JBS49" s="493"/>
      <c r="JBT49" s="493"/>
      <c r="JBU49" s="493"/>
      <c r="JBV49" s="493"/>
      <c r="JBW49" s="493"/>
      <c r="JBX49" s="493"/>
      <c r="JBY49" s="493"/>
      <c r="JBZ49" s="493"/>
      <c r="JCA49" s="493"/>
      <c r="JCB49" s="493"/>
      <c r="JCC49" s="493"/>
      <c r="JCD49" s="493"/>
      <c r="JCE49" s="493"/>
      <c r="JCF49" s="493"/>
      <c r="JCG49" s="493"/>
      <c r="JCH49" s="493"/>
      <c r="JCI49" s="493"/>
      <c r="JCJ49" s="493"/>
      <c r="JCK49" s="493"/>
      <c r="JCL49" s="493"/>
      <c r="JCM49" s="493"/>
      <c r="JCN49" s="493"/>
      <c r="JCO49" s="493"/>
      <c r="JCP49" s="493"/>
      <c r="JCQ49" s="493"/>
      <c r="JCR49" s="493"/>
      <c r="JCS49" s="493"/>
      <c r="JCT49" s="493"/>
      <c r="JCU49" s="493"/>
      <c r="JCV49" s="493"/>
      <c r="JCW49" s="493"/>
      <c r="JCX49" s="493"/>
      <c r="JCY49" s="493"/>
      <c r="JCZ49" s="493"/>
      <c r="JDA49" s="493"/>
      <c r="JDB49" s="493"/>
      <c r="JDC49" s="493"/>
      <c r="JDD49" s="493"/>
      <c r="JDE49" s="493"/>
      <c r="JDF49" s="493"/>
      <c r="JDG49" s="493"/>
      <c r="JDH49" s="493"/>
      <c r="JDI49" s="493"/>
      <c r="JDJ49" s="493"/>
      <c r="JDK49" s="493"/>
      <c r="JDL49" s="493"/>
      <c r="JDM49" s="493"/>
      <c r="JDN49" s="493"/>
      <c r="JDO49" s="493"/>
      <c r="JDP49" s="493"/>
      <c r="JDQ49" s="493"/>
      <c r="JDR49" s="493"/>
      <c r="JDS49" s="493"/>
      <c r="JDT49" s="493"/>
      <c r="JDU49" s="493"/>
      <c r="JDV49" s="493"/>
      <c r="JDW49" s="493"/>
      <c r="JDX49" s="493"/>
      <c r="JDY49" s="493"/>
      <c r="JDZ49" s="493"/>
      <c r="JEA49" s="493"/>
      <c r="JEB49" s="493"/>
      <c r="JEC49" s="493"/>
      <c r="JED49" s="493"/>
      <c r="JEE49" s="493"/>
      <c r="JEF49" s="493"/>
      <c r="JEG49" s="493"/>
      <c r="JEH49" s="493"/>
      <c r="JEI49" s="493"/>
      <c r="JEJ49" s="493"/>
      <c r="JEK49" s="493"/>
      <c r="JEL49" s="493"/>
      <c r="JEM49" s="493"/>
      <c r="JEN49" s="493"/>
      <c r="JEO49" s="493"/>
      <c r="JEP49" s="493"/>
      <c r="JEQ49" s="493"/>
      <c r="JER49" s="493"/>
      <c r="JES49" s="493"/>
      <c r="JET49" s="493"/>
      <c r="JEU49" s="493"/>
      <c r="JEV49" s="493"/>
      <c r="JEW49" s="493"/>
      <c r="JEX49" s="493"/>
      <c r="JEY49" s="493"/>
      <c r="JEZ49" s="493"/>
      <c r="JFA49" s="493"/>
      <c r="JFB49" s="493"/>
      <c r="JFC49" s="493"/>
      <c r="JFD49" s="493"/>
      <c r="JFE49" s="493"/>
      <c r="JFF49" s="493"/>
      <c r="JFG49" s="493"/>
      <c r="JFH49" s="493"/>
      <c r="JFI49" s="493"/>
      <c r="JFJ49" s="493"/>
      <c r="JFK49" s="493"/>
      <c r="JFL49" s="493"/>
      <c r="JFM49" s="493"/>
      <c r="JFN49" s="493"/>
      <c r="JFO49" s="493"/>
      <c r="JFP49" s="493"/>
      <c r="JFQ49" s="493"/>
      <c r="JFR49" s="493"/>
      <c r="JFS49" s="493"/>
      <c r="JFT49" s="493"/>
      <c r="JFU49" s="493"/>
      <c r="JFV49" s="493"/>
      <c r="JFW49" s="493"/>
      <c r="JFX49" s="493"/>
      <c r="JFY49" s="493"/>
      <c r="JFZ49" s="493"/>
      <c r="JGA49" s="493"/>
      <c r="JGB49" s="493"/>
      <c r="JGC49" s="493"/>
      <c r="JGD49" s="493"/>
      <c r="JGE49" s="493"/>
      <c r="JGF49" s="493"/>
      <c r="JGG49" s="493"/>
      <c r="JGH49" s="493"/>
      <c r="JGI49" s="493"/>
      <c r="JGJ49" s="493"/>
      <c r="JGK49" s="493"/>
      <c r="JGL49" s="493"/>
      <c r="JGM49" s="493"/>
      <c r="JGN49" s="493"/>
      <c r="JGO49" s="493"/>
      <c r="JGP49" s="493"/>
      <c r="JGQ49" s="493"/>
      <c r="JGR49" s="493"/>
      <c r="JGS49" s="493"/>
      <c r="JGT49" s="493"/>
      <c r="JGU49" s="493"/>
      <c r="JGV49" s="493"/>
      <c r="JGW49" s="493"/>
      <c r="JGX49" s="493"/>
      <c r="JGY49" s="493"/>
      <c r="JGZ49" s="493"/>
      <c r="JHA49" s="493"/>
      <c r="JHB49" s="493"/>
      <c r="JHC49" s="493"/>
      <c r="JHD49" s="493"/>
      <c r="JHE49" s="493"/>
      <c r="JHF49" s="493"/>
      <c r="JHG49" s="493"/>
      <c r="JHH49" s="493"/>
      <c r="JHI49" s="493"/>
      <c r="JHJ49" s="493"/>
      <c r="JHK49" s="493"/>
      <c r="JHL49" s="493"/>
      <c r="JHM49" s="493"/>
      <c r="JHN49" s="493"/>
      <c r="JHO49" s="493"/>
      <c r="JHP49" s="493"/>
      <c r="JHQ49" s="493"/>
      <c r="JHR49" s="493"/>
      <c r="JHS49" s="493"/>
      <c r="JHT49" s="493"/>
      <c r="JHU49" s="493"/>
      <c r="JHV49" s="493"/>
      <c r="JHW49" s="493"/>
      <c r="JHX49" s="493"/>
      <c r="JHY49" s="493"/>
      <c r="JHZ49" s="493"/>
      <c r="JIA49" s="493"/>
      <c r="JIB49" s="493"/>
      <c r="JIC49" s="493"/>
      <c r="JID49" s="493"/>
      <c r="JIE49" s="493"/>
      <c r="JIF49" s="493"/>
      <c r="JIG49" s="493"/>
      <c r="JIH49" s="493"/>
      <c r="JII49" s="493"/>
      <c r="JIJ49" s="493"/>
      <c r="JIK49" s="493"/>
      <c r="JIL49" s="493"/>
      <c r="JIM49" s="493"/>
      <c r="JIN49" s="493"/>
      <c r="JIO49" s="493"/>
      <c r="JIP49" s="493"/>
      <c r="JIQ49" s="493"/>
      <c r="JIR49" s="493"/>
      <c r="JIS49" s="493"/>
      <c r="JIT49" s="493"/>
      <c r="JIU49" s="493"/>
      <c r="JIV49" s="493"/>
      <c r="JIW49" s="493"/>
      <c r="JIX49" s="493"/>
      <c r="JIY49" s="493"/>
      <c r="JIZ49" s="493"/>
      <c r="JJA49" s="493"/>
      <c r="JJB49" s="493"/>
      <c r="JJC49" s="493"/>
      <c r="JJD49" s="493"/>
      <c r="JJE49" s="493"/>
      <c r="JJF49" s="493"/>
      <c r="JJG49" s="493"/>
      <c r="JJH49" s="493"/>
      <c r="JJI49" s="493"/>
      <c r="JJJ49" s="493"/>
      <c r="JJK49" s="493"/>
      <c r="JJL49" s="493"/>
      <c r="JJM49" s="493"/>
      <c r="JJN49" s="493"/>
      <c r="JJO49" s="493"/>
      <c r="JJP49" s="493"/>
      <c r="JJQ49" s="493"/>
      <c r="JJR49" s="493"/>
      <c r="JJS49" s="493"/>
      <c r="JJT49" s="493"/>
      <c r="JJU49" s="493"/>
      <c r="JJV49" s="493"/>
      <c r="JJW49" s="493"/>
      <c r="JJX49" s="493"/>
      <c r="JJY49" s="493"/>
      <c r="JJZ49" s="493"/>
      <c r="JKA49" s="493"/>
      <c r="JKB49" s="493"/>
      <c r="JKC49" s="493"/>
      <c r="JKD49" s="493"/>
      <c r="JKE49" s="493"/>
      <c r="JKF49" s="493"/>
      <c r="JKG49" s="493"/>
      <c r="JKH49" s="493"/>
      <c r="JKI49" s="493"/>
      <c r="JKJ49" s="493"/>
      <c r="JKK49" s="493"/>
      <c r="JKL49" s="493"/>
      <c r="JKM49" s="493"/>
      <c r="JKN49" s="493"/>
      <c r="JKO49" s="493"/>
      <c r="JKP49" s="493"/>
      <c r="JKQ49" s="493"/>
      <c r="JKR49" s="493"/>
      <c r="JKS49" s="493"/>
      <c r="JKT49" s="493"/>
      <c r="JKU49" s="493"/>
      <c r="JKV49" s="493"/>
      <c r="JKW49" s="493"/>
      <c r="JKX49" s="493"/>
      <c r="JKY49" s="493"/>
      <c r="JKZ49" s="493"/>
      <c r="JLA49" s="493"/>
      <c r="JLB49" s="493"/>
      <c r="JLC49" s="493"/>
      <c r="JLD49" s="493"/>
      <c r="JLE49" s="493"/>
      <c r="JLF49" s="493"/>
      <c r="JLG49" s="493"/>
      <c r="JLH49" s="493"/>
      <c r="JLI49" s="493"/>
      <c r="JLJ49" s="493"/>
      <c r="JLK49" s="493"/>
      <c r="JLL49" s="493"/>
      <c r="JLM49" s="493"/>
      <c r="JLN49" s="493"/>
      <c r="JLO49" s="493"/>
      <c r="JLP49" s="493"/>
      <c r="JLQ49" s="493"/>
      <c r="JLR49" s="493"/>
      <c r="JLS49" s="493"/>
      <c r="JLT49" s="493"/>
      <c r="JLU49" s="493"/>
      <c r="JLV49" s="493"/>
      <c r="JLW49" s="493"/>
      <c r="JLX49" s="493"/>
      <c r="JLY49" s="493"/>
      <c r="JLZ49" s="493"/>
      <c r="JMA49" s="493"/>
      <c r="JMB49" s="493"/>
      <c r="JMC49" s="493"/>
      <c r="JMD49" s="493"/>
      <c r="JME49" s="493"/>
      <c r="JMF49" s="493"/>
      <c r="JMG49" s="493"/>
      <c r="JMH49" s="493"/>
      <c r="JMI49" s="493"/>
      <c r="JMJ49" s="493"/>
      <c r="JMK49" s="493"/>
      <c r="JML49" s="493"/>
      <c r="JMM49" s="493"/>
      <c r="JMN49" s="493"/>
      <c r="JMO49" s="493"/>
      <c r="JMP49" s="493"/>
      <c r="JMQ49" s="493"/>
      <c r="JMR49" s="493"/>
      <c r="JMS49" s="493"/>
      <c r="JMT49" s="493"/>
      <c r="JMU49" s="493"/>
      <c r="JMV49" s="493"/>
      <c r="JMW49" s="493"/>
      <c r="JMX49" s="493"/>
      <c r="JMY49" s="493"/>
      <c r="JMZ49" s="493"/>
      <c r="JNA49" s="493"/>
      <c r="JNB49" s="493"/>
      <c r="JNC49" s="493"/>
      <c r="JND49" s="493"/>
      <c r="JNE49" s="493"/>
      <c r="JNF49" s="493"/>
      <c r="JNG49" s="493"/>
      <c r="JNH49" s="493"/>
      <c r="JNI49" s="493"/>
      <c r="JNJ49" s="493"/>
      <c r="JNK49" s="493"/>
      <c r="JNL49" s="493"/>
      <c r="JNM49" s="493"/>
      <c r="JNN49" s="493"/>
      <c r="JNO49" s="493"/>
      <c r="JNP49" s="493"/>
      <c r="JNQ49" s="493"/>
      <c r="JNR49" s="493"/>
      <c r="JNS49" s="493"/>
      <c r="JNT49" s="493"/>
      <c r="JNU49" s="493"/>
      <c r="JNV49" s="493"/>
      <c r="JNW49" s="493"/>
      <c r="JNX49" s="493"/>
      <c r="JNY49" s="493"/>
      <c r="JNZ49" s="493"/>
      <c r="JOA49" s="493"/>
      <c r="JOB49" s="493"/>
      <c r="JOC49" s="493"/>
      <c r="JOD49" s="493"/>
      <c r="JOE49" s="493"/>
      <c r="JOF49" s="493"/>
      <c r="JOG49" s="493"/>
      <c r="JOH49" s="493"/>
      <c r="JOI49" s="493"/>
      <c r="JOJ49" s="493"/>
      <c r="JOK49" s="493"/>
      <c r="JOL49" s="493"/>
      <c r="JOM49" s="493"/>
      <c r="JON49" s="493"/>
      <c r="JOO49" s="493"/>
      <c r="JOP49" s="493"/>
      <c r="JOQ49" s="493"/>
      <c r="JOR49" s="493"/>
      <c r="JOS49" s="493"/>
      <c r="JOT49" s="493"/>
      <c r="JOU49" s="493"/>
      <c r="JOV49" s="493"/>
      <c r="JOW49" s="493"/>
      <c r="JOX49" s="493"/>
      <c r="JOY49" s="493"/>
      <c r="JOZ49" s="493"/>
      <c r="JPA49" s="493"/>
      <c r="JPB49" s="493"/>
      <c r="JPC49" s="493"/>
      <c r="JPD49" s="493"/>
      <c r="JPE49" s="493"/>
      <c r="JPF49" s="493"/>
      <c r="JPG49" s="493"/>
      <c r="JPH49" s="493"/>
      <c r="JPI49" s="493"/>
      <c r="JPJ49" s="493"/>
      <c r="JPK49" s="493"/>
      <c r="JPL49" s="493"/>
      <c r="JPM49" s="493"/>
      <c r="JPN49" s="493"/>
      <c r="JPO49" s="493"/>
      <c r="JPP49" s="493"/>
      <c r="JPQ49" s="493"/>
      <c r="JPR49" s="493"/>
      <c r="JPS49" s="493"/>
      <c r="JPT49" s="493"/>
      <c r="JPU49" s="493"/>
      <c r="JPV49" s="493"/>
      <c r="JPW49" s="493"/>
      <c r="JPX49" s="493"/>
      <c r="JPY49" s="493"/>
      <c r="JPZ49" s="493"/>
      <c r="JQA49" s="493"/>
      <c r="JQB49" s="493"/>
      <c r="JQC49" s="493"/>
      <c r="JQD49" s="493"/>
      <c r="JQE49" s="493"/>
      <c r="JQF49" s="493"/>
      <c r="JQG49" s="493"/>
      <c r="JQH49" s="493"/>
      <c r="JQI49" s="493"/>
      <c r="JQJ49" s="493"/>
      <c r="JQK49" s="493"/>
      <c r="JQL49" s="493"/>
      <c r="JQM49" s="493"/>
      <c r="JQN49" s="493"/>
      <c r="JQO49" s="493"/>
      <c r="JQP49" s="493"/>
      <c r="JQQ49" s="493"/>
      <c r="JQR49" s="493"/>
      <c r="JQS49" s="493"/>
      <c r="JQT49" s="493"/>
      <c r="JQU49" s="493"/>
      <c r="JQV49" s="493"/>
      <c r="JQW49" s="493"/>
      <c r="JQX49" s="493"/>
      <c r="JQY49" s="493"/>
      <c r="JQZ49" s="493"/>
      <c r="JRA49" s="493"/>
      <c r="JRB49" s="493"/>
      <c r="JRC49" s="493"/>
      <c r="JRD49" s="493"/>
      <c r="JRE49" s="493"/>
      <c r="JRF49" s="493"/>
      <c r="JRG49" s="493"/>
      <c r="JRH49" s="493"/>
      <c r="JRI49" s="493"/>
      <c r="JRJ49" s="493"/>
      <c r="JRK49" s="493"/>
      <c r="JRL49" s="493"/>
      <c r="JRM49" s="493"/>
      <c r="JRN49" s="493"/>
      <c r="JRO49" s="493"/>
      <c r="JRP49" s="493"/>
      <c r="JRQ49" s="493"/>
      <c r="JRR49" s="493"/>
      <c r="JRS49" s="493"/>
      <c r="JRT49" s="493"/>
      <c r="JRU49" s="493"/>
      <c r="JRV49" s="493"/>
      <c r="JRW49" s="493"/>
      <c r="JRX49" s="493"/>
      <c r="JRY49" s="493"/>
      <c r="JRZ49" s="493"/>
      <c r="JSA49" s="493"/>
      <c r="JSB49" s="493"/>
      <c r="JSC49" s="493"/>
      <c r="JSD49" s="493"/>
      <c r="JSE49" s="493"/>
      <c r="JSF49" s="493"/>
      <c r="JSG49" s="493"/>
      <c r="JSH49" s="493"/>
      <c r="JSI49" s="493"/>
      <c r="JSJ49" s="493"/>
      <c r="JSK49" s="493"/>
      <c r="JSL49" s="493"/>
      <c r="JSM49" s="493"/>
      <c r="JSN49" s="493"/>
      <c r="JSO49" s="493"/>
      <c r="JSP49" s="493"/>
      <c r="JSQ49" s="493"/>
      <c r="JSR49" s="493"/>
      <c r="JSS49" s="493"/>
      <c r="JST49" s="493"/>
      <c r="JSU49" s="493"/>
      <c r="JSV49" s="493"/>
      <c r="JSW49" s="493"/>
      <c r="JSX49" s="493"/>
      <c r="JSY49" s="493"/>
      <c r="JSZ49" s="493"/>
      <c r="JTA49" s="493"/>
      <c r="JTB49" s="493"/>
      <c r="JTC49" s="493"/>
      <c r="JTD49" s="493"/>
      <c r="JTE49" s="493"/>
      <c r="JTF49" s="493"/>
      <c r="JTG49" s="493"/>
      <c r="JTH49" s="493"/>
      <c r="JTI49" s="493"/>
      <c r="JTJ49" s="493"/>
      <c r="JTK49" s="493"/>
      <c r="JTL49" s="493"/>
      <c r="JTM49" s="493"/>
      <c r="JTN49" s="493"/>
      <c r="JTO49" s="493"/>
      <c r="JTP49" s="493"/>
      <c r="JTQ49" s="493"/>
      <c r="JTR49" s="493"/>
      <c r="JTS49" s="493"/>
      <c r="JTT49" s="493"/>
      <c r="JTU49" s="493"/>
      <c r="JTV49" s="493"/>
      <c r="JTW49" s="493"/>
      <c r="JTX49" s="493"/>
      <c r="JTY49" s="493"/>
      <c r="JTZ49" s="493"/>
      <c r="JUA49" s="493"/>
      <c r="JUB49" s="493"/>
      <c r="JUC49" s="493"/>
      <c r="JUD49" s="493"/>
      <c r="JUE49" s="493"/>
      <c r="JUF49" s="493"/>
      <c r="JUG49" s="493"/>
      <c r="JUH49" s="493"/>
      <c r="JUI49" s="493"/>
      <c r="JUJ49" s="493"/>
      <c r="JUK49" s="493"/>
      <c r="JUL49" s="493"/>
      <c r="JUM49" s="493"/>
      <c r="JUN49" s="493"/>
      <c r="JUO49" s="493"/>
      <c r="JUP49" s="493"/>
      <c r="JUQ49" s="493"/>
      <c r="JUR49" s="493"/>
      <c r="JUS49" s="493"/>
      <c r="JUT49" s="493"/>
      <c r="JUU49" s="493"/>
      <c r="JUV49" s="493"/>
      <c r="JUW49" s="493"/>
      <c r="JUX49" s="493"/>
      <c r="JUY49" s="493"/>
      <c r="JUZ49" s="493"/>
      <c r="JVA49" s="493"/>
      <c r="JVB49" s="493"/>
      <c r="JVC49" s="493"/>
      <c r="JVD49" s="493"/>
      <c r="JVE49" s="493"/>
      <c r="JVF49" s="493"/>
      <c r="JVG49" s="493"/>
      <c r="JVH49" s="493"/>
      <c r="JVI49" s="493"/>
      <c r="JVJ49" s="493"/>
      <c r="JVK49" s="493"/>
      <c r="JVL49" s="493"/>
      <c r="JVM49" s="493"/>
      <c r="JVN49" s="493"/>
      <c r="JVO49" s="493"/>
      <c r="JVP49" s="493"/>
      <c r="JVQ49" s="493"/>
      <c r="JVR49" s="493"/>
      <c r="JVS49" s="493"/>
      <c r="JVT49" s="493"/>
      <c r="JVU49" s="493"/>
      <c r="JVV49" s="493"/>
      <c r="JVW49" s="493"/>
      <c r="JVX49" s="493"/>
      <c r="JVY49" s="493"/>
      <c r="JVZ49" s="493"/>
      <c r="JWA49" s="493"/>
      <c r="JWB49" s="493"/>
      <c r="JWC49" s="493"/>
      <c r="JWD49" s="493"/>
      <c r="JWE49" s="493"/>
      <c r="JWF49" s="493"/>
      <c r="JWG49" s="493"/>
      <c r="JWH49" s="493"/>
      <c r="JWI49" s="493"/>
      <c r="JWJ49" s="493"/>
      <c r="JWK49" s="493"/>
      <c r="JWL49" s="493"/>
      <c r="JWM49" s="493"/>
      <c r="JWN49" s="493"/>
      <c r="JWO49" s="493"/>
      <c r="JWP49" s="493"/>
      <c r="JWQ49" s="493"/>
      <c r="JWR49" s="493"/>
      <c r="JWS49" s="493"/>
      <c r="JWT49" s="493"/>
      <c r="JWU49" s="493"/>
      <c r="JWV49" s="493"/>
      <c r="JWW49" s="493"/>
      <c r="JWX49" s="493"/>
      <c r="JWY49" s="493"/>
      <c r="JWZ49" s="493"/>
      <c r="JXA49" s="493"/>
      <c r="JXB49" s="493"/>
      <c r="JXC49" s="493"/>
      <c r="JXD49" s="493"/>
      <c r="JXE49" s="493"/>
      <c r="JXF49" s="493"/>
      <c r="JXG49" s="493"/>
      <c r="JXH49" s="493"/>
      <c r="JXI49" s="493"/>
      <c r="JXJ49" s="493"/>
      <c r="JXK49" s="493"/>
      <c r="JXL49" s="493"/>
      <c r="JXM49" s="493"/>
      <c r="JXN49" s="493"/>
      <c r="JXO49" s="493"/>
      <c r="JXP49" s="493"/>
      <c r="JXQ49" s="493"/>
      <c r="JXR49" s="493"/>
      <c r="JXS49" s="493"/>
      <c r="JXT49" s="493"/>
      <c r="JXU49" s="493"/>
      <c r="JXV49" s="493"/>
      <c r="JXW49" s="493"/>
      <c r="JXX49" s="493"/>
      <c r="JXY49" s="493"/>
      <c r="JXZ49" s="493"/>
      <c r="JYA49" s="493"/>
      <c r="JYB49" s="493"/>
      <c r="JYC49" s="493"/>
      <c r="JYD49" s="493"/>
      <c r="JYE49" s="493"/>
      <c r="JYF49" s="493"/>
      <c r="JYG49" s="493"/>
      <c r="JYH49" s="493"/>
      <c r="JYI49" s="493"/>
      <c r="JYJ49" s="493"/>
      <c r="JYK49" s="493"/>
      <c r="JYL49" s="493"/>
      <c r="JYM49" s="493"/>
      <c r="JYN49" s="493"/>
      <c r="JYO49" s="493"/>
      <c r="JYP49" s="493"/>
      <c r="JYQ49" s="493"/>
      <c r="JYR49" s="493"/>
      <c r="JYS49" s="493"/>
      <c r="JYT49" s="493"/>
      <c r="JYU49" s="493"/>
      <c r="JYV49" s="493"/>
      <c r="JYW49" s="493"/>
      <c r="JYX49" s="493"/>
      <c r="JYY49" s="493"/>
      <c r="JYZ49" s="493"/>
      <c r="JZA49" s="493"/>
      <c r="JZB49" s="493"/>
      <c r="JZC49" s="493"/>
      <c r="JZD49" s="493"/>
      <c r="JZE49" s="493"/>
      <c r="JZF49" s="493"/>
      <c r="JZG49" s="493"/>
      <c r="JZH49" s="493"/>
      <c r="JZI49" s="493"/>
      <c r="JZJ49" s="493"/>
      <c r="JZK49" s="493"/>
      <c r="JZL49" s="493"/>
      <c r="JZM49" s="493"/>
      <c r="JZN49" s="493"/>
      <c r="JZO49" s="493"/>
      <c r="JZP49" s="493"/>
      <c r="JZQ49" s="493"/>
      <c r="JZR49" s="493"/>
      <c r="JZS49" s="493"/>
      <c r="JZT49" s="493"/>
      <c r="JZU49" s="493"/>
      <c r="JZV49" s="493"/>
      <c r="JZW49" s="493"/>
      <c r="JZX49" s="493"/>
      <c r="JZY49" s="493"/>
      <c r="JZZ49" s="493"/>
      <c r="KAA49" s="493"/>
      <c r="KAB49" s="493"/>
      <c r="KAC49" s="493"/>
      <c r="KAD49" s="493"/>
      <c r="KAE49" s="493"/>
      <c r="KAF49" s="493"/>
      <c r="KAG49" s="493"/>
      <c r="KAH49" s="493"/>
      <c r="KAI49" s="493"/>
      <c r="KAJ49" s="493"/>
      <c r="KAK49" s="493"/>
      <c r="KAL49" s="493"/>
      <c r="KAM49" s="493"/>
      <c r="KAN49" s="493"/>
      <c r="KAO49" s="493"/>
      <c r="KAP49" s="493"/>
      <c r="KAQ49" s="493"/>
      <c r="KAR49" s="493"/>
      <c r="KAS49" s="493"/>
      <c r="KAT49" s="493"/>
      <c r="KAU49" s="493"/>
      <c r="KAV49" s="493"/>
      <c r="KAW49" s="493"/>
      <c r="KAX49" s="493"/>
      <c r="KAY49" s="493"/>
      <c r="KAZ49" s="493"/>
      <c r="KBA49" s="493"/>
      <c r="KBB49" s="493"/>
      <c r="KBC49" s="493"/>
      <c r="KBD49" s="493"/>
      <c r="KBE49" s="493"/>
      <c r="KBF49" s="493"/>
      <c r="KBG49" s="493"/>
      <c r="KBH49" s="493"/>
      <c r="KBI49" s="493"/>
      <c r="KBJ49" s="493"/>
      <c r="KBK49" s="493"/>
      <c r="KBL49" s="493"/>
      <c r="KBM49" s="493"/>
      <c r="KBN49" s="493"/>
      <c r="KBO49" s="493"/>
      <c r="KBP49" s="493"/>
      <c r="KBQ49" s="493"/>
      <c r="KBR49" s="493"/>
      <c r="KBS49" s="493"/>
      <c r="KBT49" s="493"/>
      <c r="KBU49" s="493"/>
      <c r="KBV49" s="493"/>
      <c r="KBW49" s="493"/>
      <c r="KBX49" s="493"/>
      <c r="KBY49" s="493"/>
      <c r="KBZ49" s="493"/>
      <c r="KCA49" s="493"/>
      <c r="KCB49" s="493"/>
      <c r="KCC49" s="493"/>
      <c r="KCD49" s="493"/>
      <c r="KCE49" s="493"/>
      <c r="KCF49" s="493"/>
      <c r="KCG49" s="493"/>
      <c r="KCH49" s="493"/>
      <c r="KCI49" s="493"/>
      <c r="KCJ49" s="493"/>
      <c r="KCK49" s="493"/>
      <c r="KCL49" s="493"/>
      <c r="KCM49" s="493"/>
      <c r="KCN49" s="493"/>
      <c r="KCO49" s="493"/>
      <c r="KCP49" s="493"/>
      <c r="KCQ49" s="493"/>
      <c r="KCR49" s="493"/>
      <c r="KCS49" s="493"/>
      <c r="KCT49" s="493"/>
      <c r="KCU49" s="493"/>
      <c r="KCV49" s="493"/>
      <c r="KCW49" s="493"/>
      <c r="KCX49" s="493"/>
      <c r="KCY49" s="493"/>
      <c r="KCZ49" s="493"/>
      <c r="KDA49" s="493"/>
      <c r="KDB49" s="493"/>
      <c r="KDC49" s="493"/>
      <c r="KDD49" s="493"/>
      <c r="KDE49" s="493"/>
      <c r="KDF49" s="493"/>
      <c r="KDG49" s="493"/>
      <c r="KDH49" s="493"/>
      <c r="KDI49" s="493"/>
      <c r="KDJ49" s="493"/>
      <c r="KDK49" s="493"/>
      <c r="KDL49" s="493"/>
      <c r="KDM49" s="493"/>
      <c r="KDN49" s="493"/>
      <c r="KDO49" s="493"/>
      <c r="KDP49" s="493"/>
      <c r="KDQ49" s="493"/>
      <c r="KDR49" s="493"/>
      <c r="KDS49" s="493"/>
      <c r="KDT49" s="493"/>
      <c r="KDU49" s="493"/>
      <c r="KDV49" s="493"/>
      <c r="KDW49" s="493"/>
      <c r="KDX49" s="493"/>
      <c r="KDY49" s="493"/>
      <c r="KDZ49" s="493"/>
      <c r="KEA49" s="493"/>
      <c r="KEB49" s="493"/>
      <c r="KEC49" s="493"/>
      <c r="KED49" s="493"/>
      <c r="KEE49" s="493"/>
      <c r="KEF49" s="493"/>
      <c r="KEG49" s="493"/>
      <c r="KEH49" s="493"/>
      <c r="KEI49" s="493"/>
      <c r="KEJ49" s="493"/>
      <c r="KEK49" s="493"/>
      <c r="KEL49" s="493"/>
      <c r="KEM49" s="493"/>
      <c r="KEN49" s="493"/>
      <c r="KEO49" s="493"/>
      <c r="KEP49" s="493"/>
      <c r="KEQ49" s="493"/>
      <c r="KER49" s="493"/>
      <c r="KES49" s="493"/>
      <c r="KET49" s="493"/>
      <c r="KEU49" s="493"/>
      <c r="KEV49" s="493"/>
      <c r="KEW49" s="493"/>
      <c r="KEX49" s="493"/>
      <c r="KEY49" s="493"/>
      <c r="KEZ49" s="493"/>
      <c r="KFA49" s="493"/>
      <c r="KFB49" s="493"/>
      <c r="KFC49" s="493"/>
      <c r="KFD49" s="493"/>
      <c r="KFE49" s="493"/>
      <c r="KFF49" s="493"/>
      <c r="KFG49" s="493"/>
      <c r="KFH49" s="493"/>
      <c r="KFI49" s="493"/>
      <c r="KFJ49" s="493"/>
      <c r="KFK49" s="493"/>
      <c r="KFL49" s="493"/>
      <c r="KFM49" s="493"/>
      <c r="KFN49" s="493"/>
      <c r="KFO49" s="493"/>
      <c r="KFP49" s="493"/>
      <c r="KFQ49" s="493"/>
      <c r="KFR49" s="493"/>
      <c r="KFS49" s="493"/>
      <c r="KFT49" s="493"/>
      <c r="KFU49" s="493"/>
      <c r="KFV49" s="493"/>
      <c r="KFW49" s="493"/>
      <c r="KFX49" s="493"/>
      <c r="KFY49" s="493"/>
      <c r="KFZ49" s="493"/>
      <c r="KGA49" s="493"/>
      <c r="KGB49" s="493"/>
      <c r="KGC49" s="493"/>
      <c r="KGD49" s="493"/>
      <c r="KGE49" s="493"/>
      <c r="KGF49" s="493"/>
      <c r="KGG49" s="493"/>
      <c r="KGH49" s="493"/>
      <c r="KGI49" s="493"/>
      <c r="KGJ49" s="493"/>
      <c r="KGK49" s="493"/>
      <c r="KGL49" s="493"/>
      <c r="KGM49" s="493"/>
      <c r="KGN49" s="493"/>
      <c r="KGO49" s="493"/>
      <c r="KGP49" s="493"/>
      <c r="KGQ49" s="493"/>
      <c r="KGR49" s="493"/>
      <c r="KGS49" s="493"/>
      <c r="KGT49" s="493"/>
      <c r="KGU49" s="493"/>
      <c r="KGV49" s="493"/>
      <c r="KGW49" s="493"/>
      <c r="KGX49" s="493"/>
      <c r="KGY49" s="493"/>
      <c r="KGZ49" s="493"/>
      <c r="KHA49" s="493"/>
      <c r="KHB49" s="493"/>
      <c r="KHC49" s="493"/>
      <c r="KHD49" s="493"/>
      <c r="KHE49" s="493"/>
      <c r="KHF49" s="493"/>
      <c r="KHG49" s="493"/>
      <c r="KHH49" s="493"/>
      <c r="KHI49" s="493"/>
      <c r="KHJ49" s="493"/>
      <c r="KHK49" s="493"/>
      <c r="KHL49" s="493"/>
      <c r="KHM49" s="493"/>
      <c r="KHN49" s="493"/>
      <c r="KHO49" s="493"/>
      <c r="KHP49" s="493"/>
      <c r="KHQ49" s="493"/>
      <c r="KHR49" s="493"/>
      <c r="KHS49" s="493"/>
      <c r="KHT49" s="493"/>
      <c r="KHU49" s="493"/>
      <c r="KHV49" s="493"/>
      <c r="KHW49" s="493"/>
      <c r="KHX49" s="493"/>
      <c r="KHY49" s="493"/>
      <c r="KHZ49" s="493"/>
      <c r="KIA49" s="493"/>
      <c r="KIB49" s="493"/>
      <c r="KIC49" s="493"/>
      <c r="KID49" s="493"/>
      <c r="KIE49" s="493"/>
      <c r="KIF49" s="493"/>
      <c r="KIG49" s="493"/>
      <c r="KIH49" s="493"/>
      <c r="KII49" s="493"/>
      <c r="KIJ49" s="493"/>
      <c r="KIK49" s="493"/>
      <c r="KIL49" s="493"/>
      <c r="KIM49" s="493"/>
      <c r="KIN49" s="493"/>
      <c r="KIO49" s="493"/>
      <c r="KIP49" s="493"/>
      <c r="KIQ49" s="493"/>
      <c r="KIR49" s="493"/>
      <c r="KIS49" s="493"/>
      <c r="KIT49" s="493"/>
      <c r="KIU49" s="493"/>
      <c r="KIV49" s="493"/>
      <c r="KIW49" s="493"/>
      <c r="KIX49" s="493"/>
      <c r="KIY49" s="493"/>
      <c r="KIZ49" s="493"/>
      <c r="KJA49" s="493"/>
      <c r="KJB49" s="493"/>
      <c r="KJC49" s="493"/>
      <c r="KJD49" s="493"/>
      <c r="KJE49" s="493"/>
      <c r="KJF49" s="493"/>
      <c r="KJG49" s="493"/>
      <c r="KJH49" s="493"/>
      <c r="KJI49" s="493"/>
      <c r="KJJ49" s="493"/>
      <c r="KJK49" s="493"/>
      <c r="KJL49" s="493"/>
      <c r="KJM49" s="493"/>
      <c r="KJN49" s="493"/>
      <c r="KJO49" s="493"/>
      <c r="KJP49" s="493"/>
      <c r="KJQ49" s="493"/>
      <c r="KJR49" s="493"/>
      <c r="KJS49" s="493"/>
      <c r="KJT49" s="493"/>
      <c r="KJU49" s="493"/>
      <c r="KJV49" s="493"/>
      <c r="KJW49" s="493"/>
      <c r="KJX49" s="493"/>
      <c r="KJY49" s="493"/>
      <c r="KJZ49" s="493"/>
      <c r="KKA49" s="493"/>
      <c r="KKB49" s="493"/>
      <c r="KKC49" s="493"/>
      <c r="KKD49" s="493"/>
      <c r="KKE49" s="493"/>
      <c r="KKF49" s="493"/>
      <c r="KKG49" s="493"/>
      <c r="KKH49" s="493"/>
      <c r="KKI49" s="493"/>
      <c r="KKJ49" s="493"/>
      <c r="KKK49" s="493"/>
      <c r="KKL49" s="493"/>
      <c r="KKM49" s="493"/>
      <c r="KKN49" s="493"/>
      <c r="KKO49" s="493"/>
      <c r="KKP49" s="493"/>
      <c r="KKQ49" s="493"/>
      <c r="KKR49" s="493"/>
      <c r="KKS49" s="493"/>
      <c r="KKT49" s="493"/>
      <c r="KKU49" s="493"/>
      <c r="KKV49" s="493"/>
      <c r="KKW49" s="493"/>
      <c r="KKX49" s="493"/>
      <c r="KKY49" s="493"/>
      <c r="KKZ49" s="493"/>
      <c r="KLA49" s="493"/>
      <c r="KLB49" s="493"/>
      <c r="KLC49" s="493"/>
      <c r="KLD49" s="493"/>
      <c r="KLE49" s="493"/>
      <c r="KLF49" s="493"/>
      <c r="KLG49" s="493"/>
      <c r="KLH49" s="493"/>
      <c r="KLI49" s="493"/>
      <c r="KLJ49" s="493"/>
      <c r="KLK49" s="493"/>
      <c r="KLL49" s="493"/>
      <c r="KLM49" s="493"/>
      <c r="KLN49" s="493"/>
      <c r="KLO49" s="493"/>
      <c r="KLP49" s="493"/>
      <c r="KLQ49" s="493"/>
      <c r="KLR49" s="493"/>
      <c r="KLS49" s="493"/>
      <c r="KLT49" s="493"/>
      <c r="KLU49" s="493"/>
      <c r="KLV49" s="493"/>
      <c r="KLW49" s="493"/>
      <c r="KLX49" s="493"/>
      <c r="KLY49" s="493"/>
      <c r="KLZ49" s="493"/>
      <c r="KMA49" s="493"/>
      <c r="KMB49" s="493"/>
      <c r="KMC49" s="493"/>
      <c r="KMD49" s="493"/>
      <c r="KME49" s="493"/>
      <c r="KMF49" s="493"/>
      <c r="KMG49" s="493"/>
      <c r="KMH49" s="493"/>
      <c r="KMI49" s="493"/>
      <c r="KMJ49" s="493"/>
      <c r="KMK49" s="493"/>
      <c r="KML49" s="493"/>
      <c r="KMM49" s="493"/>
      <c r="KMN49" s="493"/>
      <c r="KMO49" s="493"/>
      <c r="KMP49" s="493"/>
      <c r="KMQ49" s="493"/>
      <c r="KMR49" s="493"/>
      <c r="KMS49" s="493"/>
      <c r="KMT49" s="493"/>
      <c r="KMU49" s="493"/>
      <c r="KMV49" s="493"/>
      <c r="KMW49" s="493"/>
      <c r="KMX49" s="493"/>
      <c r="KMY49" s="493"/>
      <c r="KMZ49" s="493"/>
      <c r="KNA49" s="493"/>
      <c r="KNB49" s="493"/>
      <c r="KNC49" s="493"/>
      <c r="KND49" s="493"/>
      <c r="KNE49" s="493"/>
      <c r="KNF49" s="493"/>
      <c r="KNG49" s="493"/>
      <c r="KNH49" s="493"/>
      <c r="KNI49" s="493"/>
      <c r="KNJ49" s="493"/>
      <c r="KNK49" s="493"/>
      <c r="KNL49" s="493"/>
      <c r="KNM49" s="493"/>
      <c r="KNN49" s="493"/>
      <c r="KNO49" s="493"/>
      <c r="KNP49" s="493"/>
      <c r="KNQ49" s="493"/>
      <c r="KNR49" s="493"/>
      <c r="KNS49" s="493"/>
      <c r="KNT49" s="493"/>
      <c r="KNU49" s="493"/>
      <c r="KNV49" s="493"/>
      <c r="KNW49" s="493"/>
      <c r="KNX49" s="493"/>
      <c r="KNY49" s="493"/>
      <c r="KNZ49" s="493"/>
      <c r="KOA49" s="493"/>
      <c r="KOB49" s="493"/>
      <c r="KOC49" s="493"/>
      <c r="KOD49" s="493"/>
      <c r="KOE49" s="493"/>
      <c r="KOF49" s="493"/>
      <c r="KOG49" s="493"/>
      <c r="KOH49" s="493"/>
      <c r="KOI49" s="493"/>
      <c r="KOJ49" s="493"/>
      <c r="KOK49" s="493"/>
      <c r="KOL49" s="493"/>
      <c r="KOM49" s="493"/>
      <c r="KON49" s="493"/>
      <c r="KOO49" s="493"/>
      <c r="KOP49" s="493"/>
      <c r="KOQ49" s="493"/>
      <c r="KOR49" s="493"/>
      <c r="KOS49" s="493"/>
      <c r="KOT49" s="493"/>
      <c r="KOU49" s="493"/>
      <c r="KOV49" s="493"/>
      <c r="KOW49" s="493"/>
      <c r="KOX49" s="493"/>
      <c r="KOY49" s="493"/>
      <c r="KOZ49" s="493"/>
      <c r="KPA49" s="493"/>
      <c r="KPB49" s="493"/>
      <c r="KPC49" s="493"/>
      <c r="KPD49" s="493"/>
      <c r="KPE49" s="493"/>
      <c r="KPF49" s="493"/>
      <c r="KPG49" s="493"/>
      <c r="KPH49" s="493"/>
      <c r="KPI49" s="493"/>
      <c r="KPJ49" s="493"/>
      <c r="KPK49" s="493"/>
      <c r="KPL49" s="493"/>
      <c r="KPM49" s="493"/>
      <c r="KPN49" s="493"/>
      <c r="KPO49" s="493"/>
      <c r="KPP49" s="493"/>
      <c r="KPQ49" s="493"/>
      <c r="KPR49" s="493"/>
      <c r="KPS49" s="493"/>
      <c r="KPT49" s="493"/>
      <c r="KPU49" s="493"/>
      <c r="KPV49" s="493"/>
      <c r="KPW49" s="493"/>
      <c r="KPX49" s="493"/>
      <c r="KPY49" s="493"/>
      <c r="KPZ49" s="493"/>
      <c r="KQA49" s="493"/>
      <c r="KQB49" s="493"/>
      <c r="KQC49" s="493"/>
      <c r="KQD49" s="493"/>
      <c r="KQE49" s="493"/>
      <c r="KQF49" s="493"/>
      <c r="KQG49" s="493"/>
      <c r="KQH49" s="493"/>
      <c r="KQI49" s="493"/>
      <c r="KQJ49" s="493"/>
      <c r="KQK49" s="493"/>
      <c r="KQL49" s="493"/>
      <c r="KQM49" s="493"/>
      <c r="KQN49" s="493"/>
      <c r="KQO49" s="493"/>
      <c r="KQP49" s="493"/>
      <c r="KQQ49" s="493"/>
      <c r="KQR49" s="493"/>
      <c r="KQS49" s="493"/>
      <c r="KQT49" s="493"/>
      <c r="KQU49" s="493"/>
      <c r="KQV49" s="493"/>
      <c r="KQW49" s="493"/>
      <c r="KQX49" s="493"/>
      <c r="KQY49" s="493"/>
      <c r="KQZ49" s="493"/>
      <c r="KRA49" s="493"/>
      <c r="KRB49" s="493"/>
      <c r="KRC49" s="493"/>
      <c r="KRD49" s="493"/>
      <c r="KRE49" s="493"/>
      <c r="KRF49" s="493"/>
      <c r="KRG49" s="493"/>
      <c r="KRH49" s="493"/>
      <c r="KRI49" s="493"/>
      <c r="KRJ49" s="493"/>
      <c r="KRK49" s="493"/>
      <c r="KRL49" s="493"/>
      <c r="KRM49" s="493"/>
      <c r="KRN49" s="493"/>
      <c r="KRO49" s="493"/>
      <c r="KRP49" s="493"/>
      <c r="KRQ49" s="493"/>
      <c r="KRR49" s="493"/>
      <c r="KRS49" s="493"/>
      <c r="KRT49" s="493"/>
      <c r="KRU49" s="493"/>
      <c r="KRV49" s="493"/>
      <c r="KRW49" s="493"/>
      <c r="KRX49" s="493"/>
      <c r="KRY49" s="493"/>
      <c r="KRZ49" s="493"/>
      <c r="KSA49" s="493"/>
      <c r="KSB49" s="493"/>
      <c r="KSC49" s="493"/>
      <c r="KSD49" s="493"/>
      <c r="KSE49" s="493"/>
      <c r="KSF49" s="493"/>
      <c r="KSG49" s="493"/>
      <c r="KSH49" s="493"/>
      <c r="KSI49" s="493"/>
      <c r="KSJ49" s="493"/>
      <c r="KSK49" s="493"/>
      <c r="KSL49" s="493"/>
      <c r="KSM49" s="493"/>
      <c r="KSN49" s="493"/>
      <c r="KSO49" s="493"/>
      <c r="KSP49" s="493"/>
      <c r="KSQ49" s="493"/>
      <c r="KSR49" s="493"/>
      <c r="KSS49" s="493"/>
      <c r="KST49" s="493"/>
      <c r="KSU49" s="493"/>
      <c r="KSV49" s="493"/>
      <c r="KSW49" s="493"/>
      <c r="KSX49" s="493"/>
      <c r="KSY49" s="493"/>
      <c r="KSZ49" s="493"/>
      <c r="KTA49" s="493"/>
      <c r="KTB49" s="493"/>
      <c r="KTC49" s="493"/>
      <c r="KTD49" s="493"/>
      <c r="KTE49" s="493"/>
      <c r="KTF49" s="493"/>
      <c r="KTG49" s="493"/>
      <c r="KTH49" s="493"/>
      <c r="KTI49" s="493"/>
      <c r="KTJ49" s="493"/>
      <c r="KTK49" s="493"/>
      <c r="KTL49" s="493"/>
      <c r="KTM49" s="493"/>
      <c r="KTN49" s="493"/>
      <c r="KTO49" s="493"/>
      <c r="KTP49" s="493"/>
      <c r="KTQ49" s="493"/>
      <c r="KTR49" s="493"/>
      <c r="KTS49" s="493"/>
      <c r="KTT49" s="493"/>
      <c r="KTU49" s="493"/>
      <c r="KTV49" s="493"/>
      <c r="KTW49" s="493"/>
      <c r="KTX49" s="493"/>
      <c r="KTY49" s="493"/>
      <c r="KTZ49" s="493"/>
      <c r="KUA49" s="493"/>
      <c r="KUB49" s="493"/>
      <c r="KUC49" s="493"/>
      <c r="KUD49" s="493"/>
      <c r="KUE49" s="493"/>
      <c r="KUF49" s="493"/>
      <c r="KUG49" s="493"/>
      <c r="KUH49" s="493"/>
      <c r="KUI49" s="493"/>
      <c r="KUJ49" s="493"/>
      <c r="KUK49" s="493"/>
      <c r="KUL49" s="493"/>
      <c r="KUM49" s="493"/>
      <c r="KUN49" s="493"/>
      <c r="KUO49" s="493"/>
      <c r="KUP49" s="493"/>
      <c r="KUQ49" s="493"/>
      <c r="KUR49" s="493"/>
      <c r="KUS49" s="493"/>
      <c r="KUT49" s="493"/>
      <c r="KUU49" s="493"/>
      <c r="KUV49" s="493"/>
      <c r="KUW49" s="493"/>
      <c r="KUX49" s="493"/>
      <c r="KUY49" s="493"/>
      <c r="KUZ49" s="493"/>
      <c r="KVA49" s="493"/>
      <c r="KVB49" s="493"/>
      <c r="KVC49" s="493"/>
      <c r="KVD49" s="493"/>
      <c r="KVE49" s="493"/>
      <c r="KVF49" s="493"/>
      <c r="KVG49" s="493"/>
      <c r="KVH49" s="493"/>
      <c r="KVI49" s="493"/>
      <c r="KVJ49" s="493"/>
      <c r="KVK49" s="493"/>
      <c r="KVL49" s="493"/>
      <c r="KVM49" s="493"/>
      <c r="KVN49" s="493"/>
      <c r="KVO49" s="493"/>
      <c r="KVP49" s="493"/>
      <c r="KVQ49" s="493"/>
      <c r="KVR49" s="493"/>
      <c r="KVS49" s="493"/>
      <c r="KVT49" s="493"/>
      <c r="KVU49" s="493"/>
      <c r="KVV49" s="493"/>
      <c r="KVW49" s="493"/>
      <c r="KVX49" s="493"/>
      <c r="KVY49" s="493"/>
      <c r="KVZ49" s="493"/>
      <c r="KWA49" s="493"/>
      <c r="KWB49" s="493"/>
      <c r="KWC49" s="493"/>
      <c r="KWD49" s="493"/>
      <c r="KWE49" s="493"/>
      <c r="KWF49" s="493"/>
      <c r="KWG49" s="493"/>
      <c r="KWH49" s="493"/>
      <c r="KWI49" s="493"/>
      <c r="KWJ49" s="493"/>
      <c r="KWK49" s="493"/>
      <c r="KWL49" s="493"/>
      <c r="KWM49" s="493"/>
      <c r="KWN49" s="493"/>
      <c r="KWO49" s="493"/>
      <c r="KWP49" s="493"/>
      <c r="KWQ49" s="493"/>
      <c r="KWR49" s="493"/>
      <c r="KWS49" s="493"/>
      <c r="KWT49" s="493"/>
      <c r="KWU49" s="493"/>
      <c r="KWV49" s="493"/>
      <c r="KWW49" s="493"/>
      <c r="KWX49" s="493"/>
      <c r="KWY49" s="493"/>
      <c r="KWZ49" s="493"/>
      <c r="KXA49" s="493"/>
      <c r="KXB49" s="493"/>
      <c r="KXC49" s="493"/>
      <c r="KXD49" s="493"/>
      <c r="KXE49" s="493"/>
      <c r="KXF49" s="493"/>
      <c r="KXG49" s="493"/>
      <c r="KXH49" s="493"/>
      <c r="KXI49" s="493"/>
      <c r="KXJ49" s="493"/>
      <c r="KXK49" s="493"/>
      <c r="KXL49" s="493"/>
      <c r="KXM49" s="493"/>
      <c r="KXN49" s="493"/>
      <c r="KXO49" s="493"/>
      <c r="KXP49" s="493"/>
      <c r="KXQ49" s="493"/>
      <c r="KXR49" s="493"/>
      <c r="KXS49" s="493"/>
      <c r="KXT49" s="493"/>
      <c r="KXU49" s="493"/>
      <c r="KXV49" s="493"/>
      <c r="KXW49" s="493"/>
      <c r="KXX49" s="493"/>
      <c r="KXY49" s="493"/>
      <c r="KXZ49" s="493"/>
      <c r="KYA49" s="493"/>
      <c r="KYB49" s="493"/>
      <c r="KYC49" s="493"/>
      <c r="KYD49" s="493"/>
      <c r="KYE49" s="493"/>
      <c r="KYF49" s="493"/>
      <c r="KYG49" s="493"/>
      <c r="KYH49" s="493"/>
      <c r="KYI49" s="493"/>
      <c r="KYJ49" s="493"/>
      <c r="KYK49" s="493"/>
      <c r="KYL49" s="493"/>
      <c r="KYM49" s="493"/>
      <c r="KYN49" s="493"/>
      <c r="KYO49" s="493"/>
      <c r="KYP49" s="493"/>
      <c r="KYQ49" s="493"/>
      <c r="KYR49" s="493"/>
      <c r="KYS49" s="493"/>
      <c r="KYT49" s="493"/>
      <c r="KYU49" s="493"/>
      <c r="KYV49" s="493"/>
      <c r="KYW49" s="493"/>
      <c r="KYX49" s="493"/>
      <c r="KYY49" s="493"/>
      <c r="KYZ49" s="493"/>
      <c r="KZA49" s="493"/>
      <c r="KZB49" s="493"/>
      <c r="KZC49" s="493"/>
      <c r="KZD49" s="493"/>
      <c r="KZE49" s="493"/>
      <c r="KZF49" s="493"/>
      <c r="KZG49" s="493"/>
      <c r="KZH49" s="493"/>
      <c r="KZI49" s="493"/>
      <c r="KZJ49" s="493"/>
      <c r="KZK49" s="493"/>
      <c r="KZL49" s="493"/>
      <c r="KZM49" s="493"/>
      <c r="KZN49" s="493"/>
      <c r="KZO49" s="493"/>
      <c r="KZP49" s="493"/>
      <c r="KZQ49" s="493"/>
      <c r="KZR49" s="493"/>
      <c r="KZS49" s="493"/>
      <c r="KZT49" s="493"/>
      <c r="KZU49" s="493"/>
      <c r="KZV49" s="493"/>
      <c r="KZW49" s="493"/>
      <c r="KZX49" s="493"/>
      <c r="KZY49" s="493"/>
      <c r="KZZ49" s="493"/>
      <c r="LAA49" s="493"/>
      <c r="LAB49" s="493"/>
      <c r="LAC49" s="493"/>
      <c r="LAD49" s="493"/>
      <c r="LAE49" s="493"/>
      <c r="LAF49" s="493"/>
      <c r="LAG49" s="493"/>
      <c r="LAH49" s="493"/>
      <c r="LAI49" s="493"/>
      <c r="LAJ49" s="493"/>
      <c r="LAK49" s="493"/>
      <c r="LAL49" s="493"/>
      <c r="LAM49" s="493"/>
      <c r="LAN49" s="493"/>
      <c r="LAO49" s="493"/>
      <c r="LAP49" s="493"/>
      <c r="LAQ49" s="493"/>
      <c r="LAR49" s="493"/>
      <c r="LAS49" s="493"/>
      <c r="LAT49" s="493"/>
      <c r="LAU49" s="493"/>
      <c r="LAV49" s="493"/>
      <c r="LAW49" s="493"/>
      <c r="LAX49" s="493"/>
      <c r="LAY49" s="493"/>
      <c r="LAZ49" s="493"/>
      <c r="LBA49" s="493"/>
      <c r="LBB49" s="493"/>
      <c r="LBC49" s="493"/>
      <c r="LBD49" s="493"/>
      <c r="LBE49" s="493"/>
      <c r="LBF49" s="493"/>
      <c r="LBG49" s="493"/>
      <c r="LBH49" s="493"/>
      <c r="LBI49" s="493"/>
      <c r="LBJ49" s="493"/>
      <c r="LBK49" s="493"/>
      <c r="LBL49" s="493"/>
      <c r="LBM49" s="493"/>
      <c r="LBN49" s="493"/>
      <c r="LBO49" s="493"/>
      <c r="LBP49" s="493"/>
      <c r="LBQ49" s="493"/>
      <c r="LBR49" s="493"/>
      <c r="LBS49" s="493"/>
      <c r="LBT49" s="493"/>
      <c r="LBU49" s="493"/>
      <c r="LBV49" s="493"/>
      <c r="LBW49" s="493"/>
      <c r="LBX49" s="493"/>
      <c r="LBY49" s="493"/>
      <c r="LBZ49" s="493"/>
      <c r="LCA49" s="493"/>
      <c r="LCB49" s="493"/>
      <c r="LCC49" s="493"/>
      <c r="LCD49" s="493"/>
      <c r="LCE49" s="493"/>
      <c r="LCF49" s="493"/>
      <c r="LCG49" s="493"/>
      <c r="LCH49" s="493"/>
      <c r="LCI49" s="493"/>
      <c r="LCJ49" s="493"/>
      <c r="LCK49" s="493"/>
      <c r="LCL49" s="493"/>
      <c r="LCM49" s="493"/>
      <c r="LCN49" s="493"/>
      <c r="LCO49" s="493"/>
      <c r="LCP49" s="493"/>
      <c r="LCQ49" s="493"/>
      <c r="LCR49" s="493"/>
      <c r="LCS49" s="493"/>
      <c r="LCT49" s="493"/>
      <c r="LCU49" s="493"/>
      <c r="LCV49" s="493"/>
      <c r="LCW49" s="493"/>
      <c r="LCX49" s="493"/>
      <c r="LCY49" s="493"/>
      <c r="LCZ49" s="493"/>
      <c r="LDA49" s="493"/>
      <c r="LDB49" s="493"/>
      <c r="LDC49" s="493"/>
      <c r="LDD49" s="493"/>
      <c r="LDE49" s="493"/>
      <c r="LDF49" s="493"/>
      <c r="LDG49" s="493"/>
      <c r="LDH49" s="493"/>
      <c r="LDI49" s="493"/>
      <c r="LDJ49" s="493"/>
      <c r="LDK49" s="493"/>
      <c r="LDL49" s="493"/>
      <c r="LDM49" s="493"/>
      <c r="LDN49" s="493"/>
      <c r="LDO49" s="493"/>
      <c r="LDP49" s="493"/>
      <c r="LDQ49" s="493"/>
      <c r="LDR49" s="493"/>
      <c r="LDS49" s="493"/>
      <c r="LDT49" s="493"/>
      <c r="LDU49" s="493"/>
      <c r="LDV49" s="493"/>
      <c r="LDW49" s="493"/>
      <c r="LDX49" s="493"/>
      <c r="LDY49" s="493"/>
      <c r="LDZ49" s="493"/>
      <c r="LEA49" s="493"/>
      <c r="LEB49" s="493"/>
      <c r="LEC49" s="493"/>
      <c r="LED49" s="493"/>
      <c r="LEE49" s="493"/>
      <c r="LEF49" s="493"/>
      <c r="LEG49" s="493"/>
      <c r="LEH49" s="493"/>
      <c r="LEI49" s="493"/>
      <c r="LEJ49" s="493"/>
      <c r="LEK49" s="493"/>
      <c r="LEL49" s="493"/>
      <c r="LEM49" s="493"/>
      <c r="LEN49" s="493"/>
      <c r="LEO49" s="493"/>
      <c r="LEP49" s="493"/>
      <c r="LEQ49" s="493"/>
      <c r="LER49" s="493"/>
      <c r="LES49" s="493"/>
      <c r="LET49" s="493"/>
      <c r="LEU49" s="493"/>
      <c r="LEV49" s="493"/>
      <c r="LEW49" s="493"/>
      <c r="LEX49" s="493"/>
      <c r="LEY49" s="493"/>
      <c r="LEZ49" s="493"/>
      <c r="LFA49" s="493"/>
      <c r="LFB49" s="493"/>
      <c r="LFC49" s="493"/>
      <c r="LFD49" s="493"/>
      <c r="LFE49" s="493"/>
      <c r="LFF49" s="493"/>
      <c r="LFG49" s="493"/>
      <c r="LFH49" s="493"/>
      <c r="LFI49" s="493"/>
      <c r="LFJ49" s="493"/>
      <c r="LFK49" s="493"/>
      <c r="LFL49" s="493"/>
      <c r="LFM49" s="493"/>
      <c r="LFN49" s="493"/>
      <c r="LFO49" s="493"/>
      <c r="LFP49" s="493"/>
      <c r="LFQ49" s="493"/>
      <c r="LFR49" s="493"/>
      <c r="LFS49" s="493"/>
      <c r="LFT49" s="493"/>
      <c r="LFU49" s="493"/>
      <c r="LFV49" s="493"/>
      <c r="LFW49" s="493"/>
      <c r="LFX49" s="493"/>
      <c r="LFY49" s="493"/>
      <c r="LFZ49" s="493"/>
      <c r="LGA49" s="493"/>
      <c r="LGB49" s="493"/>
      <c r="LGC49" s="493"/>
      <c r="LGD49" s="493"/>
      <c r="LGE49" s="493"/>
      <c r="LGF49" s="493"/>
      <c r="LGG49" s="493"/>
      <c r="LGH49" s="493"/>
      <c r="LGI49" s="493"/>
      <c r="LGJ49" s="493"/>
      <c r="LGK49" s="493"/>
      <c r="LGL49" s="493"/>
      <c r="LGM49" s="493"/>
      <c r="LGN49" s="493"/>
      <c r="LGO49" s="493"/>
      <c r="LGP49" s="493"/>
      <c r="LGQ49" s="493"/>
      <c r="LGR49" s="493"/>
      <c r="LGS49" s="493"/>
      <c r="LGT49" s="493"/>
      <c r="LGU49" s="493"/>
      <c r="LGV49" s="493"/>
      <c r="LGW49" s="493"/>
      <c r="LGX49" s="493"/>
      <c r="LGY49" s="493"/>
      <c r="LGZ49" s="493"/>
      <c r="LHA49" s="493"/>
      <c r="LHB49" s="493"/>
      <c r="LHC49" s="493"/>
      <c r="LHD49" s="493"/>
      <c r="LHE49" s="493"/>
      <c r="LHF49" s="493"/>
      <c r="LHG49" s="493"/>
      <c r="LHH49" s="493"/>
      <c r="LHI49" s="493"/>
      <c r="LHJ49" s="493"/>
      <c r="LHK49" s="493"/>
      <c r="LHL49" s="493"/>
      <c r="LHM49" s="493"/>
      <c r="LHN49" s="493"/>
      <c r="LHO49" s="493"/>
      <c r="LHP49" s="493"/>
      <c r="LHQ49" s="493"/>
      <c r="LHR49" s="493"/>
      <c r="LHS49" s="493"/>
      <c r="LHT49" s="493"/>
      <c r="LHU49" s="493"/>
      <c r="LHV49" s="493"/>
      <c r="LHW49" s="493"/>
      <c r="LHX49" s="493"/>
      <c r="LHY49" s="493"/>
      <c r="LHZ49" s="493"/>
      <c r="LIA49" s="493"/>
      <c r="LIB49" s="493"/>
      <c r="LIC49" s="493"/>
      <c r="LID49" s="493"/>
      <c r="LIE49" s="493"/>
      <c r="LIF49" s="493"/>
      <c r="LIG49" s="493"/>
      <c r="LIH49" s="493"/>
      <c r="LII49" s="493"/>
      <c r="LIJ49" s="493"/>
      <c r="LIK49" s="493"/>
      <c r="LIL49" s="493"/>
      <c r="LIM49" s="493"/>
      <c r="LIN49" s="493"/>
      <c r="LIO49" s="493"/>
      <c r="LIP49" s="493"/>
      <c r="LIQ49" s="493"/>
      <c r="LIR49" s="493"/>
      <c r="LIS49" s="493"/>
      <c r="LIT49" s="493"/>
      <c r="LIU49" s="493"/>
      <c r="LIV49" s="493"/>
      <c r="LIW49" s="493"/>
      <c r="LIX49" s="493"/>
      <c r="LIY49" s="493"/>
      <c r="LIZ49" s="493"/>
      <c r="LJA49" s="493"/>
      <c r="LJB49" s="493"/>
      <c r="LJC49" s="493"/>
      <c r="LJD49" s="493"/>
      <c r="LJE49" s="493"/>
      <c r="LJF49" s="493"/>
      <c r="LJG49" s="493"/>
      <c r="LJH49" s="493"/>
      <c r="LJI49" s="493"/>
      <c r="LJJ49" s="493"/>
      <c r="LJK49" s="493"/>
      <c r="LJL49" s="493"/>
      <c r="LJM49" s="493"/>
      <c r="LJN49" s="493"/>
      <c r="LJO49" s="493"/>
      <c r="LJP49" s="493"/>
      <c r="LJQ49" s="493"/>
      <c r="LJR49" s="493"/>
      <c r="LJS49" s="493"/>
      <c r="LJT49" s="493"/>
      <c r="LJU49" s="493"/>
      <c r="LJV49" s="493"/>
      <c r="LJW49" s="493"/>
      <c r="LJX49" s="493"/>
      <c r="LJY49" s="493"/>
      <c r="LJZ49" s="493"/>
      <c r="LKA49" s="493"/>
      <c r="LKB49" s="493"/>
      <c r="LKC49" s="493"/>
      <c r="LKD49" s="493"/>
      <c r="LKE49" s="493"/>
      <c r="LKF49" s="493"/>
      <c r="LKG49" s="493"/>
      <c r="LKH49" s="493"/>
      <c r="LKI49" s="493"/>
      <c r="LKJ49" s="493"/>
      <c r="LKK49" s="493"/>
      <c r="LKL49" s="493"/>
      <c r="LKM49" s="493"/>
      <c r="LKN49" s="493"/>
      <c r="LKO49" s="493"/>
      <c r="LKP49" s="493"/>
      <c r="LKQ49" s="493"/>
      <c r="LKR49" s="493"/>
      <c r="LKS49" s="493"/>
      <c r="LKT49" s="493"/>
      <c r="LKU49" s="493"/>
      <c r="LKV49" s="493"/>
      <c r="LKW49" s="493"/>
      <c r="LKX49" s="493"/>
      <c r="LKY49" s="493"/>
      <c r="LKZ49" s="493"/>
      <c r="LLA49" s="493"/>
      <c r="LLB49" s="493"/>
      <c r="LLC49" s="493"/>
      <c r="LLD49" s="493"/>
      <c r="LLE49" s="493"/>
      <c r="LLF49" s="493"/>
      <c r="LLG49" s="493"/>
      <c r="LLH49" s="493"/>
      <c r="LLI49" s="493"/>
      <c r="LLJ49" s="493"/>
      <c r="LLK49" s="493"/>
      <c r="LLL49" s="493"/>
      <c r="LLM49" s="493"/>
      <c r="LLN49" s="493"/>
      <c r="LLO49" s="493"/>
      <c r="LLP49" s="493"/>
      <c r="LLQ49" s="493"/>
      <c r="LLR49" s="493"/>
      <c r="LLS49" s="493"/>
      <c r="LLT49" s="493"/>
      <c r="LLU49" s="493"/>
      <c r="LLV49" s="493"/>
      <c r="LLW49" s="493"/>
      <c r="LLX49" s="493"/>
      <c r="LLY49" s="493"/>
      <c r="LLZ49" s="493"/>
      <c r="LMA49" s="493"/>
      <c r="LMB49" s="493"/>
      <c r="LMC49" s="493"/>
      <c r="LMD49" s="493"/>
      <c r="LME49" s="493"/>
      <c r="LMF49" s="493"/>
      <c r="LMG49" s="493"/>
      <c r="LMH49" s="493"/>
      <c r="LMI49" s="493"/>
      <c r="LMJ49" s="493"/>
      <c r="LMK49" s="493"/>
      <c r="LML49" s="493"/>
      <c r="LMM49" s="493"/>
      <c r="LMN49" s="493"/>
      <c r="LMO49" s="493"/>
      <c r="LMP49" s="493"/>
      <c r="LMQ49" s="493"/>
      <c r="LMR49" s="493"/>
      <c r="LMS49" s="493"/>
      <c r="LMT49" s="493"/>
      <c r="LMU49" s="493"/>
      <c r="LMV49" s="493"/>
      <c r="LMW49" s="493"/>
      <c r="LMX49" s="493"/>
      <c r="LMY49" s="493"/>
      <c r="LMZ49" s="493"/>
      <c r="LNA49" s="493"/>
      <c r="LNB49" s="493"/>
      <c r="LNC49" s="493"/>
      <c r="LND49" s="493"/>
      <c r="LNE49" s="493"/>
      <c r="LNF49" s="493"/>
      <c r="LNG49" s="493"/>
      <c r="LNH49" s="493"/>
      <c r="LNI49" s="493"/>
      <c r="LNJ49" s="493"/>
      <c r="LNK49" s="493"/>
      <c r="LNL49" s="493"/>
      <c r="LNM49" s="493"/>
      <c r="LNN49" s="493"/>
      <c r="LNO49" s="493"/>
      <c r="LNP49" s="493"/>
      <c r="LNQ49" s="493"/>
      <c r="LNR49" s="493"/>
      <c r="LNS49" s="493"/>
      <c r="LNT49" s="493"/>
      <c r="LNU49" s="493"/>
      <c r="LNV49" s="493"/>
      <c r="LNW49" s="493"/>
      <c r="LNX49" s="493"/>
      <c r="LNY49" s="493"/>
      <c r="LNZ49" s="493"/>
      <c r="LOA49" s="493"/>
      <c r="LOB49" s="493"/>
      <c r="LOC49" s="493"/>
      <c r="LOD49" s="493"/>
      <c r="LOE49" s="493"/>
      <c r="LOF49" s="493"/>
      <c r="LOG49" s="493"/>
      <c r="LOH49" s="493"/>
      <c r="LOI49" s="493"/>
      <c r="LOJ49" s="493"/>
      <c r="LOK49" s="493"/>
      <c r="LOL49" s="493"/>
      <c r="LOM49" s="493"/>
      <c r="LON49" s="493"/>
      <c r="LOO49" s="493"/>
      <c r="LOP49" s="493"/>
      <c r="LOQ49" s="493"/>
      <c r="LOR49" s="493"/>
      <c r="LOS49" s="493"/>
      <c r="LOT49" s="493"/>
      <c r="LOU49" s="493"/>
      <c r="LOV49" s="493"/>
      <c r="LOW49" s="493"/>
      <c r="LOX49" s="493"/>
      <c r="LOY49" s="493"/>
      <c r="LOZ49" s="493"/>
      <c r="LPA49" s="493"/>
      <c r="LPB49" s="493"/>
      <c r="LPC49" s="493"/>
      <c r="LPD49" s="493"/>
      <c r="LPE49" s="493"/>
      <c r="LPF49" s="493"/>
      <c r="LPG49" s="493"/>
      <c r="LPH49" s="493"/>
      <c r="LPI49" s="493"/>
      <c r="LPJ49" s="493"/>
      <c r="LPK49" s="493"/>
      <c r="LPL49" s="493"/>
      <c r="LPM49" s="493"/>
      <c r="LPN49" s="493"/>
      <c r="LPO49" s="493"/>
      <c r="LPP49" s="493"/>
      <c r="LPQ49" s="493"/>
      <c r="LPR49" s="493"/>
      <c r="LPS49" s="493"/>
      <c r="LPT49" s="493"/>
      <c r="LPU49" s="493"/>
      <c r="LPV49" s="493"/>
      <c r="LPW49" s="493"/>
      <c r="LPX49" s="493"/>
      <c r="LPY49" s="493"/>
      <c r="LPZ49" s="493"/>
      <c r="LQA49" s="493"/>
      <c r="LQB49" s="493"/>
      <c r="LQC49" s="493"/>
      <c r="LQD49" s="493"/>
      <c r="LQE49" s="493"/>
      <c r="LQF49" s="493"/>
      <c r="LQG49" s="493"/>
      <c r="LQH49" s="493"/>
      <c r="LQI49" s="493"/>
      <c r="LQJ49" s="493"/>
      <c r="LQK49" s="493"/>
      <c r="LQL49" s="493"/>
      <c r="LQM49" s="493"/>
      <c r="LQN49" s="493"/>
      <c r="LQO49" s="493"/>
      <c r="LQP49" s="493"/>
      <c r="LQQ49" s="493"/>
      <c r="LQR49" s="493"/>
      <c r="LQS49" s="493"/>
      <c r="LQT49" s="493"/>
      <c r="LQU49" s="493"/>
      <c r="LQV49" s="493"/>
      <c r="LQW49" s="493"/>
      <c r="LQX49" s="493"/>
      <c r="LQY49" s="493"/>
      <c r="LQZ49" s="493"/>
      <c r="LRA49" s="493"/>
      <c r="LRB49" s="493"/>
      <c r="LRC49" s="493"/>
      <c r="LRD49" s="493"/>
      <c r="LRE49" s="493"/>
      <c r="LRF49" s="493"/>
      <c r="LRG49" s="493"/>
      <c r="LRH49" s="493"/>
      <c r="LRI49" s="493"/>
      <c r="LRJ49" s="493"/>
      <c r="LRK49" s="493"/>
      <c r="LRL49" s="493"/>
      <c r="LRM49" s="493"/>
      <c r="LRN49" s="493"/>
      <c r="LRO49" s="493"/>
      <c r="LRP49" s="493"/>
      <c r="LRQ49" s="493"/>
      <c r="LRR49" s="493"/>
      <c r="LRS49" s="493"/>
      <c r="LRT49" s="493"/>
      <c r="LRU49" s="493"/>
      <c r="LRV49" s="493"/>
      <c r="LRW49" s="493"/>
      <c r="LRX49" s="493"/>
      <c r="LRY49" s="493"/>
      <c r="LRZ49" s="493"/>
      <c r="LSA49" s="493"/>
      <c r="LSB49" s="493"/>
      <c r="LSC49" s="493"/>
      <c r="LSD49" s="493"/>
      <c r="LSE49" s="493"/>
      <c r="LSF49" s="493"/>
      <c r="LSG49" s="493"/>
      <c r="LSH49" s="493"/>
      <c r="LSI49" s="493"/>
      <c r="LSJ49" s="493"/>
      <c r="LSK49" s="493"/>
      <c r="LSL49" s="493"/>
      <c r="LSM49" s="493"/>
      <c r="LSN49" s="493"/>
      <c r="LSO49" s="493"/>
      <c r="LSP49" s="493"/>
      <c r="LSQ49" s="493"/>
      <c r="LSR49" s="493"/>
      <c r="LSS49" s="493"/>
      <c r="LST49" s="493"/>
      <c r="LSU49" s="493"/>
      <c r="LSV49" s="493"/>
      <c r="LSW49" s="493"/>
      <c r="LSX49" s="493"/>
      <c r="LSY49" s="493"/>
      <c r="LSZ49" s="493"/>
      <c r="LTA49" s="493"/>
      <c r="LTB49" s="493"/>
      <c r="LTC49" s="493"/>
      <c r="LTD49" s="493"/>
      <c r="LTE49" s="493"/>
      <c r="LTF49" s="493"/>
      <c r="LTG49" s="493"/>
      <c r="LTH49" s="493"/>
      <c r="LTI49" s="493"/>
      <c r="LTJ49" s="493"/>
      <c r="LTK49" s="493"/>
      <c r="LTL49" s="493"/>
      <c r="LTM49" s="493"/>
      <c r="LTN49" s="493"/>
      <c r="LTO49" s="493"/>
      <c r="LTP49" s="493"/>
      <c r="LTQ49" s="493"/>
      <c r="LTR49" s="493"/>
      <c r="LTS49" s="493"/>
      <c r="LTT49" s="493"/>
      <c r="LTU49" s="493"/>
      <c r="LTV49" s="493"/>
      <c r="LTW49" s="493"/>
      <c r="LTX49" s="493"/>
      <c r="LTY49" s="493"/>
      <c r="LTZ49" s="493"/>
      <c r="LUA49" s="493"/>
      <c r="LUB49" s="493"/>
      <c r="LUC49" s="493"/>
      <c r="LUD49" s="493"/>
      <c r="LUE49" s="493"/>
      <c r="LUF49" s="493"/>
      <c r="LUG49" s="493"/>
      <c r="LUH49" s="493"/>
      <c r="LUI49" s="493"/>
      <c r="LUJ49" s="493"/>
      <c r="LUK49" s="493"/>
      <c r="LUL49" s="493"/>
      <c r="LUM49" s="493"/>
      <c r="LUN49" s="493"/>
      <c r="LUO49" s="493"/>
      <c r="LUP49" s="493"/>
      <c r="LUQ49" s="493"/>
      <c r="LUR49" s="493"/>
      <c r="LUS49" s="493"/>
      <c r="LUT49" s="493"/>
      <c r="LUU49" s="493"/>
      <c r="LUV49" s="493"/>
      <c r="LUW49" s="493"/>
      <c r="LUX49" s="493"/>
      <c r="LUY49" s="493"/>
      <c r="LUZ49" s="493"/>
      <c r="LVA49" s="493"/>
      <c r="LVB49" s="493"/>
      <c r="LVC49" s="493"/>
      <c r="LVD49" s="493"/>
      <c r="LVE49" s="493"/>
      <c r="LVF49" s="493"/>
      <c r="LVG49" s="493"/>
      <c r="LVH49" s="493"/>
      <c r="LVI49" s="493"/>
      <c r="LVJ49" s="493"/>
      <c r="LVK49" s="493"/>
      <c r="LVL49" s="493"/>
      <c r="LVM49" s="493"/>
      <c r="LVN49" s="493"/>
      <c r="LVO49" s="493"/>
      <c r="LVP49" s="493"/>
      <c r="LVQ49" s="493"/>
      <c r="LVR49" s="493"/>
      <c r="LVS49" s="493"/>
      <c r="LVT49" s="493"/>
      <c r="LVU49" s="493"/>
      <c r="LVV49" s="493"/>
      <c r="LVW49" s="493"/>
      <c r="LVX49" s="493"/>
      <c r="LVY49" s="493"/>
      <c r="LVZ49" s="493"/>
      <c r="LWA49" s="493"/>
      <c r="LWB49" s="493"/>
      <c r="LWC49" s="493"/>
      <c r="LWD49" s="493"/>
      <c r="LWE49" s="493"/>
      <c r="LWF49" s="493"/>
      <c r="LWG49" s="493"/>
      <c r="LWH49" s="493"/>
      <c r="LWI49" s="493"/>
      <c r="LWJ49" s="493"/>
      <c r="LWK49" s="493"/>
      <c r="LWL49" s="493"/>
      <c r="LWM49" s="493"/>
      <c r="LWN49" s="493"/>
      <c r="LWO49" s="493"/>
      <c r="LWP49" s="493"/>
      <c r="LWQ49" s="493"/>
      <c r="LWR49" s="493"/>
      <c r="LWS49" s="493"/>
      <c r="LWT49" s="493"/>
      <c r="LWU49" s="493"/>
      <c r="LWV49" s="493"/>
      <c r="LWW49" s="493"/>
      <c r="LWX49" s="493"/>
      <c r="LWY49" s="493"/>
      <c r="LWZ49" s="493"/>
      <c r="LXA49" s="493"/>
      <c r="LXB49" s="493"/>
      <c r="LXC49" s="493"/>
      <c r="LXD49" s="493"/>
      <c r="LXE49" s="493"/>
      <c r="LXF49" s="493"/>
      <c r="LXG49" s="493"/>
      <c r="LXH49" s="493"/>
      <c r="LXI49" s="493"/>
      <c r="LXJ49" s="493"/>
      <c r="LXK49" s="493"/>
      <c r="LXL49" s="493"/>
      <c r="LXM49" s="493"/>
      <c r="LXN49" s="493"/>
      <c r="LXO49" s="493"/>
      <c r="LXP49" s="493"/>
      <c r="LXQ49" s="493"/>
      <c r="LXR49" s="493"/>
      <c r="LXS49" s="493"/>
      <c r="LXT49" s="493"/>
      <c r="LXU49" s="493"/>
      <c r="LXV49" s="493"/>
      <c r="LXW49" s="493"/>
      <c r="LXX49" s="493"/>
      <c r="LXY49" s="493"/>
      <c r="LXZ49" s="493"/>
      <c r="LYA49" s="493"/>
      <c r="LYB49" s="493"/>
      <c r="LYC49" s="493"/>
      <c r="LYD49" s="493"/>
      <c r="LYE49" s="493"/>
      <c r="LYF49" s="493"/>
      <c r="LYG49" s="493"/>
      <c r="LYH49" s="493"/>
      <c r="LYI49" s="493"/>
      <c r="LYJ49" s="493"/>
      <c r="LYK49" s="493"/>
      <c r="LYL49" s="493"/>
      <c r="LYM49" s="493"/>
      <c r="LYN49" s="493"/>
      <c r="LYO49" s="493"/>
      <c r="LYP49" s="493"/>
      <c r="LYQ49" s="493"/>
      <c r="LYR49" s="493"/>
      <c r="LYS49" s="493"/>
      <c r="LYT49" s="493"/>
      <c r="LYU49" s="493"/>
      <c r="LYV49" s="493"/>
      <c r="LYW49" s="493"/>
      <c r="LYX49" s="493"/>
      <c r="LYY49" s="493"/>
      <c r="LYZ49" s="493"/>
      <c r="LZA49" s="493"/>
      <c r="LZB49" s="493"/>
      <c r="LZC49" s="493"/>
      <c r="LZD49" s="493"/>
      <c r="LZE49" s="493"/>
      <c r="LZF49" s="493"/>
      <c r="LZG49" s="493"/>
      <c r="LZH49" s="493"/>
      <c r="LZI49" s="493"/>
      <c r="LZJ49" s="493"/>
      <c r="LZK49" s="493"/>
      <c r="LZL49" s="493"/>
      <c r="LZM49" s="493"/>
      <c r="LZN49" s="493"/>
      <c r="LZO49" s="493"/>
      <c r="LZP49" s="493"/>
      <c r="LZQ49" s="493"/>
      <c r="LZR49" s="493"/>
      <c r="LZS49" s="493"/>
      <c r="LZT49" s="493"/>
      <c r="LZU49" s="493"/>
      <c r="LZV49" s="493"/>
      <c r="LZW49" s="493"/>
      <c r="LZX49" s="493"/>
      <c r="LZY49" s="493"/>
      <c r="LZZ49" s="493"/>
      <c r="MAA49" s="493"/>
      <c r="MAB49" s="493"/>
      <c r="MAC49" s="493"/>
      <c r="MAD49" s="493"/>
      <c r="MAE49" s="493"/>
      <c r="MAF49" s="493"/>
      <c r="MAG49" s="493"/>
      <c r="MAH49" s="493"/>
      <c r="MAI49" s="493"/>
      <c r="MAJ49" s="493"/>
      <c r="MAK49" s="493"/>
      <c r="MAL49" s="493"/>
      <c r="MAM49" s="493"/>
      <c r="MAN49" s="493"/>
      <c r="MAO49" s="493"/>
      <c r="MAP49" s="493"/>
      <c r="MAQ49" s="493"/>
      <c r="MAR49" s="493"/>
      <c r="MAS49" s="493"/>
      <c r="MAT49" s="493"/>
      <c r="MAU49" s="493"/>
      <c r="MAV49" s="493"/>
      <c r="MAW49" s="493"/>
      <c r="MAX49" s="493"/>
      <c r="MAY49" s="493"/>
      <c r="MAZ49" s="493"/>
      <c r="MBA49" s="493"/>
      <c r="MBB49" s="493"/>
      <c r="MBC49" s="493"/>
      <c r="MBD49" s="493"/>
      <c r="MBE49" s="493"/>
      <c r="MBF49" s="493"/>
      <c r="MBG49" s="493"/>
      <c r="MBH49" s="493"/>
      <c r="MBI49" s="493"/>
      <c r="MBJ49" s="493"/>
      <c r="MBK49" s="493"/>
      <c r="MBL49" s="493"/>
      <c r="MBM49" s="493"/>
      <c r="MBN49" s="493"/>
      <c r="MBO49" s="493"/>
      <c r="MBP49" s="493"/>
      <c r="MBQ49" s="493"/>
      <c r="MBR49" s="493"/>
      <c r="MBS49" s="493"/>
      <c r="MBT49" s="493"/>
      <c r="MBU49" s="493"/>
      <c r="MBV49" s="493"/>
      <c r="MBW49" s="493"/>
      <c r="MBX49" s="493"/>
      <c r="MBY49" s="493"/>
      <c r="MBZ49" s="493"/>
      <c r="MCA49" s="493"/>
      <c r="MCB49" s="493"/>
      <c r="MCC49" s="493"/>
      <c r="MCD49" s="493"/>
      <c r="MCE49" s="493"/>
      <c r="MCF49" s="493"/>
      <c r="MCG49" s="493"/>
      <c r="MCH49" s="493"/>
      <c r="MCI49" s="493"/>
      <c r="MCJ49" s="493"/>
      <c r="MCK49" s="493"/>
      <c r="MCL49" s="493"/>
      <c r="MCM49" s="493"/>
      <c r="MCN49" s="493"/>
      <c r="MCO49" s="493"/>
      <c r="MCP49" s="493"/>
      <c r="MCQ49" s="493"/>
      <c r="MCR49" s="493"/>
      <c r="MCS49" s="493"/>
      <c r="MCT49" s="493"/>
      <c r="MCU49" s="493"/>
      <c r="MCV49" s="493"/>
      <c r="MCW49" s="493"/>
      <c r="MCX49" s="493"/>
      <c r="MCY49" s="493"/>
      <c r="MCZ49" s="493"/>
      <c r="MDA49" s="493"/>
      <c r="MDB49" s="493"/>
      <c r="MDC49" s="493"/>
      <c r="MDD49" s="493"/>
      <c r="MDE49" s="493"/>
      <c r="MDF49" s="493"/>
      <c r="MDG49" s="493"/>
      <c r="MDH49" s="493"/>
      <c r="MDI49" s="493"/>
      <c r="MDJ49" s="493"/>
      <c r="MDK49" s="493"/>
      <c r="MDL49" s="493"/>
      <c r="MDM49" s="493"/>
      <c r="MDN49" s="493"/>
      <c r="MDO49" s="493"/>
      <c r="MDP49" s="493"/>
      <c r="MDQ49" s="493"/>
      <c r="MDR49" s="493"/>
      <c r="MDS49" s="493"/>
      <c r="MDT49" s="493"/>
      <c r="MDU49" s="493"/>
      <c r="MDV49" s="493"/>
      <c r="MDW49" s="493"/>
      <c r="MDX49" s="493"/>
      <c r="MDY49" s="493"/>
      <c r="MDZ49" s="493"/>
      <c r="MEA49" s="493"/>
      <c r="MEB49" s="493"/>
      <c r="MEC49" s="493"/>
      <c r="MED49" s="493"/>
      <c r="MEE49" s="493"/>
      <c r="MEF49" s="493"/>
      <c r="MEG49" s="493"/>
      <c r="MEH49" s="493"/>
      <c r="MEI49" s="493"/>
      <c r="MEJ49" s="493"/>
      <c r="MEK49" s="493"/>
      <c r="MEL49" s="493"/>
      <c r="MEM49" s="493"/>
      <c r="MEN49" s="493"/>
      <c r="MEO49" s="493"/>
      <c r="MEP49" s="493"/>
      <c r="MEQ49" s="493"/>
      <c r="MER49" s="493"/>
      <c r="MES49" s="493"/>
      <c r="MET49" s="493"/>
      <c r="MEU49" s="493"/>
      <c r="MEV49" s="493"/>
      <c r="MEW49" s="493"/>
      <c r="MEX49" s="493"/>
      <c r="MEY49" s="493"/>
      <c r="MEZ49" s="493"/>
      <c r="MFA49" s="493"/>
      <c r="MFB49" s="493"/>
      <c r="MFC49" s="493"/>
      <c r="MFD49" s="493"/>
      <c r="MFE49" s="493"/>
      <c r="MFF49" s="493"/>
      <c r="MFG49" s="493"/>
      <c r="MFH49" s="493"/>
      <c r="MFI49" s="493"/>
      <c r="MFJ49" s="493"/>
      <c r="MFK49" s="493"/>
      <c r="MFL49" s="493"/>
      <c r="MFM49" s="493"/>
      <c r="MFN49" s="493"/>
      <c r="MFO49" s="493"/>
      <c r="MFP49" s="493"/>
      <c r="MFQ49" s="493"/>
      <c r="MFR49" s="493"/>
      <c r="MFS49" s="493"/>
      <c r="MFT49" s="493"/>
      <c r="MFU49" s="493"/>
      <c r="MFV49" s="493"/>
      <c r="MFW49" s="493"/>
      <c r="MFX49" s="493"/>
      <c r="MFY49" s="493"/>
      <c r="MFZ49" s="493"/>
      <c r="MGA49" s="493"/>
      <c r="MGB49" s="493"/>
      <c r="MGC49" s="493"/>
      <c r="MGD49" s="493"/>
      <c r="MGE49" s="493"/>
      <c r="MGF49" s="493"/>
      <c r="MGG49" s="493"/>
      <c r="MGH49" s="493"/>
      <c r="MGI49" s="493"/>
      <c r="MGJ49" s="493"/>
      <c r="MGK49" s="493"/>
      <c r="MGL49" s="493"/>
      <c r="MGM49" s="493"/>
      <c r="MGN49" s="493"/>
      <c r="MGO49" s="493"/>
      <c r="MGP49" s="493"/>
      <c r="MGQ49" s="493"/>
      <c r="MGR49" s="493"/>
      <c r="MGS49" s="493"/>
      <c r="MGT49" s="493"/>
      <c r="MGU49" s="493"/>
      <c r="MGV49" s="493"/>
      <c r="MGW49" s="493"/>
      <c r="MGX49" s="493"/>
      <c r="MGY49" s="493"/>
      <c r="MGZ49" s="493"/>
      <c r="MHA49" s="493"/>
      <c r="MHB49" s="493"/>
      <c r="MHC49" s="493"/>
      <c r="MHD49" s="493"/>
      <c r="MHE49" s="493"/>
      <c r="MHF49" s="493"/>
      <c r="MHG49" s="493"/>
      <c r="MHH49" s="493"/>
      <c r="MHI49" s="493"/>
      <c r="MHJ49" s="493"/>
      <c r="MHK49" s="493"/>
      <c r="MHL49" s="493"/>
      <c r="MHM49" s="493"/>
      <c r="MHN49" s="493"/>
      <c r="MHO49" s="493"/>
      <c r="MHP49" s="493"/>
      <c r="MHQ49" s="493"/>
      <c r="MHR49" s="493"/>
      <c r="MHS49" s="493"/>
      <c r="MHT49" s="493"/>
      <c r="MHU49" s="493"/>
      <c r="MHV49" s="493"/>
      <c r="MHW49" s="493"/>
      <c r="MHX49" s="493"/>
      <c r="MHY49" s="493"/>
      <c r="MHZ49" s="493"/>
      <c r="MIA49" s="493"/>
      <c r="MIB49" s="493"/>
      <c r="MIC49" s="493"/>
      <c r="MID49" s="493"/>
      <c r="MIE49" s="493"/>
      <c r="MIF49" s="493"/>
      <c r="MIG49" s="493"/>
      <c r="MIH49" s="493"/>
      <c r="MII49" s="493"/>
      <c r="MIJ49" s="493"/>
      <c r="MIK49" s="493"/>
      <c r="MIL49" s="493"/>
      <c r="MIM49" s="493"/>
      <c r="MIN49" s="493"/>
      <c r="MIO49" s="493"/>
      <c r="MIP49" s="493"/>
      <c r="MIQ49" s="493"/>
      <c r="MIR49" s="493"/>
      <c r="MIS49" s="493"/>
      <c r="MIT49" s="493"/>
      <c r="MIU49" s="493"/>
      <c r="MIV49" s="493"/>
      <c r="MIW49" s="493"/>
      <c r="MIX49" s="493"/>
      <c r="MIY49" s="493"/>
      <c r="MIZ49" s="493"/>
      <c r="MJA49" s="493"/>
      <c r="MJB49" s="493"/>
      <c r="MJC49" s="493"/>
      <c r="MJD49" s="493"/>
      <c r="MJE49" s="493"/>
      <c r="MJF49" s="493"/>
      <c r="MJG49" s="493"/>
      <c r="MJH49" s="493"/>
      <c r="MJI49" s="493"/>
      <c r="MJJ49" s="493"/>
      <c r="MJK49" s="493"/>
      <c r="MJL49" s="493"/>
      <c r="MJM49" s="493"/>
      <c r="MJN49" s="493"/>
      <c r="MJO49" s="493"/>
      <c r="MJP49" s="493"/>
      <c r="MJQ49" s="493"/>
      <c r="MJR49" s="493"/>
      <c r="MJS49" s="493"/>
      <c r="MJT49" s="493"/>
      <c r="MJU49" s="493"/>
      <c r="MJV49" s="493"/>
      <c r="MJW49" s="493"/>
      <c r="MJX49" s="493"/>
      <c r="MJY49" s="493"/>
      <c r="MJZ49" s="493"/>
      <c r="MKA49" s="493"/>
      <c r="MKB49" s="493"/>
      <c r="MKC49" s="493"/>
      <c r="MKD49" s="493"/>
      <c r="MKE49" s="493"/>
      <c r="MKF49" s="493"/>
      <c r="MKG49" s="493"/>
      <c r="MKH49" s="493"/>
      <c r="MKI49" s="493"/>
      <c r="MKJ49" s="493"/>
      <c r="MKK49" s="493"/>
      <c r="MKL49" s="493"/>
      <c r="MKM49" s="493"/>
      <c r="MKN49" s="493"/>
      <c r="MKO49" s="493"/>
      <c r="MKP49" s="493"/>
      <c r="MKQ49" s="493"/>
      <c r="MKR49" s="493"/>
      <c r="MKS49" s="493"/>
      <c r="MKT49" s="493"/>
      <c r="MKU49" s="493"/>
      <c r="MKV49" s="493"/>
      <c r="MKW49" s="493"/>
      <c r="MKX49" s="493"/>
      <c r="MKY49" s="493"/>
      <c r="MKZ49" s="493"/>
      <c r="MLA49" s="493"/>
      <c r="MLB49" s="493"/>
      <c r="MLC49" s="493"/>
      <c r="MLD49" s="493"/>
      <c r="MLE49" s="493"/>
      <c r="MLF49" s="493"/>
      <c r="MLG49" s="493"/>
      <c r="MLH49" s="493"/>
      <c r="MLI49" s="493"/>
      <c r="MLJ49" s="493"/>
      <c r="MLK49" s="493"/>
      <c r="MLL49" s="493"/>
      <c r="MLM49" s="493"/>
      <c r="MLN49" s="493"/>
      <c r="MLO49" s="493"/>
      <c r="MLP49" s="493"/>
      <c r="MLQ49" s="493"/>
      <c r="MLR49" s="493"/>
      <c r="MLS49" s="493"/>
      <c r="MLT49" s="493"/>
      <c r="MLU49" s="493"/>
      <c r="MLV49" s="493"/>
      <c r="MLW49" s="493"/>
      <c r="MLX49" s="493"/>
      <c r="MLY49" s="493"/>
      <c r="MLZ49" s="493"/>
      <c r="MMA49" s="493"/>
      <c r="MMB49" s="493"/>
      <c r="MMC49" s="493"/>
      <c r="MMD49" s="493"/>
      <c r="MME49" s="493"/>
      <c r="MMF49" s="493"/>
      <c r="MMG49" s="493"/>
      <c r="MMH49" s="493"/>
      <c r="MMI49" s="493"/>
      <c r="MMJ49" s="493"/>
      <c r="MMK49" s="493"/>
      <c r="MML49" s="493"/>
      <c r="MMM49" s="493"/>
      <c r="MMN49" s="493"/>
      <c r="MMO49" s="493"/>
      <c r="MMP49" s="493"/>
      <c r="MMQ49" s="493"/>
      <c r="MMR49" s="493"/>
      <c r="MMS49" s="493"/>
      <c r="MMT49" s="493"/>
      <c r="MMU49" s="493"/>
      <c r="MMV49" s="493"/>
      <c r="MMW49" s="493"/>
      <c r="MMX49" s="493"/>
      <c r="MMY49" s="493"/>
      <c r="MMZ49" s="493"/>
      <c r="MNA49" s="493"/>
      <c r="MNB49" s="493"/>
      <c r="MNC49" s="493"/>
      <c r="MND49" s="493"/>
      <c r="MNE49" s="493"/>
      <c r="MNF49" s="493"/>
      <c r="MNG49" s="493"/>
      <c r="MNH49" s="493"/>
      <c r="MNI49" s="493"/>
      <c r="MNJ49" s="493"/>
      <c r="MNK49" s="493"/>
      <c r="MNL49" s="493"/>
      <c r="MNM49" s="493"/>
      <c r="MNN49" s="493"/>
      <c r="MNO49" s="493"/>
      <c r="MNP49" s="493"/>
      <c r="MNQ49" s="493"/>
      <c r="MNR49" s="493"/>
      <c r="MNS49" s="493"/>
      <c r="MNT49" s="493"/>
      <c r="MNU49" s="493"/>
      <c r="MNV49" s="493"/>
      <c r="MNW49" s="493"/>
      <c r="MNX49" s="493"/>
      <c r="MNY49" s="493"/>
      <c r="MNZ49" s="493"/>
      <c r="MOA49" s="493"/>
      <c r="MOB49" s="493"/>
      <c r="MOC49" s="493"/>
      <c r="MOD49" s="493"/>
      <c r="MOE49" s="493"/>
      <c r="MOF49" s="493"/>
      <c r="MOG49" s="493"/>
      <c r="MOH49" s="493"/>
      <c r="MOI49" s="493"/>
      <c r="MOJ49" s="493"/>
      <c r="MOK49" s="493"/>
      <c r="MOL49" s="493"/>
      <c r="MOM49" s="493"/>
      <c r="MON49" s="493"/>
      <c r="MOO49" s="493"/>
      <c r="MOP49" s="493"/>
      <c r="MOQ49" s="493"/>
      <c r="MOR49" s="493"/>
      <c r="MOS49" s="493"/>
      <c r="MOT49" s="493"/>
      <c r="MOU49" s="493"/>
      <c r="MOV49" s="493"/>
      <c r="MOW49" s="493"/>
      <c r="MOX49" s="493"/>
      <c r="MOY49" s="493"/>
      <c r="MOZ49" s="493"/>
      <c r="MPA49" s="493"/>
      <c r="MPB49" s="493"/>
      <c r="MPC49" s="493"/>
      <c r="MPD49" s="493"/>
      <c r="MPE49" s="493"/>
      <c r="MPF49" s="493"/>
      <c r="MPG49" s="493"/>
      <c r="MPH49" s="493"/>
      <c r="MPI49" s="493"/>
      <c r="MPJ49" s="493"/>
      <c r="MPK49" s="493"/>
      <c r="MPL49" s="493"/>
      <c r="MPM49" s="493"/>
      <c r="MPN49" s="493"/>
      <c r="MPO49" s="493"/>
      <c r="MPP49" s="493"/>
      <c r="MPQ49" s="493"/>
      <c r="MPR49" s="493"/>
      <c r="MPS49" s="493"/>
      <c r="MPT49" s="493"/>
      <c r="MPU49" s="493"/>
      <c r="MPV49" s="493"/>
      <c r="MPW49" s="493"/>
      <c r="MPX49" s="493"/>
      <c r="MPY49" s="493"/>
      <c r="MPZ49" s="493"/>
      <c r="MQA49" s="493"/>
      <c r="MQB49" s="493"/>
      <c r="MQC49" s="493"/>
      <c r="MQD49" s="493"/>
      <c r="MQE49" s="493"/>
      <c r="MQF49" s="493"/>
      <c r="MQG49" s="493"/>
      <c r="MQH49" s="493"/>
      <c r="MQI49" s="493"/>
      <c r="MQJ49" s="493"/>
      <c r="MQK49" s="493"/>
      <c r="MQL49" s="493"/>
      <c r="MQM49" s="493"/>
      <c r="MQN49" s="493"/>
      <c r="MQO49" s="493"/>
      <c r="MQP49" s="493"/>
      <c r="MQQ49" s="493"/>
      <c r="MQR49" s="493"/>
      <c r="MQS49" s="493"/>
      <c r="MQT49" s="493"/>
      <c r="MQU49" s="493"/>
      <c r="MQV49" s="493"/>
      <c r="MQW49" s="493"/>
      <c r="MQX49" s="493"/>
      <c r="MQY49" s="493"/>
      <c r="MQZ49" s="493"/>
      <c r="MRA49" s="493"/>
      <c r="MRB49" s="493"/>
      <c r="MRC49" s="493"/>
      <c r="MRD49" s="493"/>
      <c r="MRE49" s="493"/>
      <c r="MRF49" s="493"/>
      <c r="MRG49" s="493"/>
      <c r="MRH49" s="493"/>
      <c r="MRI49" s="493"/>
      <c r="MRJ49" s="493"/>
      <c r="MRK49" s="493"/>
      <c r="MRL49" s="493"/>
      <c r="MRM49" s="493"/>
      <c r="MRN49" s="493"/>
      <c r="MRO49" s="493"/>
      <c r="MRP49" s="493"/>
      <c r="MRQ49" s="493"/>
      <c r="MRR49" s="493"/>
      <c r="MRS49" s="493"/>
      <c r="MRT49" s="493"/>
      <c r="MRU49" s="493"/>
      <c r="MRV49" s="493"/>
      <c r="MRW49" s="493"/>
      <c r="MRX49" s="493"/>
      <c r="MRY49" s="493"/>
      <c r="MRZ49" s="493"/>
      <c r="MSA49" s="493"/>
      <c r="MSB49" s="493"/>
      <c r="MSC49" s="493"/>
      <c r="MSD49" s="493"/>
      <c r="MSE49" s="493"/>
      <c r="MSF49" s="493"/>
      <c r="MSG49" s="493"/>
      <c r="MSH49" s="493"/>
      <c r="MSI49" s="493"/>
      <c r="MSJ49" s="493"/>
      <c r="MSK49" s="493"/>
      <c r="MSL49" s="493"/>
      <c r="MSM49" s="493"/>
      <c r="MSN49" s="493"/>
      <c r="MSO49" s="493"/>
      <c r="MSP49" s="493"/>
      <c r="MSQ49" s="493"/>
      <c r="MSR49" s="493"/>
      <c r="MSS49" s="493"/>
      <c r="MST49" s="493"/>
      <c r="MSU49" s="493"/>
      <c r="MSV49" s="493"/>
      <c r="MSW49" s="493"/>
      <c r="MSX49" s="493"/>
      <c r="MSY49" s="493"/>
      <c r="MSZ49" s="493"/>
      <c r="MTA49" s="493"/>
      <c r="MTB49" s="493"/>
      <c r="MTC49" s="493"/>
      <c r="MTD49" s="493"/>
      <c r="MTE49" s="493"/>
      <c r="MTF49" s="493"/>
      <c r="MTG49" s="493"/>
      <c r="MTH49" s="493"/>
      <c r="MTI49" s="493"/>
      <c r="MTJ49" s="493"/>
      <c r="MTK49" s="493"/>
      <c r="MTL49" s="493"/>
      <c r="MTM49" s="493"/>
      <c r="MTN49" s="493"/>
      <c r="MTO49" s="493"/>
      <c r="MTP49" s="493"/>
      <c r="MTQ49" s="493"/>
      <c r="MTR49" s="493"/>
      <c r="MTS49" s="493"/>
      <c r="MTT49" s="493"/>
      <c r="MTU49" s="493"/>
      <c r="MTV49" s="493"/>
      <c r="MTW49" s="493"/>
      <c r="MTX49" s="493"/>
      <c r="MTY49" s="493"/>
      <c r="MTZ49" s="493"/>
      <c r="MUA49" s="493"/>
      <c r="MUB49" s="493"/>
      <c r="MUC49" s="493"/>
      <c r="MUD49" s="493"/>
      <c r="MUE49" s="493"/>
      <c r="MUF49" s="493"/>
      <c r="MUG49" s="493"/>
      <c r="MUH49" s="493"/>
      <c r="MUI49" s="493"/>
      <c r="MUJ49" s="493"/>
      <c r="MUK49" s="493"/>
      <c r="MUL49" s="493"/>
      <c r="MUM49" s="493"/>
      <c r="MUN49" s="493"/>
      <c r="MUO49" s="493"/>
      <c r="MUP49" s="493"/>
      <c r="MUQ49" s="493"/>
      <c r="MUR49" s="493"/>
      <c r="MUS49" s="493"/>
      <c r="MUT49" s="493"/>
      <c r="MUU49" s="493"/>
      <c r="MUV49" s="493"/>
      <c r="MUW49" s="493"/>
      <c r="MUX49" s="493"/>
      <c r="MUY49" s="493"/>
      <c r="MUZ49" s="493"/>
      <c r="MVA49" s="493"/>
      <c r="MVB49" s="493"/>
      <c r="MVC49" s="493"/>
      <c r="MVD49" s="493"/>
      <c r="MVE49" s="493"/>
      <c r="MVF49" s="493"/>
      <c r="MVG49" s="493"/>
      <c r="MVH49" s="493"/>
      <c r="MVI49" s="493"/>
      <c r="MVJ49" s="493"/>
      <c r="MVK49" s="493"/>
      <c r="MVL49" s="493"/>
      <c r="MVM49" s="493"/>
      <c r="MVN49" s="493"/>
      <c r="MVO49" s="493"/>
      <c r="MVP49" s="493"/>
      <c r="MVQ49" s="493"/>
      <c r="MVR49" s="493"/>
      <c r="MVS49" s="493"/>
      <c r="MVT49" s="493"/>
      <c r="MVU49" s="493"/>
      <c r="MVV49" s="493"/>
      <c r="MVW49" s="493"/>
      <c r="MVX49" s="493"/>
      <c r="MVY49" s="493"/>
      <c r="MVZ49" s="493"/>
      <c r="MWA49" s="493"/>
      <c r="MWB49" s="493"/>
      <c r="MWC49" s="493"/>
      <c r="MWD49" s="493"/>
      <c r="MWE49" s="493"/>
      <c r="MWF49" s="493"/>
      <c r="MWG49" s="493"/>
      <c r="MWH49" s="493"/>
      <c r="MWI49" s="493"/>
      <c r="MWJ49" s="493"/>
      <c r="MWK49" s="493"/>
      <c r="MWL49" s="493"/>
      <c r="MWM49" s="493"/>
      <c r="MWN49" s="493"/>
      <c r="MWO49" s="493"/>
      <c r="MWP49" s="493"/>
      <c r="MWQ49" s="493"/>
      <c r="MWR49" s="493"/>
      <c r="MWS49" s="493"/>
      <c r="MWT49" s="493"/>
      <c r="MWU49" s="493"/>
      <c r="MWV49" s="493"/>
      <c r="MWW49" s="493"/>
      <c r="MWX49" s="493"/>
      <c r="MWY49" s="493"/>
      <c r="MWZ49" s="493"/>
      <c r="MXA49" s="493"/>
      <c r="MXB49" s="493"/>
      <c r="MXC49" s="493"/>
      <c r="MXD49" s="493"/>
      <c r="MXE49" s="493"/>
      <c r="MXF49" s="493"/>
      <c r="MXG49" s="493"/>
      <c r="MXH49" s="493"/>
      <c r="MXI49" s="493"/>
      <c r="MXJ49" s="493"/>
      <c r="MXK49" s="493"/>
      <c r="MXL49" s="493"/>
      <c r="MXM49" s="493"/>
      <c r="MXN49" s="493"/>
      <c r="MXO49" s="493"/>
      <c r="MXP49" s="493"/>
      <c r="MXQ49" s="493"/>
      <c r="MXR49" s="493"/>
      <c r="MXS49" s="493"/>
      <c r="MXT49" s="493"/>
      <c r="MXU49" s="493"/>
      <c r="MXV49" s="493"/>
      <c r="MXW49" s="493"/>
      <c r="MXX49" s="493"/>
      <c r="MXY49" s="493"/>
      <c r="MXZ49" s="493"/>
      <c r="MYA49" s="493"/>
      <c r="MYB49" s="493"/>
      <c r="MYC49" s="493"/>
      <c r="MYD49" s="493"/>
      <c r="MYE49" s="493"/>
      <c r="MYF49" s="493"/>
      <c r="MYG49" s="493"/>
      <c r="MYH49" s="493"/>
      <c r="MYI49" s="493"/>
      <c r="MYJ49" s="493"/>
      <c r="MYK49" s="493"/>
      <c r="MYL49" s="493"/>
      <c r="MYM49" s="493"/>
      <c r="MYN49" s="493"/>
      <c r="MYO49" s="493"/>
      <c r="MYP49" s="493"/>
      <c r="MYQ49" s="493"/>
      <c r="MYR49" s="493"/>
      <c r="MYS49" s="493"/>
      <c r="MYT49" s="493"/>
      <c r="MYU49" s="493"/>
      <c r="MYV49" s="493"/>
      <c r="MYW49" s="493"/>
      <c r="MYX49" s="493"/>
      <c r="MYY49" s="493"/>
      <c r="MYZ49" s="493"/>
      <c r="MZA49" s="493"/>
      <c r="MZB49" s="493"/>
      <c r="MZC49" s="493"/>
      <c r="MZD49" s="493"/>
      <c r="MZE49" s="493"/>
      <c r="MZF49" s="493"/>
      <c r="MZG49" s="493"/>
      <c r="MZH49" s="493"/>
      <c r="MZI49" s="493"/>
      <c r="MZJ49" s="493"/>
      <c r="MZK49" s="493"/>
      <c r="MZL49" s="493"/>
      <c r="MZM49" s="493"/>
      <c r="MZN49" s="493"/>
      <c r="MZO49" s="493"/>
      <c r="MZP49" s="493"/>
      <c r="MZQ49" s="493"/>
      <c r="MZR49" s="493"/>
      <c r="MZS49" s="493"/>
      <c r="MZT49" s="493"/>
      <c r="MZU49" s="493"/>
      <c r="MZV49" s="493"/>
      <c r="MZW49" s="493"/>
      <c r="MZX49" s="493"/>
      <c r="MZY49" s="493"/>
      <c r="MZZ49" s="493"/>
      <c r="NAA49" s="493"/>
      <c r="NAB49" s="493"/>
      <c r="NAC49" s="493"/>
      <c r="NAD49" s="493"/>
      <c r="NAE49" s="493"/>
      <c r="NAF49" s="493"/>
      <c r="NAG49" s="493"/>
      <c r="NAH49" s="493"/>
      <c r="NAI49" s="493"/>
      <c r="NAJ49" s="493"/>
      <c r="NAK49" s="493"/>
      <c r="NAL49" s="493"/>
      <c r="NAM49" s="493"/>
      <c r="NAN49" s="493"/>
      <c r="NAO49" s="493"/>
      <c r="NAP49" s="493"/>
      <c r="NAQ49" s="493"/>
      <c r="NAR49" s="493"/>
      <c r="NAS49" s="493"/>
      <c r="NAT49" s="493"/>
      <c r="NAU49" s="493"/>
      <c r="NAV49" s="493"/>
      <c r="NAW49" s="493"/>
      <c r="NAX49" s="493"/>
      <c r="NAY49" s="493"/>
      <c r="NAZ49" s="493"/>
      <c r="NBA49" s="493"/>
      <c r="NBB49" s="493"/>
      <c r="NBC49" s="493"/>
      <c r="NBD49" s="493"/>
      <c r="NBE49" s="493"/>
      <c r="NBF49" s="493"/>
      <c r="NBG49" s="493"/>
      <c r="NBH49" s="493"/>
      <c r="NBI49" s="493"/>
      <c r="NBJ49" s="493"/>
      <c r="NBK49" s="493"/>
      <c r="NBL49" s="493"/>
      <c r="NBM49" s="493"/>
      <c r="NBN49" s="493"/>
      <c r="NBO49" s="493"/>
      <c r="NBP49" s="493"/>
      <c r="NBQ49" s="493"/>
      <c r="NBR49" s="493"/>
      <c r="NBS49" s="493"/>
      <c r="NBT49" s="493"/>
      <c r="NBU49" s="493"/>
      <c r="NBV49" s="493"/>
      <c r="NBW49" s="493"/>
      <c r="NBX49" s="493"/>
      <c r="NBY49" s="493"/>
      <c r="NBZ49" s="493"/>
      <c r="NCA49" s="493"/>
      <c r="NCB49" s="493"/>
      <c r="NCC49" s="493"/>
      <c r="NCD49" s="493"/>
      <c r="NCE49" s="493"/>
      <c r="NCF49" s="493"/>
      <c r="NCG49" s="493"/>
      <c r="NCH49" s="493"/>
      <c r="NCI49" s="493"/>
      <c r="NCJ49" s="493"/>
      <c r="NCK49" s="493"/>
      <c r="NCL49" s="493"/>
      <c r="NCM49" s="493"/>
      <c r="NCN49" s="493"/>
      <c r="NCO49" s="493"/>
      <c r="NCP49" s="493"/>
      <c r="NCQ49" s="493"/>
      <c r="NCR49" s="493"/>
      <c r="NCS49" s="493"/>
      <c r="NCT49" s="493"/>
      <c r="NCU49" s="493"/>
      <c r="NCV49" s="493"/>
      <c r="NCW49" s="493"/>
      <c r="NCX49" s="493"/>
      <c r="NCY49" s="493"/>
      <c r="NCZ49" s="493"/>
      <c r="NDA49" s="493"/>
      <c r="NDB49" s="493"/>
      <c r="NDC49" s="493"/>
      <c r="NDD49" s="493"/>
      <c r="NDE49" s="493"/>
      <c r="NDF49" s="493"/>
      <c r="NDG49" s="493"/>
      <c r="NDH49" s="493"/>
      <c r="NDI49" s="493"/>
      <c r="NDJ49" s="493"/>
      <c r="NDK49" s="493"/>
      <c r="NDL49" s="493"/>
      <c r="NDM49" s="493"/>
      <c r="NDN49" s="493"/>
      <c r="NDO49" s="493"/>
      <c r="NDP49" s="493"/>
      <c r="NDQ49" s="493"/>
      <c r="NDR49" s="493"/>
      <c r="NDS49" s="493"/>
      <c r="NDT49" s="493"/>
      <c r="NDU49" s="493"/>
      <c r="NDV49" s="493"/>
      <c r="NDW49" s="493"/>
      <c r="NDX49" s="493"/>
      <c r="NDY49" s="493"/>
      <c r="NDZ49" s="493"/>
      <c r="NEA49" s="493"/>
      <c r="NEB49" s="493"/>
      <c r="NEC49" s="493"/>
      <c r="NED49" s="493"/>
      <c r="NEE49" s="493"/>
      <c r="NEF49" s="493"/>
      <c r="NEG49" s="493"/>
      <c r="NEH49" s="493"/>
      <c r="NEI49" s="493"/>
      <c r="NEJ49" s="493"/>
      <c r="NEK49" s="493"/>
      <c r="NEL49" s="493"/>
      <c r="NEM49" s="493"/>
      <c r="NEN49" s="493"/>
      <c r="NEO49" s="493"/>
      <c r="NEP49" s="493"/>
      <c r="NEQ49" s="493"/>
      <c r="NER49" s="493"/>
      <c r="NES49" s="493"/>
      <c r="NET49" s="493"/>
      <c r="NEU49" s="493"/>
      <c r="NEV49" s="493"/>
      <c r="NEW49" s="493"/>
      <c r="NEX49" s="493"/>
      <c r="NEY49" s="493"/>
      <c r="NEZ49" s="493"/>
      <c r="NFA49" s="493"/>
      <c r="NFB49" s="493"/>
      <c r="NFC49" s="493"/>
      <c r="NFD49" s="493"/>
      <c r="NFE49" s="493"/>
      <c r="NFF49" s="493"/>
      <c r="NFG49" s="493"/>
      <c r="NFH49" s="493"/>
      <c r="NFI49" s="493"/>
      <c r="NFJ49" s="493"/>
      <c r="NFK49" s="493"/>
      <c r="NFL49" s="493"/>
      <c r="NFM49" s="493"/>
      <c r="NFN49" s="493"/>
      <c r="NFO49" s="493"/>
      <c r="NFP49" s="493"/>
      <c r="NFQ49" s="493"/>
      <c r="NFR49" s="493"/>
      <c r="NFS49" s="493"/>
      <c r="NFT49" s="493"/>
      <c r="NFU49" s="493"/>
      <c r="NFV49" s="493"/>
      <c r="NFW49" s="493"/>
      <c r="NFX49" s="493"/>
      <c r="NFY49" s="493"/>
      <c r="NFZ49" s="493"/>
      <c r="NGA49" s="493"/>
      <c r="NGB49" s="493"/>
      <c r="NGC49" s="493"/>
      <c r="NGD49" s="493"/>
      <c r="NGE49" s="493"/>
      <c r="NGF49" s="493"/>
      <c r="NGG49" s="493"/>
      <c r="NGH49" s="493"/>
      <c r="NGI49" s="493"/>
      <c r="NGJ49" s="493"/>
      <c r="NGK49" s="493"/>
      <c r="NGL49" s="493"/>
      <c r="NGM49" s="493"/>
      <c r="NGN49" s="493"/>
      <c r="NGO49" s="493"/>
      <c r="NGP49" s="493"/>
      <c r="NGQ49" s="493"/>
      <c r="NGR49" s="493"/>
      <c r="NGS49" s="493"/>
      <c r="NGT49" s="493"/>
      <c r="NGU49" s="493"/>
      <c r="NGV49" s="493"/>
      <c r="NGW49" s="493"/>
      <c r="NGX49" s="493"/>
      <c r="NGY49" s="493"/>
      <c r="NGZ49" s="493"/>
      <c r="NHA49" s="493"/>
      <c r="NHB49" s="493"/>
      <c r="NHC49" s="493"/>
      <c r="NHD49" s="493"/>
      <c r="NHE49" s="493"/>
      <c r="NHF49" s="493"/>
      <c r="NHG49" s="493"/>
      <c r="NHH49" s="493"/>
      <c r="NHI49" s="493"/>
      <c r="NHJ49" s="493"/>
      <c r="NHK49" s="493"/>
      <c r="NHL49" s="493"/>
      <c r="NHM49" s="493"/>
      <c r="NHN49" s="493"/>
      <c r="NHO49" s="493"/>
      <c r="NHP49" s="493"/>
      <c r="NHQ49" s="493"/>
      <c r="NHR49" s="493"/>
      <c r="NHS49" s="493"/>
      <c r="NHT49" s="493"/>
      <c r="NHU49" s="493"/>
      <c r="NHV49" s="493"/>
      <c r="NHW49" s="493"/>
      <c r="NHX49" s="493"/>
      <c r="NHY49" s="493"/>
      <c r="NHZ49" s="493"/>
      <c r="NIA49" s="493"/>
      <c r="NIB49" s="493"/>
      <c r="NIC49" s="493"/>
      <c r="NID49" s="493"/>
      <c r="NIE49" s="493"/>
      <c r="NIF49" s="493"/>
      <c r="NIG49" s="493"/>
      <c r="NIH49" s="493"/>
      <c r="NII49" s="493"/>
      <c r="NIJ49" s="493"/>
      <c r="NIK49" s="493"/>
      <c r="NIL49" s="493"/>
      <c r="NIM49" s="493"/>
      <c r="NIN49" s="493"/>
      <c r="NIO49" s="493"/>
      <c r="NIP49" s="493"/>
      <c r="NIQ49" s="493"/>
      <c r="NIR49" s="493"/>
      <c r="NIS49" s="493"/>
      <c r="NIT49" s="493"/>
      <c r="NIU49" s="493"/>
      <c r="NIV49" s="493"/>
      <c r="NIW49" s="493"/>
      <c r="NIX49" s="493"/>
      <c r="NIY49" s="493"/>
      <c r="NIZ49" s="493"/>
      <c r="NJA49" s="493"/>
      <c r="NJB49" s="493"/>
      <c r="NJC49" s="493"/>
      <c r="NJD49" s="493"/>
      <c r="NJE49" s="493"/>
      <c r="NJF49" s="493"/>
      <c r="NJG49" s="493"/>
      <c r="NJH49" s="493"/>
      <c r="NJI49" s="493"/>
      <c r="NJJ49" s="493"/>
      <c r="NJK49" s="493"/>
      <c r="NJL49" s="493"/>
      <c r="NJM49" s="493"/>
      <c r="NJN49" s="493"/>
      <c r="NJO49" s="493"/>
      <c r="NJP49" s="493"/>
      <c r="NJQ49" s="493"/>
      <c r="NJR49" s="493"/>
      <c r="NJS49" s="493"/>
      <c r="NJT49" s="493"/>
      <c r="NJU49" s="493"/>
      <c r="NJV49" s="493"/>
      <c r="NJW49" s="493"/>
      <c r="NJX49" s="493"/>
      <c r="NJY49" s="493"/>
      <c r="NJZ49" s="493"/>
      <c r="NKA49" s="493"/>
      <c r="NKB49" s="493"/>
      <c r="NKC49" s="493"/>
      <c r="NKD49" s="493"/>
      <c r="NKE49" s="493"/>
      <c r="NKF49" s="493"/>
      <c r="NKG49" s="493"/>
      <c r="NKH49" s="493"/>
      <c r="NKI49" s="493"/>
      <c r="NKJ49" s="493"/>
      <c r="NKK49" s="493"/>
      <c r="NKL49" s="493"/>
      <c r="NKM49" s="493"/>
      <c r="NKN49" s="493"/>
      <c r="NKO49" s="493"/>
      <c r="NKP49" s="493"/>
      <c r="NKQ49" s="493"/>
      <c r="NKR49" s="493"/>
      <c r="NKS49" s="493"/>
      <c r="NKT49" s="493"/>
      <c r="NKU49" s="493"/>
      <c r="NKV49" s="493"/>
      <c r="NKW49" s="493"/>
      <c r="NKX49" s="493"/>
      <c r="NKY49" s="493"/>
      <c r="NKZ49" s="493"/>
      <c r="NLA49" s="493"/>
      <c r="NLB49" s="493"/>
      <c r="NLC49" s="493"/>
      <c r="NLD49" s="493"/>
      <c r="NLE49" s="493"/>
      <c r="NLF49" s="493"/>
      <c r="NLG49" s="493"/>
      <c r="NLH49" s="493"/>
      <c r="NLI49" s="493"/>
      <c r="NLJ49" s="493"/>
      <c r="NLK49" s="493"/>
      <c r="NLL49" s="493"/>
      <c r="NLM49" s="493"/>
      <c r="NLN49" s="493"/>
      <c r="NLO49" s="493"/>
      <c r="NLP49" s="493"/>
      <c r="NLQ49" s="493"/>
      <c r="NLR49" s="493"/>
      <c r="NLS49" s="493"/>
      <c r="NLT49" s="493"/>
      <c r="NLU49" s="493"/>
      <c r="NLV49" s="493"/>
      <c r="NLW49" s="493"/>
      <c r="NLX49" s="493"/>
      <c r="NLY49" s="493"/>
      <c r="NLZ49" s="493"/>
      <c r="NMA49" s="493"/>
      <c r="NMB49" s="493"/>
      <c r="NMC49" s="493"/>
      <c r="NMD49" s="493"/>
      <c r="NME49" s="493"/>
      <c r="NMF49" s="493"/>
      <c r="NMG49" s="493"/>
      <c r="NMH49" s="493"/>
      <c r="NMI49" s="493"/>
      <c r="NMJ49" s="493"/>
      <c r="NMK49" s="493"/>
      <c r="NML49" s="493"/>
      <c r="NMM49" s="493"/>
      <c r="NMN49" s="493"/>
      <c r="NMO49" s="493"/>
      <c r="NMP49" s="493"/>
      <c r="NMQ49" s="493"/>
      <c r="NMR49" s="493"/>
      <c r="NMS49" s="493"/>
      <c r="NMT49" s="493"/>
      <c r="NMU49" s="493"/>
      <c r="NMV49" s="493"/>
      <c r="NMW49" s="493"/>
      <c r="NMX49" s="493"/>
      <c r="NMY49" s="493"/>
      <c r="NMZ49" s="493"/>
      <c r="NNA49" s="493"/>
      <c r="NNB49" s="493"/>
      <c r="NNC49" s="493"/>
      <c r="NND49" s="493"/>
      <c r="NNE49" s="493"/>
      <c r="NNF49" s="493"/>
      <c r="NNG49" s="493"/>
      <c r="NNH49" s="493"/>
      <c r="NNI49" s="493"/>
      <c r="NNJ49" s="493"/>
      <c r="NNK49" s="493"/>
      <c r="NNL49" s="493"/>
      <c r="NNM49" s="493"/>
      <c r="NNN49" s="493"/>
      <c r="NNO49" s="493"/>
      <c r="NNP49" s="493"/>
      <c r="NNQ49" s="493"/>
      <c r="NNR49" s="493"/>
      <c r="NNS49" s="493"/>
      <c r="NNT49" s="493"/>
      <c r="NNU49" s="493"/>
      <c r="NNV49" s="493"/>
      <c r="NNW49" s="493"/>
      <c r="NNX49" s="493"/>
      <c r="NNY49" s="493"/>
      <c r="NNZ49" s="493"/>
      <c r="NOA49" s="493"/>
      <c r="NOB49" s="493"/>
      <c r="NOC49" s="493"/>
      <c r="NOD49" s="493"/>
      <c r="NOE49" s="493"/>
      <c r="NOF49" s="493"/>
      <c r="NOG49" s="493"/>
      <c r="NOH49" s="493"/>
      <c r="NOI49" s="493"/>
      <c r="NOJ49" s="493"/>
      <c r="NOK49" s="493"/>
      <c r="NOL49" s="493"/>
      <c r="NOM49" s="493"/>
      <c r="NON49" s="493"/>
      <c r="NOO49" s="493"/>
      <c r="NOP49" s="493"/>
      <c r="NOQ49" s="493"/>
      <c r="NOR49" s="493"/>
      <c r="NOS49" s="493"/>
      <c r="NOT49" s="493"/>
      <c r="NOU49" s="493"/>
      <c r="NOV49" s="493"/>
      <c r="NOW49" s="493"/>
      <c r="NOX49" s="493"/>
      <c r="NOY49" s="493"/>
      <c r="NOZ49" s="493"/>
      <c r="NPA49" s="493"/>
      <c r="NPB49" s="493"/>
      <c r="NPC49" s="493"/>
      <c r="NPD49" s="493"/>
      <c r="NPE49" s="493"/>
      <c r="NPF49" s="493"/>
      <c r="NPG49" s="493"/>
      <c r="NPH49" s="493"/>
      <c r="NPI49" s="493"/>
      <c r="NPJ49" s="493"/>
      <c r="NPK49" s="493"/>
      <c r="NPL49" s="493"/>
      <c r="NPM49" s="493"/>
      <c r="NPN49" s="493"/>
      <c r="NPO49" s="493"/>
      <c r="NPP49" s="493"/>
      <c r="NPQ49" s="493"/>
      <c r="NPR49" s="493"/>
      <c r="NPS49" s="493"/>
      <c r="NPT49" s="493"/>
      <c r="NPU49" s="493"/>
      <c r="NPV49" s="493"/>
      <c r="NPW49" s="493"/>
      <c r="NPX49" s="493"/>
      <c r="NPY49" s="493"/>
      <c r="NPZ49" s="493"/>
      <c r="NQA49" s="493"/>
      <c r="NQB49" s="493"/>
      <c r="NQC49" s="493"/>
      <c r="NQD49" s="493"/>
      <c r="NQE49" s="493"/>
      <c r="NQF49" s="493"/>
      <c r="NQG49" s="493"/>
      <c r="NQH49" s="493"/>
      <c r="NQI49" s="493"/>
      <c r="NQJ49" s="493"/>
      <c r="NQK49" s="493"/>
      <c r="NQL49" s="493"/>
      <c r="NQM49" s="493"/>
      <c r="NQN49" s="493"/>
      <c r="NQO49" s="493"/>
      <c r="NQP49" s="493"/>
      <c r="NQQ49" s="493"/>
      <c r="NQR49" s="493"/>
      <c r="NQS49" s="493"/>
      <c r="NQT49" s="493"/>
      <c r="NQU49" s="493"/>
      <c r="NQV49" s="493"/>
      <c r="NQW49" s="493"/>
      <c r="NQX49" s="493"/>
      <c r="NQY49" s="493"/>
      <c r="NQZ49" s="493"/>
      <c r="NRA49" s="493"/>
      <c r="NRB49" s="493"/>
      <c r="NRC49" s="493"/>
      <c r="NRD49" s="493"/>
      <c r="NRE49" s="493"/>
      <c r="NRF49" s="493"/>
      <c r="NRG49" s="493"/>
      <c r="NRH49" s="493"/>
      <c r="NRI49" s="493"/>
      <c r="NRJ49" s="493"/>
      <c r="NRK49" s="493"/>
      <c r="NRL49" s="493"/>
      <c r="NRM49" s="493"/>
      <c r="NRN49" s="493"/>
      <c r="NRO49" s="493"/>
      <c r="NRP49" s="493"/>
      <c r="NRQ49" s="493"/>
      <c r="NRR49" s="493"/>
      <c r="NRS49" s="493"/>
      <c r="NRT49" s="493"/>
      <c r="NRU49" s="493"/>
      <c r="NRV49" s="493"/>
      <c r="NRW49" s="493"/>
      <c r="NRX49" s="493"/>
      <c r="NRY49" s="493"/>
      <c r="NRZ49" s="493"/>
      <c r="NSA49" s="493"/>
      <c r="NSB49" s="493"/>
      <c r="NSC49" s="493"/>
      <c r="NSD49" s="493"/>
      <c r="NSE49" s="493"/>
      <c r="NSF49" s="493"/>
      <c r="NSG49" s="493"/>
      <c r="NSH49" s="493"/>
      <c r="NSI49" s="493"/>
      <c r="NSJ49" s="493"/>
      <c r="NSK49" s="493"/>
      <c r="NSL49" s="493"/>
      <c r="NSM49" s="493"/>
      <c r="NSN49" s="493"/>
      <c r="NSO49" s="493"/>
      <c r="NSP49" s="493"/>
      <c r="NSQ49" s="493"/>
      <c r="NSR49" s="493"/>
      <c r="NSS49" s="493"/>
      <c r="NST49" s="493"/>
      <c r="NSU49" s="493"/>
      <c r="NSV49" s="493"/>
      <c r="NSW49" s="493"/>
      <c r="NSX49" s="493"/>
      <c r="NSY49" s="493"/>
      <c r="NSZ49" s="493"/>
      <c r="NTA49" s="493"/>
      <c r="NTB49" s="493"/>
      <c r="NTC49" s="493"/>
      <c r="NTD49" s="493"/>
      <c r="NTE49" s="493"/>
      <c r="NTF49" s="493"/>
      <c r="NTG49" s="493"/>
      <c r="NTH49" s="493"/>
      <c r="NTI49" s="493"/>
      <c r="NTJ49" s="493"/>
      <c r="NTK49" s="493"/>
      <c r="NTL49" s="493"/>
      <c r="NTM49" s="493"/>
      <c r="NTN49" s="493"/>
      <c r="NTO49" s="493"/>
      <c r="NTP49" s="493"/>
      <c r="NTQ49" s="493"/>
      <c r="NTR49" s="493"/>
      <c r="NTS49" s="493"/>
      <c r="NTT49" s="493"/>
      <c r="NTU49" s="493"/>
      <c r="NTV49" s="493"/>
      <c r="NTW49" s="493"/>
      <c r="NTX49" s="493"/>
      <c r="NTY49" s="493"/>
      <c r="NTZ49" s="493"/>
      <c r="NUA49" s="493"/>
      <c r="NUB49" s="493"/>
      <c r="NUC49" s="493"/>
      <c r="NUD49" s="493"/>
      <c r="NUE49" s="493"/>
      <c r="NUF49" s="493"/>
      <c r="NUG49" s="493"/>
      <c r="NUH49" s="493"/>
      <c r="NUI49" s="493"/>
      <c r="NUJ49" s="493"/>
      <c r="NUK49" s="493"/>
      <c r="NUL49" s="493"/>
      <c r="NUM49" s="493"/>
      <c r="NUN49" s="493"/>
      <c r="NUO49" s="493"/>
      <c r="NUP49" s="493"/>
      <c r="NUQ49" s="493"/>
      <c r="NUR49" s="493"/>
      <c r="NUS49" s="493"/>
      <c r="NUT49" s="493"/>
      <c r="NUU49" s="493"/>
      <c r="NUV49" s="493"/>
      <c r="NUW49" s="493"/>
      <c r="NUX49" s="493"/>
      <c r="NUY49" s="493"/>
      <c r="NUZ49" s="493"/>
      <c r="NVA49" s="493"/>
      <c r="NVB49" s="493"/>
      <c r="NVC49" s="493"/>
      <c r="NVD49" s="493"/>
      <c r="NVE49" s="493"/>
      <c r="NVF49" s="493"/>
      <c r="NVG49" s="493"/>
      <c r="NVH49" s="493"/>
      <c r="NVI49" s="493"/>
      <c r="NVJ49" s="493"/>
      <c r="NVK49" s="493"/>
      <c r="NVL49" s="493"/>
      <c r="NVM49" s="493"/>
      <c r="NVN49" s="493"/>
      <c r="NVO49" s="493"/>
      <c r="NVP49" s="493"/>
      <c r="NVQ49" s="493"/>
      <c r="NVR49" s="493"/>
      <c r="NVS49" s="493"/>
      <c r="NVT49" s="493"/>
      <c r="NVU49" s="493"/>
      <c r="NVV49" s="493"/>
      <c r="NVW49" s="493"/>
      <c r="NVX49" s="493"/>
      <c r="NVY49" s="493"/>
      <c r="NVZ49" s="493"/>
      <c r="NWA49" s="493"/>
      <c r="NWB49" s="493"/>
      <c r="NWC49" s="493"/>
      <c r="NWD49" s="493"/>
      <c r="NWE49" s="493"/>
      <c r="NWF49" s="493"/>
      <c r="NWG49" s="493"/>
      <c r="NWH49" s="493"/>
      <c r="NWI49" s="493"/>
      <c r="NWJ49" s="493"/>
      <c r="NWK49" s="493"/>
      <c r="NWL49" s="493"/>
      <c r="NWM49" s="493"/>
      <c r="NWN49" s="493"/>
      <c r="NWO49" s="493"/>
      <c r="NWP49" s="493"/>
      <c r="NWQ49" s="493"/>
      <c r="NWR49" s="493"/>
      <c r="NWS49" s="493"/>
      <c r="NWT49" s="493"/>
      <c r="NWU49" s="493"/>
      <c r="NWV49" s="493"/>
      <c r="NWW49" s="493"/>
      <c r="NWX49" s="493"/>
      <c r="NWY49" s="493"/>
      <c r="NWZ49" s="493"/>
      <c r="NXA49" s="493"/>
      <c r="NXB49" s="493"/>
      <c r="NXC49" s="493"/>
      <c r="NXD49" s="493"/>
      <c r="NXE49" s="493"/>
      <c r="NXF49" s="493"/>
      <c r="NXG49" s="493"/>
      <c r="NXH49" s="493"/>
      <c r="NXI49" s="493"/>
      <c r="NXJ49" s="493"/>
      <c r="NXK49" s="493"/>
      <c r="NXL49" s="493"/>
      <c r="NXM49" s="493"/>
      <c r="NXN49" s="493"/>
      <c r="NXO49" s="493"/>
      <c r="NXP49" s="493"/>
      <c r="NXQ49" s="493"/>
      <c r="NXR49" s="493"/>
      <c r="NXS49" s="493"/>
      <c r="NXT49" s="493"/>
      <c r="NXU49" s="493"/>
      <c r="NXV49" s="493"/>
      <c r="NXW49" s="493"/>
      <c r="NXX49" s="493"/>
      <c r="NXY49" s="493"/>
      <c r="NXZ49" s="493"/>
      <c r="NYA49" s="493"/>
      <c r="NYB49" s="493"/>
      <c r="NYC49" s="493"/>
      <c r="NYD49" s="493"/>
      <c r="NYE49" s="493"/>
      <c r="NYF49" s="493"/>
      <c r="NYG49" s="493"/>
      <c r="NYH49" s="493"/>
      <c r="NYI49" s="493"/>
      <c r="NYJ49" s="493"/>
      <c r="NYK49" s="493"/>
      <c r="NYL49" s="493"/>
      <c r="NYM49" s="493"/>
      <c r="NYN49" s="493"/>
      <c r="NYO49" s="493"/>
      <c r="NYP49" s="493"/>
      <c r="NYQ49" s="493"/>
      <c r="NYR49" s="493"/>
      <c r="NYS49" s="493"/>
      <c r="NYT49" s="493"/>
      <c r="NYU49" s="493"/>
      <c r="NYV49" s="493"/>
      <c r="NYW49" s="493"/>
      <c r="NYX49" s="493"/>
      <c r="NYY49" s="493"/>
      <c r="NYZ49" s="493"/>
      <c r="NZA49" s="493"/>
      <c r="NZB49" s="493"/>
      <c r="NZC49" s="493"/>
      <c r="NZD49" s="493"/>
      <c r="NZE49" s="493"/>
      <c r="NZF49" s="493"/>
      <c r="NZG49" s="493"/>
      <c r="NZH49" s="493"/>
      <c r="NZI49" s="493"/>
      <c r="NZJ49" s="493"/>
      <c r="NZK49" s="493"/>
      <c r="NZL49" s="493"/>
      <c r="NZM49" s="493"/>
      <c r="NZN49" s="493"/>
      <c r="NZO49" s="493"/>
      <c r="NZP49" s="493"/>
      <c r="NZQ49" s="493"/>
      <c r="NZR49" s="493"/>
      <c r="NZS49" s="493"/>
      <c r="NZT49" s="493"/>
      <c r="NZU49" s="493"/>
      <c r="NZV49" s="493"/>
      <c r="NZW49" s="493"/>
      <c r="NZX49" s="493"/>
      <c r="NZY49" s="493"/>
      <c r="NZZ49" s="493"/>
      <c r="OAA49" s="493"/>
      <c r="OAB49" s="493"/>
      <c r="OAC49" s="493"/>
      <c r="OAD49" s="493"/>
      <c r="OAE49" s="493"/>
      <c r="OAF49" s="493"/>
      <c r="OAG49" s="493"/>
      <c r="OAH49" s="493"/>
      <c r="OAI49" s="493"/>
      <c r="OAJ49" s="493"/>
      <c r="OAK49" s="493"/>
      <c r="OAL49" s="493"/>
      <c r="OAM49" s="493"/>
      <c r="OAN49" s="493"/>
      <c r="OAO49" s="493"/>
      <c r="OAP49" s="493"/>
      <c r="OAQ49" s="493"/>
      <c r="OAR49" s="493"/>
      <c r="OAS49" s="493"/>
      <c r="OAT49" s="493"/>
      <c r="OAU49" s="493"/>
      <c r="OAV49" s="493"/>
      <c r="OAW49" s="493"/>
      <c r="OAX49" s="493"/>
      <c r="OAY49" s="493"/>
      <c r="OAZ49" s="493"/>
      <c r="OBA49" s="493"/>
      <c r="OBB49" s="493"/>
      <c r="OBC49" s="493"/>
      <c r="OBD49" s="493"/>
      <c r="OBE49" s="493"/>
      <c r="OBF49" s="493"/>
      <c r="OBG49" s="493"/>
      <c r="OBH49" s="493"/>
      <c r="OBI49" s="493"/>
      <c r="OBJ49" s="493"/>
      <c r="OBK49" s="493"/>
      <c r="OBL49" s="493"/>
      <c r="OBM49" s="493"/>
      <c r="OBN49" s="493"/>
      <c r="OBO49" s="493"/>
      <c r="OBP49" s="493"/>
      <c r="OBQ49" s="493"/>
      <c r="OBR49" s="493"/>
      <c r="OBS49" s="493"/>
      <c r="OBT49" s="493"/>
      <c r="OBU49" s="493"/>
      <c r="OBV49" s="493"/>
      <c r="OBW49" s="493"/>
      <c r="OBX49" s="493"/>
      <c r="OBY49" s="493"/>
      <c r="OBZ49" s="493"/>
      <c r="OCA49" s="493"/>
      <c r="OCB49" s="493"/>
      <c r="OCC49" s="493"/>
      <c r="OCD49" s="493"/>
      <c r="OCE49" s="493"/>
      <c r="OCF49" s="493"/>
      <c r="OCG49" s="493"/>
      <c r="OCH49" s="493"/>
      <c r="OCI49" s="493"/>
      <c r="OCJ49" s="493"/>
      <c r="OCK49" s="493"/>
      <c r="OCL49" s="493"/>
      <c r="OCM49" s="493"/>
      <c r="OCN49" s="493"/>
      <c r="OCO49" s="493"/>
      <c r="OCP49" s="493"/>
      <c r="OCQ49" s="493"/>
      <c r="OCR49" s="493"/>
      <c r="OCS49" s="493"/>
      <c r="OCT49" s="493"/>
      <c r="OCU49" s="493"/>
      <c r="OCV49" s="493"/>
      <c r="OCW49" s="493"/>
      <c r="OCX49" s="493"/>
      <c r="OCY49" s="493"/>
      <c r="OCZ49" s="493"/>
      <c r="ODA49" s="493"/>
      <c r="ODB49" s="493"/>
      <c r="ODC49" s="493"/>
      <c r="ODD49" s="493"/>
      <c r="ODE49" s="493"/>
      <c r="ODF49" s="493"/>
      <c r="ODG49" s="493"/>
      <c r="ODH49" s="493"/>
      <c r="ODI49" s="493"/>
      <c r="ODJ49" s="493"/>
      <c r="ODK49" s="493"/>
      <c r="ODL49" s="493"/>
      <c r="ODM49" s="493"/>
      <c r="ODN49" s="493"/>
      <c r="ODO49" s="493"/>
      <c r="ODP49" s="493"/>
      <c r="ODQ49" s="493"/>
      <c r="ODR49" s="493"/>
      <c r="ODS49" s="493"/>
      <c r="ODT49" s="493"/>
      <c r="ODU49" s="493"/>
      <c r="ODV49" s="493"/>
      <c r="ODW49" s="493"/>
      <c r="ODX49" s="493"/>
      <c r="ODY49" s="493"/>
      <c r="ODZ49" s="493"/>
      <c r="OEA49" s="493"/>
      <c r="OEB49" s="493"/>
      <c r="OEC49" s="493"/>
      <c r="OED49" s="493"/>
      <c r="OEE49" s="493"/>
      <c r="OEF49" s="493"/>
      <c r="OEG49" s="493"/>
      <c r="OEH49" s="493"/>
      <c r="OEI49" s="493"/>
      <c r="OEJ49" s="493"/>
      <c r="OEK49" s="493"/>
      <c r="OEL49" s="493"/>
      <c r="OEM49" s="493"/>
      <c r="OEN49" s="493"/>
      <c r="OEO49" s="493"/>
      <c r="OEP49" s="493"/>
      <c r="OEQ49" s="493"/>
      <c r="OER49" s="493"/>
      <c r="OES49" s="493"/>
      <c r="OET49" s="493"/>
      <c r="OEU49" s="493"/>
      <c r="OEV49" s="493"/>
      <c r="OEW49" s="493"/>
      <c r="OEX49" s="493"/>
      <c r="OEY49" s="493"/>
      <c r="OEZ49" s="493"/>
      <c r="OFA49" s="493"/>
      <c r="OFB49" s="493"/>
      <c r="OFC49" s="493"/>
      <c r="OFD49" s="493"/>
      <c r="OFE49" s="493"/>
      <c r="OFF49" s="493"/>
      <c r="OFG49" s="493"/>
      <c r="OFH49" s="493"/>
      <c r="OFI49" s="493"/>
      <c r="OFJ49" s="493"/>
      <c r="OFK49" s="493"/>
      <c r="OFL49" s="493"/>
      <c r="OFM49" s="493"/>
      <c r="OFN49" s="493"/>
      <c r="OFO49" s="493"/>
      <c r="OFP49" s="493"/>
      <c r="OFQ49" s="493"/>
      <c r="OFR49" s="493"/>
      <c r="OFS49" s="493"/>
      <c r="OFT49" s="493"/>
      <c r="OFU49" s="493"/>
      <c r="OFV49" s="493"/>
      <c r="OFW49" s="493"/>
      <c r="OFX49" s="493"/>
      <c r="OFY49" s="493"/>
      <c r="OFZ49" s="493"/>
      <c r="OGA49" s="493"/>
      <c r="OGB49" s="493"/>
      <c r="OGC49" s="493"/>
      <c r="OGD49" s="493"/>
      <c r="OGE49" s="493"/>
      <c r="OGF49" s="493"/>
      <c r="OGG49" s="493"/>
      <c r="OGH49" s="493"/>
      <c r="OGI49" s="493"/>
      <c r="OGJ49" s="493"/>
      <c r="OGK49" s="493"/>
      <c r="OGL49" s="493"/>
      <c r="OGM49" s="493"/>
      <c r="OGN49" s="493"/>
      <c r="OGO49" s="493"/>
      <c r="OGP49" s="493"/>
      <c r="OGQ49" s="493"/>
      <c r="OGR49" s="493"/>
      <c r="OGS49" s="493"/>
      <c r="OGT49" s="493"/>
      <c r="OGU49" s="493"/>
      <c r="OGV49" s="493"/>
      <c r="OGW49" s="493"/>
      <c r="OGX49" s="493"/>
      <c r="OGY49" s="493"/>
      <c r="OGZ49" s="493"/>
      <c r="OHA49" s="493"/>
      <c r="OHB49" s="493"/>
      <c r="OHC49" s="493"/>
      <c r="OHD49" s="493"/>
      <c r="OHE49" s="493"/>
      <c r="OHF49" s="493"/>
      <c r="OHG49" s="493"/>
      <c r="OHH49" s="493"/>
      <c r="OHI49" s="493"/>
      <c r="OHJ49" s="493"/>
      <c r="OHK49" s="493"/>
      <c r="OHL49" s="493"/>
      <c r="OHM49" s="493"/>
      <c r="OHN49" s="493"/>
      <c r="OHO49" s="493"/>
      <c r="OHP49" s="493"/>
      <c r="OHQ49" s="493"/>
      <c r="OHR49" s="493"/>
      <c r="OHS49" s="493"/>
      <c r="OHT49" s="493"/>
      <c r="OHU49" s="493"/>
      <c r="OHV49" s="493"/>
      <c r="OHW49" s="493"/>
      <c r="OHX49" s="493"/>
      <c r="OHY49" s="493"/>
      <c r="OHZ49" s="493"/>
      <c r="OIA49" s="493"/>
      <c r="OIB49" s="493"/>
      <c r="OIC49" s="493"/>
      <c r="OID49" s="493"/>
      <c r="OIE49" s="493"/>
      <c r="OIF49" s="493"/>
      <c r="OIG49" s="493"/>
      <c r="OIH49" s="493"/>
      <c r="OII49" s="493"/>
      <c r="OIJ49" s="493"/>
      <c r="OIK49" s="493"/>
      <c r="OIL49" s="493"/>
      <c r="OIM49" s="493"/>
      <c r="OIN49" s="493"/>
      <c r="OIO49" s="493"/>
      <c r="OIP49" s="493"/>
      <c r="OIQ49" s="493"/>
      <c r="OIR49" s="493"/>
      <c r="OIS49" s="493"/>
      <c r="OIT49" s="493"/>
      <c r="OIU49" s="493"/>
      <c r="OIV49" s="493"/>
      <c r="OIW49" s="493"/>
      <c r="OIX49" s="493"/>
      <c r="OIY49" s="493"/>
      <c r="OIZ49" s="493"/>
      <c r="OJA49" s="493"/>
      <c r="OJB49" s="493"/>
      <c r="OJC49" s="493"/>
      <c r="OJD49" s="493"/>
      <c r="OJE49" s="493"/>
      <c r="OJF49" s="493"/>
      <c r="OJG49" s="493"/>
      <c r="OJH49" s="493"/>
      <c r="OJI49" s="493"/>
      <c r="OJJ49" s="493"/>
      <c r="OJK49" s="493"/>
      <c r="OJL49" s="493"/>
      <c r="OJM49" s="493"/>
      <c r="OJN49" s="493"/>
      <c r="OJO49" s="493"/>
      <c r="OJP49" s="493"/>
      <c r="OJQ49" s="493"/>
      <c r="OJR49" s="493"/>
      <c r="OJS49" s="493"/>
      <c r="OJT49" s="493"/>
      <c r="OJU49" s="493"/>
      <c r="OJV49" s="493"/>
      <c r="OJW49" s="493"/>
      <c r="OJX49" s="493"/>
      <c r="OJY49" s="493"/>
      <c r="OJZ49" s="493"/>
      <c r="OKA49" s="493"/>
      <c r="OKB49" s="493"/>
      <c r="OKC49" s="493"/>
      <c r="OKD49" s="493"/>
      <c r="OKE49" s="493"/>
      <c r="OKF49" s="493"/>
      <c r="OKG49" s="493"/>
      <c r="OKH49" s="493"/>
      <c r="OKI49" s="493"/>
      <c r="OKJ49" s="493"/>
      <c r="OKK49" s="493"/>
      <c r="OKL49" s="493"/>
      <c r="OKM49" s="493"/>
      <c r="OKN49" s="493"/>
      <c r="OKO49" s="493"/>
      <c r="OKP49" s="493"/>
      <c r="OKQ49" s="493"/>
      <c r="OKR49" s="493"/>
      <c r="OKS49" s="493"/>
      <c r="OKT49" s="493"/>
      <c r="OKU49" s="493"/>
      <c r="OKV49" s="493"/>
      <c r="OKW49" s="493"/>
      <c r="OKX49" s="493"/>
      <c r="OKY49" s="493"/>
      <c r="OKZ49" s="493"/>
      <c r="OLA49" s="493"/>
      <c r="OLB49" s="493"/>
      <c r="OLC49" s="493"/>
      <c r="OLD49" s="493"/>
      <c r="OLE49" s="493"/>
      <c r="OLF49" s="493"/>
      <c r="OLG49" s="493"/>
      <c r="OLH49" s="493"/>
      <c r="OLI49" s="493"/>
      <c r="OLJ49" s="493"/>
      <c r="OLK49" s="493"/>
      <c r="OLL49" s="493"/>
      <c r="OLM49" s="493"/>
      <c r="OLN49" s="493"/>
      <c r="OLO49" s="493"/>
      <c r="OLP49" s="493"/>
      <c r="OLQ49" s="493"/>
      <c r="OLR49" s="493"/>
      <c r="OLS49" s="493"/>
      <c r="OLT49" s="493"/>
      <c r="OLU49" s="493"/>
      <c r="OLV49" s="493"/>
      <c r="OLW49" s="493"/>
      <c r="OLX49" s="493"/>
      <c r="OLY49" s="493"/>
      <c r="OLZ49" s="493"/>
      <c r="OMA49" s="493"/>
      <c r="OMB49" s="493"/>
      <c r="OMC49" s="493"/>
      <c r="OMD49" s="493"/>
      <c r="OME49" s="493"/>
      <c r="OMF49" s="493"/>
      <c r="OMG49" s="493"/>
      <c r="OMH49" s="493"/>
      <c r="OMI49" s="493"/>
      <c r="OMJ49" s="493"/>
      <c r="OMK49" s="493"/>
      <c r="OML49" s="493"/>
      <c r="OMM49" s="493"/>
      <c r="OMN49" s="493"/>
      <c r="OMO49" s="493"/>
      <c r="OMP49" s="493"/>
      <c r="OMQ49" s="493"/>
      <c r="OMR49" s="493"/>
      <c r="OMS49" s="493"/>
      <c r="OMT49" s="493"/>
      <c r="OMU49" s="493"/>
      <c r="OMV49" s="493"/>
      <c r="OMW49" s="493"/>
      <c r="OMX49" s="493"/>
      <c r="OMY49" s="493"/>
      <c r="OMZ49" s="493"/>
      <c r="ONA49" s="493"/>
      <c r="ONB49" s="493"/>
      <c r="ONC49" s="493"/>
      <c r="OND49" s="493"/>
      <c r="ONE49" s="493"/>
      <c r="ONF49" s="493"/>
      <c r="ONG49" s="493"/>
      <c r="ONH49" s="493"/>
      <c r="ONI49" s="493"/>
      <c r="ONJ49" s="493"/>
      <c r="ONK49" s="493"/>
      <c r="ONL49" s="493"/>
      <c r="ONM49" s="493"/>
      <c r="ONN49" s="493"/>
      <c r="ONO49" s="493"/>
      <c r="ONP49" s="493"/>
      <c r="ONQ49" s="493"/>
      <c r="ONR49" s="493"/>
      <c r="ONS49" s="493"/>
      <c r="ONT49" s="493"/>
      <c r="ONU49" s="493"/>
      <c r="ONV49" s="493"/>
      <c r="ONW49" s="493"/>
      <c r="ONX49" s="493"/>
      <c r="ONY49" s="493"/>
      <c r="ONZ49" s="493"/>
      <c r="OOA49" s="493"/>
      <c r="OOB49" s="493"/>
      <c r="OOC49" s="493"/>
      <c r="OOD49" s="493"/>
      <c r="OOE49" s="493"/>
      <c r="OOF49" s="493"/>
      <c r="OOG49" s="493"/>
      <c r="OOH49" s="493"/>
      <c r="OOI49" s="493"/>
      <c r="OOJ49" s="493"/>
      <c r="OOK49" s="493"/>
      <c r="OOL49" s="493"/>
      <c r="OOM49" s="493"/>
      <c r="OON49" s="493"/>
      <c r="OOO49" s="493"/>
      <c r="OOP49" s="493"/>
      <c r="OOQ49" s="493"/>
      <c r="OOR49" s="493"/>
      <c r="OOS49" s="493"/>
      <c r="OOT49" s="493"/>
      <c r="OOU49" s="493"/>
      <c r="OOV49" s="493"/>
      <c r="OOW49" s="493"/>
      <c r="OOX49" s="493"/>
      <c r="OOY49" s="493"/>
      <c r="OOZ49" s="493"/>
      <c r="OPA49" s="493"/>
      <c r="OPB49" s="493"/>
      <c r="OPC49" s="493"/>
      <c r="OPD49" s="493"/>
      <c r="OPE49" s="493"/>
      <c r="OPF49" s="493"/>
      <c r="OPG49" s="493"/>
      <c r="OPH49" s="493"/>
      <c r="OPI49" s="493"/>
      <c r="OPJ49" s="493"/>
      <c r="OPK49" s="493"/>
      <c r="OPL49" s="493"/>
      <c r="OPM49" s="493"/>
      <c r="OPN49" s="493"/>
      <c r="OPO49" s="493"/>
      <c r="OPP49" s="493"/>
      <c r="OPQ49" s="493"/>
      <c r="OPR49" s="493"/>
      <c r="OPS49" s="493"/>
      <c r="OPT49" s="493"/>
      <c r="OPU49" s="493"/>
      <c r="OPV49" s="493"/>
      <c r="OPW49" s="493"/>
      <c r="OPX49" s="493"/>
      <c r="OPY49" s="493"/>
      <c r="OPZ49" s="493"/>
      <c r="OQA49" s="493"/>
      <c r="OQB49" s="493"/>
      <c r="OQC49" s="493"/>
      <c r="OQD49" s="493"/>
      <c r="OQE49" s="493"/>
      <c r="OQF49" s="493"/>
      <c r="OQG49" s="493"/>
      <c r="OQH49" s="493"/>
      <c r="OQI49" s="493"/>
      <c r="OQJ49" s="493"/>
      <c r="OQK49" s="493"/>
      <c r="OQL49" s="493"/>
      <c r="OQM49" s="493"/>
      <c r="OQN49" s="493"/>
      <c r="OQO49" s="493"/>
      <c r="OQP49" s="493"/>
      <c r="OQQ49" s="493"/>
      <c r="OQR49" s="493"/>
      <c r="OQS49" s="493"/>
      <c r="OQT49" s="493"/>
      <c r="OQU49" s="493"/>
      <c r="OQV49" s="493"/>
      <c r="OQW49" s="493"/>
      <c r="OQX49" s="493"/>
      <c r="OQY49" s="493"/>
      <c r="OQZ49" s="493"/>
      <c r="ORA49" s="493"/>
      <c r="ORB49" s="493"/>
      <c r="ORC49" s="493"/>
      <c r="ORD49" s="493"/>
      <c r="ORE49" s="493"/>
      <c r="ORF49" s="493"/>
      <c r="ORG49" s="493"/>
      <c r="ORH49" s="493"/>
      <c r="ORI49" s="493"/>
      <c r="ORJ49" s="493"/>
      <c r="ORK49" s="493"/>
      <c r="ORL49" s="493"/>
      <c r="ORM49" s="493"/>
      <c r="ORN49" s="493"/>
      <c r="ORO49" s="493"/>
      <c r="ORP49" s="493"/>
      <c r="ORQ49" s="493"/>
      <c r="ORR49" s="493"/>
      <c r="ORS49" s="493"/>
      <c r="ORT49" s="493"/>
      <c r="ORU49" s="493"/>
      <c r="ORV49" s="493"/>
      <c r="ORW49" s="493"/>
      <c r="ORX49" s="493"/>
      <c r="ORY49" s="493"/>
      <c r="ORZ49" s="493"/>
      <c r="OSA49" s="493"/>
      <c r="OSB49" s="493"/>
      <c r="OSC49" s="493"/>
      <c r="OSD49" s="493"/>
      <c r="OSE49" s="493"/>
      <c r="OSF49" s="493"/>
      <c r="OSG49" s="493"/>
      <c r="OSH49" s="493"/>
      <c r="OSI49" s="493"/>
      <c r="OSJ49" s="493"/>
      <c r="OSK49" s="493"/>
      <c r="OSL49" s="493"/>
      <c r="OSM49" s="493"/>
      <c r="OSN49" s="493"/>
      <c r="OSO49" s="493"/>
      <c r="OSP49" s="493"/>
      <c r="OSQ49" s="493"/>
      <c r="OSR49" s="493"/>
      <c r="OSS49" s="493"/>
      <c r="OST49" s="493"/>
      <c r="OSU49" s="493"/>
      <c r="OSV49" s="493"/>
      <c r="OSW49" s="493"/>
      <c r="OSX49" s="493"/>
      <c r="OSY49" s="493"/>
      <c r="OSZ49" s="493"/>
      <c r="OTA49" s="493"/>
      <c r="OTB49" s="493"/>
      <c r="OTC49" s="493"/>
      <c r="OTD49" s="493"/>
      <c r="OTE49" s="493"/>
      <c r="OTF49" s="493"/>
      <c r="OTG49" s="493"/>
      <c r="OTH49" s="493"/>
      <c r="OTI49" s="493"/>
      <c r="OTJ49" s="493"/>
      <c r="OTK49" s="493"/>
      <c r="OTL49" s="493"/>
      <c r="OTM49" s="493"/>
      <c r="OTN49" s="493"/>
      <c r="OTO49" s="493"/>
      <c r="OTP49" s="493"/>
      <c r="OTQ49" s="493"/>
      <c r="OTR49" s="493"/>
      <c r="OTS49" s="493"/>
      <c r="OTT49" s="493"/>
      <c r="OTU49" s="493"/>
      <c r="OTV49" s="493"/>
      <c r="OTW49" s="493"/>
      <c r="OTX49" s="493"/>
      <c r="OTY49" s="493"/>
      <c r="OTZ49" s="493"/>
      <c r="OUA49" s="493"/>
      <c r="OUB49" s="493"/>
      <c r="OUC49" s="493"/>
      <c r="OUD49" s="493"/>
      <c r="OUE49" s="493"/>
      <c r="OUF49" s="493"/>
      <c r="OUG49" s="493"/>
      <c r="OUH49" s="493"/>
      <c r="OUI49" s="493"/>
      <c r="OUJ49" s="493"/>
      <c r="OUK49" s="493"/>
      <c r="OUL49" s="493"/>
      <c r="OUM49" s="493"/>
      <c r="OUN49" s="493"/>
      <c r="OUO49" s="493"/>
      <c r="OUP49" s="493"/>
      <c r="OUQ49" s="493"/>
      <c r="OUR49" s="493"/>
      <c r="OUS49" s="493"/>
      <c r="OUT49" s="493"/>
      <c r="OUU49" s="493"/>
      <c r="OUV49" s="493"/>
      <c r="OUW49" s="493"/>
      <c r="OUX49" s="493"/>
      <c r="OUY49" s="493"/>
      <c r="OUZ49" s="493"/>
      <c r="OVA49" s="493"/>
      <c r="OVB49" s="493"/>
      <c r="OVC49" s="493"/>
      <c r="OVD49" s="493"/>
      <c r="OVE49" s="493"/>
      <c r="OVF49" s="493"/>
      <c r="OVG49" s="493"/>
      <c r="OVH49" s="493"/>
      <c r="OVI49" s="493"/>
      <c r="OVJ49" s="493"/>
      <c r="OVK49" s="493"/>
      <c r="OVL49" s="493"/>
      <c r="OVM49" s="493"/>
      <c r="OVN49" s="493"/>
      <c r="OVO49" s="493"/>
      <c r="OVP49" s="493"/>
      <c r="OVQ49" s="493"/>
      <c r="OVR49" s="493"/>
      <c r="OVS49" s="493"/>
      <c r="OVT49" s="493"/>
      <c r="OVU49" s="493"/>
      <c r="OVV49" s="493"/>
      <c r="OVW49" s="493"/>
      <c r="OVX49" s="493"/>
      <c r="OVY49" s="493"/>
      <c r="OVZ49" s="493"/>
      <c r="OWA49" s="493"/>
      <c r="OWB49" s="493"/>
      <c r="OWC49" s="493"/>
      <c r="OWD49" s="493"/>
      <c r="OWE49" s="493"/>
      <c r="OWF49" s="493"/>
      <c r="OWG49" s="493"/>
      <c r="OWH49" s="493"/>
      <c r="OWI49" s="493"/>
      <c r="OWJ49" s="493"/>
      <c r="OWK49" s="493"/>
      <c r="OWL49" s="493"/>
      <c r="OWM49" s="493"/>
      <c r="OWN49" s="493"/>
      <c r="OWO49" s="493"/>
      <c r="OWP49" s="493"/>
      <c r="OWQ49" s="493"/>
      <c r="OWR49" s="493"/>
      <c r="OWS49" s="493"/>
      <c r="OWT49" s="493"/>
      <c r="OWU49" s="493"/>
      <c r="OWV49" s="493"/>
      <c r="OWW49" s="493"/>
      <c r="OWX49" s="493"/>
      <c r="OWY49" s="493"/>
      <c r="OWZ49" s="493"/>
      <c r="OXA49" s="493"/>
      <c r="OXB49" s="493"/>
      <c r="OXC49" s="493"/>
      <c r="OXD49" s="493"/>
      <c r="OXE49" s="493"/>
      <c r="OXF49" s="493"/>
      <c r="OXG49" s="493"/>
      <c r="OXH49" s="493"/>
      <c r="OXI49" s="493"/>
      <c r="OXJ49" s="493"/>
      <c r="OXK49" s="493"/>
      <c r="OXL49" s="493"/>
      <c r="OXM49" s="493"/>
      <c r="OXN49" s="493"/>
      <c r="OXO49" s="493"/>
      <c r="OXP49" s="493"/>
      <c r="OXQ49" s="493"/>
      <c r="OXR49" s="493"/>
      <c r="OXS49" s="493"/>
      <c r="OXT49" s="493"/>
      <c r="OXU49" s="493"/>
      <c r="OXV49" s="493"/>
      <c r="OXW49" s="493"/>
      <c r="OXX49" s="493"/>
      <c r="OXY49" s="493"/>
      <c r="OXZ49" s="493"/>
      <c r="OYA49" s="493"/>
      <c r="OYB49" s="493"/>
      <c r="OYC49" s="493"/>
      <c r="OYD49" s="493"/>
      <c r="OYE49" s="493"/>
      <c r="OYF49" s="493"/>
      <c r="OYG49" s="493"/>
      <c r="OYH49" s="493"/>
      <c r="OYI49" s="493"/>
      <c r="OYJ49" s="493"/>
      <c r="OYK49" s="493"/>
      <c r="OYL49" s="493"/>
      <c r="OYM49" s="493"/>
      <c r="OYN49" s="493"/>
      <c r="OYO49" s="493"/>
      <c r="OYP49" s="493"/>
      <c r="OYQ49" s="493"/>
      <c r="OYR49" s="493"/>
      <c r="OYS49" s="493"/>
      <c r="OYT49" s="493"/>
      <c r="OYU49" s="493"/>
      <c r="OYV49" s="493"/>
      <c r="OYW49" s="493"/>
      <c r="OYX49" s="493"/>
      <c r="OYY49" s="493"/>
      <c r="OYZ49" s="493"/>
      <c r="OZA49" s="493"/>
      <c r="OZB49" s="493"/>
      <c r="OZC49" s="493"/>
      <c r="OZD49" s="493"/>
      <c r="OZE49" s="493"/>
      <c r="OZF49" s="493"/>
      <c r="OZG49" s="493"/>
      <c r="OZH49" s="493"/>
      <c r="OZI49" s="493"/>
      <c r="OZJ49" s="493"/>
      <c r="OZK49" s="493"/>
      <c r="OZL49" s="493"/>
      <c r="OZM49" s="493"/>
      <c r="OZN49" s="493"/>
      <c r="OZO49" s="493"/>
      <c r="OZP49" s="493"/>
      <c r="OZQ49" s="493"/>
      <c r="OZR49" s="493"/>
      <c r="OZS49" s="493"/>
      <c r="OZT49" s="493"/>
      <c r="OZU49" s="493"/>
      <c r="OZV49" s="493"/>
      <c r="OZW49" s="493"/>
      <c r="OZX49" s="493"/>
      <c r="OZY49" s="493"/>
      <c r="OZZ49" s="493"/>
      <c r="PAA49" s="493"/>
      <c r="PAB49" s="493"/>
      <c r="PAC49" s="493"/>
      <c r="PAD49" s="493"/>
      <c r="PAE49" s="493"/>
      <c r="PAF49" s="493"/>
      <c r="PAG49" s="493"/>
      <c r="PAH49" s="493"/>
      <c r="PAI49" s="493"/>
      <c r="PAJ49" s="493"/>
      <c r="PAK49" s="493"/>
      <c r="PAL49" s="493"/>
      <c r="PAM49" s="493"/>
      <c r="PAN49" s="493"/>
      <c r="PAO49" s="493"/>
      <c r="PAP49" s="493"/>
      <c r="PAQ49" s="493"/>
      <c r="PAR49" s="493"/>
      <c r="PAS49" s="493"/>
      <c r="PAT49" s="493"/>
      <c r="PAU49" s="493"/>
      <c r="PAV49" s="493"/>
      <c r="PAW49" s="493"/>
      <c r="PAX49" s="493"/>
      <c r="PAY49" s="493"/>
      <c r="PAZ49" s="493"/>
      <c r="PBA49" s="493"/>
      <c r="PBB49" s="493"/>
      <c r="PBC49" s="493"/>
      <c r="PBD49" s="493"/>
      <c r="PBE49" s="493"/>
      <c r="PBF49" s="493"/>
      <c r="PBG49" s="493"/>
      <c r="PBH49" s="493"/>
      <c r="PBI49" s="493"/>
      <c r="PBJ49" s="493"/>
      <c r="PBK49" s="493"/>
      <c r="PBL49" s="493"/>
      <c r="PBM49" s="493"/>
      <c r="PBN49" s="493"/>
      <c r="PBO49" s="493"/>
      <c r="PBP49" s="493"/>
      <c r="PBQ49" s="493"/>
      <c r="PBR49" s="493"/>
      <c r="PBS49" s="493"/>
      <c r="PBT49" s="493"/>
      <c r="PBU49" s="493"/>
      <c r="PBV49" s="493"/>
      <c r="PBW49" s="493"/>
      <c r="PBX49" s="493"/>
      <c r="PBY49" s="493"/>
      <c r="PBZ49" s="493"/>
      <c r="PCA49" s="493"/>
      <c r="PCB49" s="493"/>
      <c r="PCC49" s="493"/>
      <c r="PCD49" s="493"/>
      <c r="PCE49" s="493"/>
      <c r="PCF49" s="493"/>
      <c r="PCG49" s="493"/>
      <c r="PCH49" s="493"/>
      <c r="PCI49" s="493"/>
      <c r="PCJ49" s="493"/>
      <c r="PCK49" s="493"/>
      <c r="PCL49" s="493"/>
      <c r="PCM49" s="493"/>
      <c r="PCN49" s="493"/>
      <c r="PCO49" s="493"/>
      <c r="PCP49" s="493"/>
      <c r="PCQ49" s="493"/>
      <c r="PCR49" s="493"/>
      <c r="PCS49" s="493"/>
      <c r="PCT49" s="493"/>
      <c r="PCU49" s="493"/>
      <c r="PCV49" s="493"/>
      <c r="PCW49" s="493"/>
      <c r="PCX49" s="493"/>
      <c r="PCY49" s="493"/>
      <c r="PCZ49" s="493"/>
      <c r="PDA49" s="493"/>
      <c r="PDB49" s="493"/>
      <c r="PDC49" s="493"/>
      <c r="PDD49" s="493"/>
      <c r="PDE49" s="493"/>
      <c r="PDF49" s="493"/>
      <c r="PDG49" s="493"/>
      <c r="PDH49" s="493"/>
      <c r="PDI49" s="493"/>
      <c r="PDJ49" s="493"/>
      <c r="PDK49" s="493"/>
      <c r="PDL49" s="493"/>
      <c r="PDM49" s="493"/>
      <c r="PDN49" s="493"/>
      <c r="PDO49" s="493"/>
      <c r="PDP49" s="493"/>
      <c r="PDQ49" s="493"/>
      <c r="PDR49" s="493"/>
      <c r="PDS49" s="493"/>
      <c r="PDT49" s="493"/>
      <c r="PDU49" s="493"/>
      <c r="PDV49" s="493"/>
      <c r="PDW49" s="493"/>
      <c r="PDX49" s="493"/>
      <c r="PDY49" s="493"/>
      <c r="PDZ49" s="493"/>
      <c r="PEA49" s="493"/>
      <c r="PEB49" s="493"/>
      <c r="PEC49" s="493"/>
      <c r="PED49" s="493"/>
      <c r="PEE49" s="493"/>
      <c r="PEF49" s="493"/>
      <c r="PEG49" s="493"/>
      <c r="PEH49" s="493"/>
      <c r="PEI49" s="493"/>
      <c r="PEJ49" s="493"/>
      <c r="PEK49" s="493"/>
      <c r="PEL49" s="493"/>
      <c r="PEM49" s="493"/>
      <c r="PEN49" s="493"/>
      <c r="PEO49" s="493"/>
      <c r="PEP49" s="493"/>
      <c r="PEQ49" s="493"/>
      <c r="PER49" s="493"/>
      <c r="PES49" s="493"/>
      <c r="PET49" s="493"/>
      <c r="PEU49" s="493"/>
      <c r="PEV49" s="493"/>
      <c r="PEW49" s="493"/>
      <c r="PEX49" s="493"/>
      <c r="PEY49" s="493"/>
      <c r="PEZ49" s="493"/>
      <c r="PFA49" s="493"/>
      <c r="PFB49" s="493"/>
      <c r="PFC49" s="493"/>
      <c r="PFD49" s="493"/>
      <c r="PFE49" s="493"/>
      <c r="PFF49" s="493"/>
      <c r="PFG49" s="493"/>
      <c r="PFH49" s="493"/>
      <c r="PFI49" s="493"/>
      <c r="PFJ49" s="493"/>
      <c r="PFK49" s="493"/>
      <c r="PFL49" s="493"/>
      <c r="PFM49" s="493"/>
      <c r="PFN49" s="493"/>
      <c r="PFO49" s="493"/>
      <c r="PFP49" s="493"/>
      <c r="PFQ49" s="493"/>
      <c r="PFR49" s="493"/>
      <c r="PFS49" s="493"/>
      <c r="PFT49" s="493"/>
      <c r="PFU49" s="493"/>
      <c r="PFV49" s="493"/>
      <c r="PFW49" s="493"/>
      <c r="PFX49" s="493"/>
      <c r="PFY49" s="493"/>
      <c r="PFZ49" s="493"/>
      <c r="PGA49" s="493"/>
      <c r="PGB49" s="493"/>
      <c r="PGC49" s="493"/>
      <c r="PGD49" s="493"/>
      <c r="PGE49" s="493"/>
      <c r="PGF49" s="493"/>
      <c r="PGG49" s="493"/>
      <c r="PGH49" s="493"/>
      <c r="PGI49" s="493"/>
      <c r="PGJ49" s="493"/>
      <c r="PGK49" s="493"/>
      <c r="PGL49" s="493"/>
      <c r="PGM49" s="493"/>
      <c r="PGN49" s="493"/>
      <c r="PGO49" s="493"/>
      <c r="PGP49" s="493"/>
      <c r="PGQ49" s="493"/>
      <c r="PGR49" s="493"/>
      <c r="PGS49" s="493"/>
      <c r="PGT49" s="493"/>
      <c r="PGU49" s="493"/>
      <c r="PGV49" s="493"/>
      <c r="PGW49" s="493"/>
      <c r="PGX49" s="493"/>
      <c r="PGY49" s="493"/>
      <c r="PGZ49" s="493"/>
      <c r="PHA49" s="493"/>
      <c r="PHB49" s="493"/>
      <c r="PHC49" s="493"/>
      <c r="PHD49" s="493"/>
      <c r="PHE49" s="493"/>
      <c r="PHF49" s="493"/>
      <c r="PHG49" s="493"/>
      <c r="PHH49" s="493"/>
      <c r="PHI49" s="493"/>
      <c r="PHJ49" s="493"/>
      <c r="PHK49" s="493"/>
      <c r="PHL49" s="493"/>
      <c r="PHM49" s="493"/>
      <c r="PHN49" s="493"/>
      <c r="PHO49" s="493"/>
      <c r="PHP49" s="493"/>
      <c r="PHQ49" s="493"/>
      <c r="PHR49" s="493"/>
      <c r="PHS49" s="493"/>
      <c r="PHT49" s="493"/>
      <c r="PHU49" s="493"/>
      <c r="PHV49" s="493"/>
      <c r="PHW49" s="493"/>
      <c r="PHX49" s="493"/>
      <c r="PHY49" s="493"/>
      <c r="PHZ49" s="493"/>
      <c r="PIA49" s="493"/>
      <c r="PIB49" s="493"/>
      <c r="PIC49" s="493"/>
      <c r="PID49" s="493"/>
      <c r="PIE49" s="493"/>
      <c r="PIF49" s="493"/>
      <c r="PIG49" s="493"/>
      <c r="PIH49" s="493"/>
      <c r="PII49" s="493"/>
      <c r="PIJ49" s="493"/>
      <c r="PIK49" s="493"/>
      <c r="PIL49" s="493"/>
      <c r="PIM49" s="493"/>
      <c r="PIN49" s="493"/>
      <c r="PIO49" s="493"/>
      <c r="PIP49" s="493"/>
      <c r="PIQ49" s="493"/>
      <c r="PIR49" s="493"/>
      <c r="PIS49" s="493"/>
      <c r="PIT49" s="493"/>
      <c r="PIU49" s="493"/>
      <c r="PIV49" s="493"/>
      <c r="PIW49" s="493"/>
      <c r="PIX49" s="493"/>
      <c r="PIY49" s="493"/>
      <c r="PIZ49" s="493"/>
      <c r="PJA49" s="493"/>
      <c r="PJB49" s="493"/>
      <c r="PJC49" s="493"/>
      <c r="PJD49" s="493"/>
      <c r="PJE49" s="493"/>
      <c r="PJF49" s="493"/>
      <c r="PJG49" s="493"/>
      <c r="PJH49" s="493"/>
      <c r="PJI49" s="493"/>
      <c r="PJJ49" s="493"/>
      <c r="PJK49" s="493"/>
      <c r="PJL49" s="493"/>
      <c r="PJM49" s="493"/>
      <c r="PJN49" s="493"/>
      <c r="PJO49" s="493"/>
      <c r="PJP49" s="493"/>
      <c r="PJQ49" s="493"/>
      <c r="PJR49" s="493"/>
      <c r="PJS49" s="493"/>
      <c r="PJT49" s="493"/>
      <c r="PJU49" s="493"/>
      <c r="PJV49" s="493"/>
      <c r="PJW49" s="493"/>
      <c r="PJX49" s="493"/>
      <c r="PJY49" s="493"/>
      <c r="PJZ49" s="493"/>
      <c r="PKA49" s="493"/>
      <c r="PKB49" s="493"/>
      <c r="PKC49" s="493"/>
      <c r="PKD49" s="493"/>
      <c r="PKE49" s="493"/>
      <c r="PKF49" s="493"/>
      <c r="PKG49" s="493"/>
      <c r="PKH49" s="493"/>
      <c r="PKI49" s="493"/>
      <c r="PKJ49" s="493"/>
      <c r="PKK49" s="493"/>
      <c r="PKL49" s="493"/>
      <c r="PKM49" s="493"/>
      <c r="PKN49" s="493"/>
      <c r="PKO49" s="493"/>
      <c r="PKP49" s="493"/>
      <c r="PKQ49" s="493"/>
      <c r="PKR49" s="493"/>
      <c r="PKS49" s="493"/>
      <c r="PKT49" s="493"/>
      <c r="PKU49" s="493"/>
      <c r="PKV49" s="493"/>
      <c r="PKW49" s="493"/>
      <c r="PKX49" s="493"/>
      <c r="PKY49" s="493"/>
      <c r="PKZ49" s="493"/>
      <c r="PLA49" s="493"/>
      <c r="PLB49" s="493"/>
      <c r="PLC49" s="493"/>
      <c r="PLD49" s="493"/>
      <c r="PLE49" s="493"/>
      <c r="PLF49" s="493"/>
      <c r="PLG49" s="493"/>
      <c r="PLH49" s="493"/>
      <c r="PLI49" s="493"/>
      <c r="PLJ49" s="493"/>
      <c r="PLK49" s="493"/>
      <c r="PLL49" s="493"/>
      <c r="PLM49" s="493"/>
      <c r="PLN49" s="493"/>
      <c r="PLO49" s="493"/>
      <c r="PLP49" s="493"/>
      <c r="PLQ49" s="493"/>
      <c r="PLR49" s="493"/>
      <c r="PLS49" s="493"/>
      <c r="PLT49" s="493"/>
      <c r="PLU49" s="493"/>
      <c r="PLV49" s="493"/>
      <c r="PLW49" s="493"/>
      <c r="PLX49" s="493"/>
      <c r="PLY49" s="493"/>
      <c r="PLZ49" s="493"/>
      <c r="PMA49" s="493"/>
      <c r="PMB49" s="493"/>
      <c r="PMC49" s="493"/>
      <c r="PMD49" s="493"/>
      <c r="PME49" s="493"/>
      <c r="PMF49" s="493"/>
      <c r="PMG49" s="493"/>
      <c r="PMH49" s="493"/>
      <c r="PMI49" s="493"/>
      <c r="PMJ49" s="493"/>
      <c r="PMK49" s="493"/>
      <c r="PML49" s="493"/>
      <c r="PMM49" s="493"/>
      <c r="PMN49" s="493"/>
      <c r="PMO49" s="493"/>
      <c r="PMP49" s="493"/>
      <c r="PMQ49" s="493"/>
      <c r="PMR49" s="493"/>
      <c r="PMS49" s="493"/>
      <c r="PMT49" s="493"/>
      <c r="PMU49" s="493"/>
      <c r="PMV49" s="493"/>
      <c r="PMW49" s="493"/>
      <c r="PMX49" s="493"/>
      <c r="PMY49" s="493"/>
      <c r="PMZ49" s="493"/>
      <c r="PNA49" s="493"/>
      <c r="PNB49" s="493"/>
      <c r="PNC49" s="493"/>
      <c r="PND49" s="493"/>
      <c r="PNE49" s="493"/>
      <c r="PNF49" s="493"/>
      <c r="PNG49" s="493"/>
      <c r="PNH49" s="493"/>
      <c r="PNI49" s="493"/>
      <c r="PNJ49" s="493"/>
      <c r="PNK49" s="493"/>
      <c r="PNL49" s="493"/>
      <c r="PNM49" s="493"/>
      <c r="PNN49" s="493"/>
      <c r="PNO49" s="493"/>
      <c r="PNP49" s="493"/>
      <c r="PNQ49" s="493"/>
      <c r="PNR49" s="493"/>
      <c r="PNS49" s="493"/>
      <c r="PNT49" s="493"/>
      <c r="PNU49" s="493"/>
      <c r="PNV49" s="493"/>
      <c r="PNW49" s="493"/>
      <c r="PNX49" s="493"/>
      <c r="PNY49" s="493"/>
      <c r="PNZ49" s="493"/>
      <c r="POA49" s="493"/>
      <c r="POB49" s="493"/>
      <c r="POC49" s="493"/>
      <c r="POD49" s="493"/>
      <c r="POE49" s="493"/>
      <c r="POF49" s="493"/>
      <c r="POG49" s="493"/>
      <c r="POH49" s="493"/>
      <c r="POI49" s="493"/>
      <c r="POJ49" s="493"/>
      <c r="POK49" s="493"/>
      <c r="POL49" s="493"/>
      <c r="POM49" s="493"/>
      <c r="PON49" s="493"/>
      <c r="POO49" s="493"/>
      <c r="POP49" s="493"/>
      <c r="POQ49" s="493"/>
      <c r="POR49" s="493"/>
      <c r="POS49" s="493"/>
      <c r="POT49" s="493"/>
      <c r="POU49" s="493"/>
      <c r="POV49" s="493"/>
      <c r="POW49" s="493"/>
      <c r="POX49" s="493"/>
      <c r="POY49" s="493"/>
      <c r="POZ49" s="493"/>
      <c r="PPA49" s="493"/>
      <c r="PPB49" s="493"/>
      <c r="PPC49" s="493"/>
      <c r="PPD49" s="493"/>
      <c r="PPE49" s="493"/>
      <c r="PPF49" s="493"/>
      <c r="PPG49" s="493"/>
      <c r="PPH49" s="493"/>
      <c r="PPI49" s="493"/>
      <c r="PPJ49" s="493"/>
      <c r="PPK49" s="493"/>
      <c r="PPL49" s="493"/>
      <c r="PPM49" s="493"/>
      <c r="PPN49" s="493"/>
      <c r="PPO49" s="493"/>
      <c r="PPP49" s="493"/>
      <c r="PPQ49" s="493"/>
      <c r="PPR49" s="493"/>
      <c r="PPS49" s="493"/>
      <c r="PPT49" s="493"/>
      <c r="PPU49" s="493"/>
      <c r="PPV49" s="493"/>
      <c r="PPW49" s="493"/>
      <c r="PPX49" s="493"/>
      <c r="PPY49" s="493"/>
      <c r="PPZ49" s="493"/>
      <c r="PQA49" s="493"/>
      <c r="PQB49" s="493"/>
      <c r="PQC49" s="493"/>
      <c r="PQD49" s="493"/>
      <c r="PQE49" s="493"/>
      <c r="PQF49" s="493"/>
      <c r="PQG49" s="493"/>
      <c r="PQH49" s="493"/>
      <c r="PQI49" s="493"/>
      <c r="PQJ49" s="493"/>
      <c r="PQK49" s="493"/>
      <c r="PQL49" s="493"/>
      <c r="PQM49" s="493"/>
      <c r="PQN49" s="493"/>
      <c r="PQO49" s="493"/>
      <c r="PQP49" s="493"/>
      <c r="PQQ49" s="493"/>
      <c r="PQR49" s="493"/>
      <c r="PQS49" s="493"/>
      <c r="PQT49" s="493"/>
      <c r="PQU49" s="493"/>
      <c r="PQV49" s="493"/>
      <c r="PQW49" s="493"/>
      <c r="PQX49" s="493"/>
      <c r="PQY49" s="493"/>
      <c r="PQZ49" s="493"/>
      <c r="PRA49" s="493"/>
      <c r="PRB49" s="493"/>
      <c r="PRC49" s="493"/>
      <c r="PRD49" s="493"/>
      <c r="PRE49" s="493"/>
      <c r="PRF49" s="493"/>
      <c r="PRG49" s="493"/>
      <c r="PRH49" s="493"/>
      <c r="PRI49" s="493"/>
      <c r="PRJ49" s="493"/>
      <c r="PRK49" s="493"/>
      <c r="PRL49" s="493"/>
      <c r="PRM49" s="493"/>
      <c r="PRN49" s="493"/>
      <c r="PRO49" s="493"/>
      <c r="PRP49" s="493"/>
      <c r="PRQ49" s="493"/>
      <c r="PRR49" s="493"/>
      <c r="PRS49" s="493"/>
      <c r="PRT49" s="493"/>
      <c r="PRU49" s="493"/>
      <c r="PRV49" s="493"/>
      <c r="PRW49" s="493"/>
      <c r="PRX49" s="493"/>
      <c r="PRY49" s="493"/>
      <c r="PRZ49" s="493"/>
      <c r="PSA49" s="493"/>
      <c r="PSB49" s="493"/>
      <c r="PSC49" s="493"/>
      <c r="PSD49" s="493"/>
      <c r="PSE49" s="493"/>
      <c r="PSF49" s="493"/>
      <c r="PSG49" s="493"/>
      <c r="PSH49" s="493"/>
      <c r="PSI49" s="493"/>
      <c r="PSJ49" s="493"/>
      <c r="PSK49" s="493"/>
      <c r="PSL49" s="493"/>
      <c r="PSM49" s="493"/>
      <c r="PSN49" s="493"/>
      <c r="PSO49" s="493"/>
      <c r="PSP49" s="493"/>
      <c r="PSQ49" s="493"/>
      <c r="PSR49" s="493"/>
      <c r="PSS49" s="493"/>
      <c r="PST49" s="493"/>
      <c r="PSU49" s="493"/>
      <c r="PSV49" s="493"/>
      <c r="PSW49" s="493"/>
      <c r="PSX49" s="493"/>
      <c r="PSY49" s="493"/>
      <c r="PSZ49" s="493"/>
      <c r="PTA49" s="493"/>
      <c r="PTB49" s="493"/>
      <c r="PTC49" s="493"/>
      <c r="PTD49" s="493"/>
      <c r="PTE49" s="493"/>
      <c r="PTF49" s="493"/>
      <c r="PTG49" s="493"/>
      <c r="PTH49" s="493"/>
      <c r="PTI49" s="493"/>
      <c r="PTJ49" s="493"/>
      <c r="PTK49" s="493"/>
      <c r="PTL49" s="493"/>
      <c r="PTM49" s="493"/>
      <c r="PTN49" s="493"/>
      <c r="PTO49" s="493"/>
      <c r="PTP49" s="493"/>
      <c r="PTQ49" s="493"/>
      <c r="PTR49" s="493"/>
      <c r="PTS49" s="493"/>
      <c r="PTT49" s="493"/>
      <c r="PTU49" s="493"/>
      <c r="PTV49" s="493"/>
      <c r="PTW49" s="493"/>
      <c r="PTX49" s="493"/>
      <c r="PTY49" s="493"/>
      <c r="PTZ49" s="493"/>
      <c r="PUA49" s="493"/>
      <c r="PUB49" s="493"/>
      <c r="PUC49" s="493"/>
      <c r="PUD49" s="493"/>
      <c r="PUE49" s="493"/>
      <c r="PUF49" s="493"/>
      <c r="PUG49" s="493"/>
      <c r="PUH49" s="493"/>
      <c r="PUI49" s="493"/>
      <c r="PUJ49" s="493"/>
      <c r="PUK49" s="493"/>
      <c r="PUL49" s="493"/>
      <c r="PUM49" s="493"/>
      <c r="PUN49" s="493"/>
      <c r="PUO49" s="493"/>
      <c r="PUP49" s="493"/>
      <c r="PUQ49" s="493"/>
      <c r="PUR49" s="493"/>
      <c r="PUS49" s="493"/>
      <c r="PUT49" s="493"/>
      <c r="PUU49" s="493"/>
      <c r="PUV49" s="493"/>
      <c r="PUW49" s="493"/>
      <c r="PUX49" s="493"/>
      <c r="PUY49" s="493"/>
      <c r="PUZ49" s="493"/>
      <c r="PVA49" s="493"/>
      <c r="PVB49" s="493"/>
      <c r="PVC49" s="493"/>
      <c r="PVD49" s="493"/>
      <c r="PVE49" s="493"/>
      <c r="PVF49" s="493"/>
      <c r="PVG49" s="493"/>
      <c r="PVH49" s="493"/>
      <c r="PVI49" s="493"/>
      <c r="PVJ49" s="493"/>
      <c r="PVK49" s="493"/>
      <c r="PVL49" s="493"/>
      <c r="PVM49" s="493"/>
      <c r="PVN49" s="493"/>
      <c r="PVO49" s="493"/>
      <c r="PVP49" s="493"/>
      <c r="PVQ49" s="493"/>
      <c r="PVR49" s="493"/>
      <c r="PVS49" s="493"/>
      <c r="PVT49" s="493"/>
      <c r="PVU49" s="493"/>
      <c r="PVV49" s="493"/>
      <c r="PVW49" s="493"/>
      <c r="PVX49" s="493"/>
      <c r="PVY49" s="493"/>
      <c r="PVZ49" s="493"/>
      <c r="PWA49" s="493"/>
      <c r="PWB49" s="493"/>
      <c r="PWC49" s="493"/>
      <c r="PWD49" s="493"/>
      <c r="PWE49" s="493"/>
      <c r="PWF49" s="493"/>
      <c r="PWG49" s="493"/>
      <c r="PWH49" s="493"/>
      <c r="PWI49" s="493"/>
      <c r="PWJ49" s="493"/>
      <c r="PWK49" s="493"/>
      <c r="PWL49" s="493"/>
      <c r="PWM49" s="493"/>
      <c r="PWN49" s="493"/>
      <c r="PWO49" s="493"/>
      <c r="PWP49" s="493"/>
      <c r="PWQ49" s="493"/>
      <c r="PWR49" s="493"/>
      <c r="PWS49" s="493"/>
      <c r="PWT49" s="493"/>
      <c r="PWU49" s="493"/>
      <c r="PWV49" s="493"/>
      <c r="PWW49" s="493"/>
      <c r="PWX49" s="493"/>
      <c r="PWY49" s="493"/>
      <c r="PWZ49" s="493"/>
      <c r="PXA49" s="493"/>
      <c r="PXB49" s="493"/>
      <c r="PXC49" s="493"/>
      <c r="PXD49" s="493"/>
      <c r="PXE49" s="493"/>
      <c r="PXF49" s="493"/>
      <c r="PXG49" s="493"/>
      <c r="PXH49" s="493"/>
      <c r="PXI49" s="493"/>
      <c r="PXJ49" s="493"/>
      <c r="PXK49" s="493"/>
      <c r="PXL49" s="493"/>
      <c r="PXM49" s="493"/>
      <c r="PXN49" s="493"/>
      <c r="PXO49" s="493"/>
      <c r="PXP49" s="493"/>
      <c r="PXQ49" s="493"/>
      <c r="PXR49" s="493"/>
      <c r="PXS49" s="493"/>
      <c r="PXT49" s="493"/>
      <c r="PXU49" s="493"/>
      <c r="PXV49" s="493"/>
      <c r="PXW49" s="493"/>
      <c r="PXX49" s="493"/>
      <c r="PXY49" s="493"/>
      <c r="PXZ49" s="493"/>
      <c r="PYA49" s="493"/>
      <c r="PYB49" s="493"/>
      <c r="PYC49" s="493"/>
      <c r="PYD49" s="493"/>
      <c r="PYE49" s="493"/>
      <c r="PYF49" s="493"/>
      <c r="PYG49" s="493"/>
      <c r="PYH49" s="493"/>
      <c r="PYI49" s="493"/>
      <c r="PYJ49" s="493"/>
      <c r="PYK49" s="493"/>
      <c r="PYL49" s="493"/>
      <c r="PYM49" s="493"/>
      <c r="PYN49" s="493"/>
      <c r="PYO49" s="493"/>
      <c r="PYP49" s="493"/>
      <c r="PYQ49" s="493"/>
      <c r="PYR49" s="493"/>
      <c r="PYS49" s="493"/>
      <c r="PYT49" s="493"/>
      <c r="PYU49" s="493"/>
      <c r="PYV49" s="493"/>
      <c r="PYW49" s="493"/>
      <c r="PYX49" s="493"/>
      <c r="PYY49" s="493"/>
      <c r="PYZ49" s="493"/>
      <c r="PZA49" s="493"/>
      <c r="PZB49" s="493"/>
      <c r="PZC49" s="493"/>
      <c r="PZD49" s="493"/>
      <c r="PZE49" s="493"/>
      <c r="PZF49" s="493"/>
      <c r="PZG49" s="493"/>
      <c r="PZH49" s="493"/>
      <c r="PZI49" s="493"/>
      <c r="PZJ49" s="493"/>
      <c r="PZK49" s="493"/>
      <c r="PZL49" s="493"/>
      <c r="PZM49" s="493"/>
      <c r="PZN49" s="493"/>
      <c r="PZO49" s="493"/>
      <c r="PZP49" s="493"/>
      <c r="PZQ49" s="493"/>
      <c r="PZR49" s="493"/>
      <c r="PZS49" s="493"/>
      <c r="PZT49" s="493"/>
      <c r="PZU49" s="493"/>
      <c r="PZV49" s="493"/>
      <c r="PZW49" s="493"/>
      <c r="PZX49" s="493"/>
      <c r="PZY49" s="493"/>
      <c r="PZZ49" s="493"/>
      <c r="QAA49" s="493"/>
      <c r="QAB49" s="493"/>
      <c r="QAC49" s="493"/>
      <c r="QAD49" s="493"/>
      <c r="QAE49" s="493"/>
      <c r="QAF49" s="493"/>
      <c r="QAG49" s="493"/>
      <c r="QAH49" s="493"/>
      <c r="QAI49" s="493"/>
      <c r="QAJ49" s="493"/>
      <c r="QAK49" s="493"/>
      <c r="QAL49" s="493"/>
      <c r="QAM49" s="493"/>
      <c r="QAN49" s="493"/>
      <c r="QAO49" s="493"/>
      <c r="QAP49" s="493"/>
      <c r="QAQ49" s="493"/>
      <c r="QAR49" s="493"/>
      <c r="QAS49" s="493"/>
      <c r="QAT49" s="493"/>
      <c r="QAU49" s="493"/>
      <c r="QAV49" s="493"/>
      <c r="QAW49" s="493"/>
      <c r="QAX49" s="493"/>
      <c r="QAY49" s="493"/>
      <c r="QAZ49" s="493"/>
      <c r="QBA49" s="493"/>
      <c r="QBB49" s="493"/>
      <c r="QBC49" s="493"/>
      <c r="QBD49" s="493"/>
      <c r="QBE49" s="493"/>
      <c r="QBF49" s="493"/>
      <c r="QBG49" s="493"/>
      <c r="QBH49" s="493"/>
      <c r="QBI49" s="493"/>
      <c r="QBJ49" s="493"/>
      <c r="QBK49" s="493"/>
      <c r="QBL49" s="493"/>
      <c r="QBM49" s="493"/>
      <c r="QBN49" s="493"/>
      <c r="QBO49" s="493"/>
      <c r="QBP49" s="493"/>
      <c r="QBQ49" s="493"/>
      <c r="QBR49" s="493"/>
      <c r="QBS49" s="493"/>
      <c r="QBT49" s="493"/>
      <c r="QBU49" s="493"/>
      <c r="QBV49" s="493"/>
      <c r="QBW49" s="493"/>
      <c r="QBX49" s="493"/>
      <c r="QBY49" s="493"/>
      <c r="QBZ49" s="493"/>
      <c r="QCA49" s="493"/>
      <c r="QCB49" s="493"/>
      <c r="QCC49" s="493"/>
      <c r="QCD49" s="493"/>
      <c r="QCE49" s="493"/>
      <c r="QCF49" s="493"/>
      <c r="QCG49" s="493"/>
      <c r="QCH49" s="493"/>
      <c r="QCI49" s="493"/>
      <c r="QCJ49" s="493"/>
      <c r="QCK49" s="493"/>
      <c r="QCL49" s="493"/>
      <c r="QCM49" s="493"/>
      <c r="QCN49" s="493"/>
      <c r="QCO49" s="493"/>
      <c r="QCP49" s="493"/>
      <c r="QCQ49" s="493"/>
      <c r="QCR49" s="493"/>
      <c r="QCS49" s="493"/>
      <c r="QCT49" s="493"/>
      <c r="QCU49" s="493"/>
      <c r="QCV49" s="493"/>
      <c r="QCW49" s="493"/>
      <c r="QCX49" s="493"/>
      <c r="QCY49" s="493"/>
      <c r="QCZ49" s="493"/>
      <c r="QDA49" s="493"/>
      <c r="QDB49" s="493"/>
      <c r="QDC49" s="493"/>
      <c r="QDD49" s="493"/>
      <c r="QDE49" s="493"/>
      <c r="QDF49" s="493"/>
      <c r="QDG49" s="493"/>
      <c r="QDH49" s="493"/>
      <c r="QDI49" s="493"/>
      <c r="QDJ49" s="493"/>
      <c r="QDK49" s="493"/>
      <c r="QDL49" s="493"/>
      <c r="QDM49" s="493"/>
      <c r="QDN49" s="493"/>
      <c r="QDO49" s="493"/>
      <c r="QDP49" s="493"/>
      <c r="QDQ49" s="493"/>
      <c r="QDR49" s="493"/>
      <c r="QDS49" s="493"/>
      <c r="QDT49" s="493"/>
      <c r="QDU49" s="493"/>
      <c r="QDV49" s="493"/>
      <c r="QDW49" s="493"/>
      <c r="QDX49" s="493"/>
      <c r="QDY49" s="493"/>
      <c r="QDZ49" s="493"/>
      <c r="QEA49" s="493"/>
      <c r="QEB49" s="493"/>
      <c r="QEC49" s="493"/>
      <c r="QED49" s="493"/>
      <c r="QEE49" s="493"/>
      <c r="QEF49" s="493"/>
      <c r="QEG49" s="493"/>
      <c r="QEH49" s="493"/>
      <c r="QEI49" s="493"/>
      <c r="QEJ49" s="493"/>
      <c r="QEK49" s="493"/>
      <c r="QEL49" s="493"/>
      <c r="QEM49" s="493"/>
      <c r="QEN49" s="493"/>
      <c r="QEO49" s="493"/>
      <c r="QEP49" s="493"/>
      <c r="QEQ49" s="493"/>
      <c r="QER49" s="493"/>
      <c r="QES49" s="493"/>
      <c r="QET49" s="493"/>
      <c r="QEU49" s="493"/>
      <c r="QEV49" s="493"/>
      <c r="QEW49" s="493"/>
      <c r="QEX49" s="493"/>
      <c r="QEY49" s="493"/>
      <c r="QEZ49" s="493"/>
      <c r="QFA49" s="493"/>
      <c r="QFB49" s="493"/>
      <c r="QFC49" s="493"/>
      <c r="QFD49" s="493"/>
      <c r="QFE49" s="493"/>
      <c r="QFF49" s="493"/>
      <c r="QFG49" s="493"/>
      <c r="QFH49" s="493"/>
      <c r="QFI49" s="493"/>
      <c r="QFJ49" s="493"/>
      <c r="QFK49" s="493"/>
      <c r="QFL49" s="493"/>
      <c r="QFM49" s="493"/>
      <c r="QFN49" s="493"/>
      <c r="QFO49" s="493"/>
      <c r="QFP49" s="493"/>
      <c r="QFQ49" s="493"/>
      <c r="QFR49" s="493"/>
      <c r="QFS49" s="493"/>
      <c r="QFT49" s="493"/>
      <c r="QFU49" s="493"/>
      <c r="QFV49" s="493"/>
      <c r="QFW49" s="493"/>
      <c r="QFX49" s="493"/>
      <c r="QFY49" s="493"/>
      <c r="QFZ49" s="493"/>
      <c r="QGA49" s="493"/>
      <c r="QGB49" s="493"/>
      <c r="QGC49" s="493"/>
      <c r="QGD49" s="493"/>
      <c r="QGE49" s="493"/>
      <c r="QGF49" s="493"/>
      <c r="QGG49" s="493"/>
      <c r="QGH49" s="493"/>
      <c r="QGI49" s="493"/>
      <c r="QGJ49" s="493"/>
      <c r="QGK49" s="493"/>
      <c r="QGL49" s="493"/>
      <c r="QGM49" s="493"/>
      <c r="QGN49" s="493"/>
      <c r="QGO49" s="493"/>
      <c r="QGP49" s="493"/>
      <c r="QGQ49" s="493"/>
      <c r="QGR49" s="493"/>
      <c r="QGS49" s="493"/>
      <c r="QGT49" s="493"/>
      <c r="QGU49" s="493"/>
      <c r="QGV49" s="493"/>
      <c r="QGW49" s="493"/>
      <c r="QGX49" s="493"/>
      <c r="QGY49" s="493"/>
      <c r="QGZ49" s="493"/>
      <c r="QHA49" s="493"/>
      <c r="QHB49" s="493"/>
      <c r="QHC49" s="493"/>
      <c r="QHD49" s="493"/>
      <c r="QHE49" s="493"/>
      <c r="QHF49" s="493"/>
      <c r="QHG49" s="493"/>
      <c r="QHH49" s="493"/>
      <c r="QHI49" s="493"/>
      <c r="QHJ49" s="493"/>
      <c r="QHK49" s="493"/>
      <c r="QHL49" s="493"/>
      <c r="QHM49" s="493"/>
      <c r="QHN49" s="493"/>
      <c r="QHO49" s="493"/>
      <c r="QHP49" s="493"/>
      <c r="QHQ49" s="493"/>
      <c r="QHR49" s="493"/>
      <c r="QHS49" s="493"/>
      <c r="QHT49" s="493"/>
      <c r="QHU49" s="493"/>
      <c r="QHV49" s="493"/>
      <c r="QHW49" s="493"/>
      <c r="QHX49" s="493"/>
      <c r="QHY49" s="493"/>
      <c r="QHZ49" s="493"/>
      <c r="QIA49" s="493"/>
      <c r="QIB49" s="493"/>
      <c r="QIC49" s="493"/>
      <c r="QID49" s="493"/>
      <c r="QIE49" s="493"/>
      <c r="QIF49" s="493"/>
      <c r="QIG49" s="493"/>
      <c r="QIH49" s="493"/>
      <c r="QII49" s="493"/>
      <c r="QIJ49" s="493"/>
      <c r="QIK49" s="493"/>
      <c r="QIL49" s="493"/>
      <c r="QIM49" s="493"/>
      <c r="QIN49" s="493"/>
      <c r="QIO49" s="493"/>
      <c r="QIP49" s="493"/>
      <c r="QIQ49" s="493"/>
      <c r="QIR49" s="493"/>
      <c r="QIS49" s="493"/>
      <c r="QIT49" s="493"/>
      <c r="QIU49" s="493"/>
      <c r="QIV49" s="493"/>
      <c r="QIW49" s="493"/>
      <c r="QIX49" s="493"/>
      <c r="QIY49" s="493"/>
      <c r="QIZ49" s="493"/>
      <c r="QJA49" s="493"/>
      <c r="QJB49" s="493"/>
      <c r="QJC49" s="493"/>
      <c r="QJD49" s="493"/>
      <c r="QJE49" s="493"/>
      <c r="QJF49" s="493"/>
      <c r="QJG49" s="493"/>
      <c r="QJH49" s="493"/>
      <c r="QJI49" s="493"/>
      <c r="QJJ49" s="493"/>
      <c r="QJK49" s="493"/>
      <c r="QJL49" s="493"/>
      <c r="QJM49" s="493"/>
      <c r="QJN49" s="493"/>
      <c r="QJO49" s="493"/>
      <c r="QJP49" s="493"/>
      <c r="QJQ49" s="493"/>
      <c r="QJR49" s="493"/>
      <c r="QJS49" s="493"/>
      <c r="QJT49" s="493"/>
      <c r="QJU49" s="493"/>
      <c r="QJV49" s="493"/>
      <c r="QJW49" s="493"/>
      <c r="QJX49" s="493"/>
      <c r="QJY49" s="493"/>
      <c r="QJZ49" s="493"/>
      <c r="QKA49" s="493"/>
      <c r="QKB49" s="493"/>
      <c r="QKC49" s="493"/>
      <c r="QKD49" s="493"/>
      <c r="QKE49" s="493"/>
      <c r="QKF49" s="493"/>
      <c r="QKG49" s="493"/>
      <c r="QKH49" s="493"/>
      <c r="QKI49" s="493"/>
      <c r="QKJ49" s="493"/>
      <c r="QKK49" s="493"/>
      <c r="QKL49" s="493"/>
      <c r="QKM49" s="493"/>
      <c r="QKN49" s="493"/>
      <c r="QKO49" s="493"/>
      <c r="QKP49" s="493"/>
      <c r="QKQ49" s="493"/>
      <c r="QKR49" s="493"/>
      <c r="QKS49" s="493"/>
      <c r="QKT49" s="493"/>
      <c r="QKU49" s="493"/>
      <c r="QKV49" s="493"/>
      <c r="QKW49" s="493"/>
      <c r="QKX49" s="493"/>
      <c r="QKY49" s="493"/>
      <c r="QKZ49" s="493"/>
      <c r="QLA49" s="493"/>
      <c r="QLB49" s="493"/>
      <c r="QLC49" s="493"/>
      <c r="QLD49" s="493"/>
      <c r="QLE49" s="493"/>
      <c r="QLF49" s="493"/>
      <c r="QLG49" s="493"/>
      <c r="QLH49" s="493"/>
      <c r="QLI49" s="493"/>
      <c r="QLJ49" s="493"/>
      <c r="QLK49" s="493"/>
      <c r="QLL49" s="493"/>
      <c r="QLM49" s="493"/>
      <c r="QLN49" s="493"/>
      <c r="QLO49" s="493"/>
      <c r="QLP49" s="493"/>
      <c r="QLQ49" s="493"/>
      <c r="QLR49" s="493"/>
      <c r="QLS49" s="493"/>
      <c r="QLT49" s="493"/>
      <c r="QLU49" s="493"/>
      <c r="QLV49" s="493"/>
      <c r="QLW49" s="493"/>
      <c r="QLX49" s="493"/>
      <c r="QLY49" s="493"/>
      <c r="QLZ49" s="493"/>
      <c r="QMA49" s="493"/>
      <c r="QMB49" s="493"/>
      <c r="QMC49" s="493"/>
      <c r="QMD49" s="493"/>
      <c r="QME49" s="493"/>
      <c r="QMF49" s="493"/>
      <c r="QMG49" s="493"/>
      <c r="QMH49" s="493"/>
      <c r="QMI49" s="493"/>
      <c r="QMJ49" s="493"/>
      <c r="QMK49" s="493"/>
      <c r="QML49" s="493"/>
      <c r="QMM49" s="493"/>
      <c r="QMN49" s="493"/>
      <c r="QMO49" s="493"/>
      <c r="QMP49" s="493"/>
      <c r="QMQ49" s="493"/>
      <c r="QMR49" s="493"/>
      <c r="QMS49" s="493"/>
      <c r="QMT49" s="493"/>
      <c r="QMU49" s="493"/>
      <c r="QMV49" s="493"/>
      <c r="QMW49" s="493"/>
      <c r="QMX49" s="493"/>
      <c r="QMY49" s="493"/>
      <c r="QMZ49" s="493"/>
      <c r="QNA49" s="493"/>
      <c r="QNB49" s="493"/>
      <c r="QNC49" s="493"/>
      <c r="QND49" s="493"/>
      <c r="QNE49" s="493"/>
      <c r="QNF49" s="493"/>
      <c r="QNG49" s="493"/>
      <c r="QNH49" s="493"/>
      <c r="QNI49" s="493"/>
      <c r="QNJ49" s="493"/>
      <c r="QNK49" s="493"/>
      <c r="QNL49" s="493"/>
      <c r="QNM49" s="493"/>
      <c r="QNN49" s="493"/>
      <c r="QNO49" s="493"/>
      <c r="QNP49" s="493"/>
      <c r="QNQ49" s="493"/>
      <c r="QNR49" s="493"/>
      <c r="QNS49" s="493"/>
      <c r="QNT49" s="493"/>
      <c r="QNU49" s="493"/>
      <c r="QNV49" s="493"/>
      <c r="QNW49" s="493"/>
      <c r="QNX49" s="493"/>
      <c r="QNY49" s="493"/>
      <c r="QNZ49" s="493"/>
      <c r="QOA49" s="493"/>
      <c r="QOB49" s="493"/>
      <c r="QOC49" s="493"/>
      <c r="QOD49" s="493"/>
      <c r="QOE49" s="493"/>
      <c r="QOF49" s="493"/>
      <c r="QOG49" s="493"/>
      <c r="QOH49" s="493"/>
      <c r="QOI49" s="493"/>
      <c r="QOJ49" s="493"/>
      <c r="QOK49" s="493"/>
      <c r="QOL49" s="493"/>
      <c r="QOM49" s="493"/>
      <c r="QON49" s="493"/>
      <c r="QOO49" s="493"/>
      <c r="QOP49" s="493"/>
      <c r="QOQ49" s="493"/>
      <c r="QOR49" s="493"/>
      <c r="QOS49" s="493"/>
      <c r="QOT49" s="493"/>
      <c r="QOU49" s="493"/>
      <c r="QOV49" s="493"/>
      <c r="QOW49" s="493"/>
      <c r="QOX49" s="493"/>
      <c r="QOY49" s="493"/>
      <c r="QOZ49" s="493"/>
      <c r="QPA49" s="493"/>
      <c r="QPB49" s="493"/>
      <c r="QPC49" s="493"/>
      <c r="QPD49" s="493"/>
      <c r="QPE49" s="493"/>
      <c r="QPF49" s="493"/>
      <c r="QPG49" s="493"/>
      <c r="QPH49" s="493"/>
      <c r="QPI49" s="493"/>
      <c r="QPJ49" s="493"/>
      <c r="QPK49" s="493"/>
      <c r="QPL49" s="493"/>
      <c r="QPM49" s="493"/>
      <c r="QPN49" s="493"/>
      <c r="QPO49" s="493"/>
      <c r="QPP49" s="493"/>
      <c r="QPQ49" s="493"/>
      <c r="QPR49" s="493"/>
      <c r="QPS49" s="493"/>
      <c r="QPT49" s="493"/>
      <c r="QPU49" s="493"/>
      <c r="QPV49" s="493"/>
      <c r="QPW49" s="493"/>
      <c r="QPX49" s="493"/>
      <c r="QPY49" s="493"/>
      <c r="QPZ49" s="493"/>
      <c r="QQA49" s="493"/>
      <c r="QQB49" s="493"/>
      <c r="QQC49" s="493"/>
      <c r="QQD49" s="493"/>
      <c r="QQE49" s="493"/>
      <c r="QQF49" s="493"/>
      <c r="QQG49" s="493"/>
      <c r="QQH49" s="493"/>
      <c r="QQI49" s="493"/>
      <c r="QQJ49" s="493"/>
      <c r="QQK49" s="493"/>
      <c r="QQL49" s="493"/>
      <c r="QQM49" s="493"/>
      <c r="QQN49" s="493"/>
      <c r="QQO49" s="493"/>
      <c r="QQP49" s="493"/>
      <c r="QQQ49" s="493"/>
      <c r="QQR49" s="493"/>
      <c r="QQS49" s="493"/>
      <c r="QQT49" s="493"/>
      <c r="QQU49" s="493"/>
      <c r="QQV49" s="493"/>
      <c r="QQW49" s="493"/>
      <c r="QQX49" s="493"/>
      <c r="QQY49" s="493"/>
      <c r="QQZ49" s="493"/>
      <c r="QRA49" s="493"/>
      <c r="QRB49" s="493"/>
      <c r="QRC49" s="493"/>
      <c r="QRD49" s="493"/>
      <c r="QRE49" s="493"/>
      <c r="QRF49" s="493"/>
      <c r="QRG49" s="493"/>
      <c r="QRH49" s="493"/>
      <c r="QRI49" s="493"/>
      <c r="QRJ49" s="493"/>
      <c r="QRK49" s="493"/>
      <c r="QRL49" s="493"/>
      <c r="QRM49" s="493"/>
      <c r="QRN49" s="493"/>
      <c r="QRO49" s="493"/>
      <c r="QRP49" s="493"/>
      <c r="QRQ49" s="493"/>
      <c r="QRR49" s="493"/>
      <c r="QRS49" s="493"/>
      <c r="QRT49" s="493"/>
      <c r="QRU49" s="493"/>
      <c r="QRV49" s="493"/>
      <c r="QRW49" s="493"/>
      <c r="QRX49" s="493"/>
      <c r="QRY49" s="493"/>
      <c r="QRZ49" s="493"/>
      <c r="QSA49" s="493"/>
      <c r="QSB49" s="493"/>
      <c r="QSC49" s="493"/>
      <c r="QSD49" s="493"/>
      <c r="QSE49" s="493"/>
      <c r="QSF49" s="493"/>
      <c r="QSG49" s="493"/>
      <c r="QSH49" s="493"/>
      <c r="QSI49" s="493"/>
      <c r="QSJ49" s="493"/>
      <c r="QSK49" s="493"/>
      <c r="QSL49" s="493"/>
      <c r="QSM49" s="493"/>
      <c r="QSN49" s="493"/>
      <c r="QSO49" s="493"/>
      <c r="QSP49" s="493"/>
      <c r="QSQ49" s="493"/>
      <c r="QSR49" s="493"/>
      <c r="QSS49" s="493"/>
      <c r="QST49" s="493"/>
      <c r="QSU49" s="493"/>
      <c r="QSV49" s="493"/>
      <c r="QSW49" s="493"/>
      <c r="QSX49" s="493"/>
      <c r="QSY49" s="493"/>
      <c r="QSZ49" s="493"/>
      <c r="QTA49" s="493"/>
      <c r="QTB49" s="493"/>
      <c r="QTC49" s="493"/>
      <c r="QTD49" s="493"/>
      <c r="QTE49" s="493"/>
      <c r="QTF49" s="493"/>
      <c r="QTG49" s="493"/>
      <c r="QTH49" s="493"/>
      <c r="QTI49" s="493"/>
      <c r="QTJ49" s="493"/>
      <c r="QTK49" s="493"/>
      <c r="QTL49" s="493"/>
      <c r="QTM49" s="493"/>
      <c r="QTN49" s="493"/>
      <c r="QTO49" s="493"/>
      <c r="QTP49" s="493"/>
      <c r="QTQ49" s="493"/>
      <c r="QTR49" s="493"/>
      <c r="QTS49" s="493"/>
      <c r="QTT49" s="493"/>
      <c r="QTU49" s="493"/>
      <c r="QTV49" s="493"/>
      <c r="QTW49" s="493"/>
      <c r="QTX49" s="493"/>
      <c r="QTY49" s="493"/>
      <c r="QTZ49" s="493"/>
      <c r="QUA49" s="493"/>
      <c r="QUB49" s="493"/>
      <c r="QUC49" s="493"/>
      <c r="QUD49" s="493"/>
      <c r="QUE49" s="493"/>
      <c r="QUF49" s="493"/>
      <c r="QUG49" s="493"/>
      <c r="QUH49" s="493"/>
      <c r="QUI49" s="493"/>
      <c r="QUJ49" s="493"/>
      <c r="QUK49" s="493"/>
      <c r="QUL49" s="493"/>
      <c r="QUM49" s="493"/>
      <c r="QUN49" s="493"/>
      <c r="QUO49" s="493"/>
      <c r="QUP49" s="493"/>
      <c r="QUQ49" s="493"/>
      <c r="QUR49" s="493"/>
      <c r="QUS49" s="493"/>
      <c r="QUT49" s="493"/>
      <c r="QUU49" s="493"/>
      <c r="QUV49" s="493"/>
      <c r="QUW49" s="493"/>
      <c r="QUX49" s="493"/>
      <c r="QUY49" s="493"/>
      <c r="QUZ49" s="493"/>
      <c r="QVA49" s="493"/>
      <c r="QVB49" s="493"/>
      <c r="QVC49" s="493"/>
      <c r="QVD49" s="493"/>
      <c r="QVE49" s="493"/>
      <c r="QVF49" s="493"/>
      <c r="QVG49" s="493"/>
      <c r="QVH49" s="493"/>
      <c r="QVI49" s="493"/>
      <c r="QVJ49" s="493"/>
      <c r="QVK49" s="493"/>
      <c r="QVL49" s="493"/>
      <c r="QVM49" s="493"/>
      <c r="QVN49" s="493"/>
      <c r="QVO49" s="493"/>
      <c r="QVP49" s="493"/>
      <c r="QVQ49" s="493"/>
      <c r="QVR49" s="493"/>
      <c r="QVS49" s="493"/>
      <c r="QVT49" s="493"/>
      <c r="QVU49" s="493"/>
      <c r="QVV49" s="493"/>
      <c r="QVW49" s="493"/>
      <c r="QVX49" s="493"/>
      <c r="QVY49" s="493"/>
      <c r="QVZ49" s="493"/>
      <c r="QWA49" s="493"/>
      <c r="QWB49" s="493"/>
      <c r="QWC49" s="493"/>
      <c r="QWD49" s="493"/>
      <c r="QWE49" s="493"/>
      <c r="QWF49" s="493"/>
      <c r="QWG49" s="493"/>
      <c r="QWH49" s="493"/>
      <c r="QWI49" s="493"/>
      <c r="QWJ49" s="493"/>
      <c r="QWK49" s="493"/>
      <c r="QWL49" s="493"/>
      <c r="QWM49" s="493"/>
      <c r="QWN49" s="493"/>
      <c r="QWO49" s="493"/>
      <c r="QWP49" s="493"/>
      <c r="QWQ49" s="493"/>
      <c r="QWR49" s="493"/>
      <c r="QWS49" s="493"/>
      <c r="QWT49" s="493"/>
      <c r="QWU49" s="493"/>
      <c r="QWV49" s="493"/>
      <c r="QWW49" s="493"/>
      <c r="QWX49" s="493"/>
      <c r="QWY49" s="493"/>
      <c r="QWZ49" s="493"/>
      <c r="QXA49" s="493"/>
      <c r="QXB49" s="493"/>
      <c r="QXC49" s="493"/>
      <c r="QXD49" s="493"/>
      <c r="QXE49" s="493"/>
      <c r="QXF49" s="493"/>
      <c r="QXG49" s="493"/>
      <c r="QXH49" s="493"/>
      <c r="QXI49" s="493"/>
      <c r="QXJ49" s="493"/>
      <c r="QXK49" s="493"/>
      <c r="QXL49" s="493"/>
      <c r="QXM49" s="493"/>
      <c r="QXN49" s="493"/>
      <c r="QXO49" s="493"/>
      <c r="QXP49" s="493"/>
      <c r="QXQ49" s="493"/>
      <c r="QXR49" s="493"/>
      <c r="QXS49" s="493"/>
      <c r="QXT49" s="493"/>
      <c r="QXU49" s="493"/>
      <c r="QXV49" s="493"/>
      <c r="QXW49" s="493"/>
      <c r="QXX49" s="493"/>
      <c r="QXY49" s="493"/>
      <c r="QXZ49" s="493"/>
      <c r="QYA49" s="493"/>
      <c r="QYB49" s="493"/>
      <c r="QYC49" s="493"/>
      <c r="QYD49" s="493"/>
      <c r="QYE49" s="493"/>
      <c r="QYF49" s="493"/>
      <c r="QYG49" s="493"/>
      <c r="QYH49" s="493"/>
      <c r="QYI49" s="493"/>
      <c r="QYJ49" s="493"/>
      <c r="QYK49" s="493"/>
      <c r="QYL49" s="493"/>
      <c r="QYM49" s="493"/>
      <c r="QYN49" s="493"/>
      <c r="QYO49" s="493"/>
      <c r="QYP49" s="493"/>
      <c r="QYQ49" s="493"/>
      <c r="QYR49" s="493"/>
      <c r="QYS49" s="493"/>
      <c r="QYT49" s="493"/>
      <c r="QYU49" s="493"/>
      <c r="QYV49" s="493"/>
      <c r="QYW49" s="493"/>
      <c r="QYX49" s="493"/>
      <c r="QYY49" s="493"/>
      <c r="QYZ49" s="493"/>
      <c r="QZA49" s="493"/>
      <c r="QZB49" s="493"/>
      <c r="QZC49" s="493"/>
      <c r="QZD49" s="493"/>
      <c r="QZE49" s="493"/>
      <c r="QZF49" s="493"/>
      <c r="QZG49" s="493"/>
      <c r="QZH49" s="493"/>
      <c r="QZI49" s="493"/>
      <c r="QZJ49" s="493"/>
      <c r="QZK49" s="493"/>
      <c r="QZL49" s="493"/>
      <c r="QZM49" s="493"/>
      <c r="QZN49" s="493"/>
      <c r="QZO49" s="493"/>
      <c r="QZP49" s="493"/>
      <c r="QZQ49" s="493"/>
      <c r="QZR49" s="493"/>
      <c r="QZS49" s="493"/>
      <c r="QZT49" s="493"/>
      <c r="QZU49" s="493"/>
      <c r="QZV49" s="493"/>
      <c r="QZW49" s="493"/>
      <c r="QZX49" s="493"/>
      <c r="QZY49" s="493"/>
      <c r="QZZ49" s="493"/>
      <c r="RAA49" s="493"/>
      <c r="RAB49" s="493"/>
      <c r="RAC49" s="493"/>
      <c r="RAD49" s="493"/>
      <c r="RAE49" s="493"/>
      <c r="RAF49" s="493"/>
      <c r="RAG49" s="493"/>
      <c r="RAH49" s="493"/>
      <c r="RAI49" s="493"/>
      <c r="RAJ49" s="493"/>
      <c r="RAK49" s="493"/>
      <c r="RAL49" s="493"/>
      <c r="RAM49" s="493"/>
      <c r="RAN49" s="493"/>
      <c r="RAO49" s="493"/>
      <c r="RAP49" s="493"/>
      <c r="RAQ49" s="493"/>
      <c r="RAR49" s="493"/>
      <c r="RAS49" s="493"/>
      <c r="RAT49" s="493"/>
      <c r="RAU49" s="493"/>
      <c r="RAV49" s="493"/>
      <c r="RAW49" s="493"/>
      <c r="RAX49" s="493"/>
      <c r="RAY49" s="493"/>
      <c r="RAZ49" s="493"/>
      <c r="RBA49" s="493"/>
      <c r="RBB49" s="493"/>
      <c r="RBC49" s="493"/>
      <c r="RBD49" s="493"/>
      <c r="RBE49" s="493"/>
      <c r="RBF49" s="493"/>
      <c r="RBG49" s="493"/>
      <c r="RBH49" s="493"/>
      <c r="RBI49" s="493"/>
      <c r="RBJ49" s="493"/>
      <c r="RBK49" s="493"/>
      <c r="RBL49" s="493"/>
      <c r="RBM49" s="493"/>
      <c r="RBN49" s="493"/>
      <c r="RBO49" s="493"/>
      <c r="RBP49" s="493"/>
      <c r="RBQ49" s="493"/>
      <c r="RBR49" s="493"/>
      <c r="RBS49" s="493"/>
      <c r="RBT49" s="493"/>
      <c r="RBU49" s="493"/>
      <c r="RBV49" s="493"/>
      <c r="RBW49" s="493"/>
      <c r="RBX49" s="493"/>
      <c r="RBY49" s="493"/>
      <c r="RBZ49" s="493"/>
      <c r="RCA49" s="493"/>
      <c r="RCB49" s="493"/>
      <c r="RCC49" s="493"/>
      <c r="RCD49" s="493"/>
      <c r="RCE49" s="493"/>
      <c r="RCF49" s="493"/>
      <c r="RCG49" s="493"/>
      <c r="RCH49" s="493"/>
      <c r="RCI49" s="493"/>
      <c r="RCJ49" s="493"/>
      <c r="RCK49" s="493"/>
      <c r="RCL49" s="493"/>
      <c r="RCM49" s="493"/>
      <c r="RCN49" s="493"/>
      <c r="RCO49" s="493"/>
      <c r="RCP49" s="493"/>
      <c r="RCQ49" s="493"/>
      <c r="RCR49" s="493"/>
      <c r="RCS49" s="493"/>
      <c r="RCT49" s="493"/>
      <c r="RCU49" s="493"/>
      <c r="RCV49" s="493"/>
      <c r="RCW49" s="493"/>
      <c r="RCX49" s="493"/>
      <c r="RCY49" s="493"/>
      <c r="RCZ49" s="493"/>
      <c r="RDA49" s="493"/>
      <c r="RDB49" s="493"/>
      <c r="RDC49" s="493"/>
      <c r="RDD49" s="493"/>
      <c r="RDE49" s="493"/>
      <c r="RDF49" s="493"/>
      <c r="RDG49" s="493"/>
      <c r="RDH49" s="493"/>
      <c r="RDI49" s="493"/>
      <c r="RDJ49" s="493"/>
      <c r="RDK49" s="493"/>
      <c r="RDL49" s="493"/>
      <c r="RDM49" s="493"/>
      <c r="RDN49" s="493"/>
      <c r="RDO49" s="493"/>
      <c r="RDP49" s="493"/>
      <c r="RDQ49" s="493"/>
      <c r="RDR49" s="493"/>
      <c r="RDS49" s="493"/>
      <c r="RDT49" s="493"/>
      <c r="RDU49" s="493"/>
      <c r="RDV49" s="493"/>
      <c r="RDW49" s="493"/>
      <c r="RDX49" s="493"/>
      <c r="RDY49" s="493"/>
      <c r="RDZ49" s="493"/>
      <c r="REA49" s="493"/>
      <c r="REB49" s="493"/>
      <c r="REC49" s="493"/>
      <c r="RED49" s="493"/>
      <c r="REE49" s="493"/>
      <c r="REF49" s="493"/>
      <c r="REG49" s="493"/>
      <c r="REH49" s="493"/>
      <c r="REI49" s="493"/>
      <c r="REJ49" s="493"/>
      <c r="REK49" s="493"/>
      <c r="REL49" s="493"/>
      <c r="REM49" s="493"/>
      <c r="REN49" s="493"/>
      <c r="REO49" s="493"/>
      <c r="REP49" s="493"/>
      <c r="REQ49" s="493"/>
      <c r="RER49" s="493"/>
      <c r="RES49" s="493"/>
      <c r="RET49" s="493"/>
      <c r="REU49" s="493"/>
      <c r="REV49" s="493"/>
      <c r="REW49" s="493"/>
      <c r="REX49" s="493"/>
      <c r="REY49" s="493"/>
      <c r="REZ49" s="493"/>
      <c r="RFA49" s="493"/>
      <c r="RFB49" s="493"/>
      <c r="RFC49" s="493"/>
      <c r="RFD49" s="493"/>
      <c r="RFE49" s="493"/>
      <c r="RFF49" s="493"/>
      <c r="RFG49" s="493"/>
      <c r="RFH49" s="493"/>
      <c r="RFI49" s="493"/>
      <c r="RFJ49" s="493"/>
      <c r="RFK49" s="493"/>
      <c r="RFL49" s="493"/>
      <c r="RFM49" s="493"/>
      <c r="RFN49" s="493"/>
      <c r="RFO49" s="493"/>
      <c r="RFP49" s="493"/>
      <c r="RFQ49" s="493"/>
      <c r="RFR49" s="493"/>
      <c r="RFS49" s="493"/>
      <c r="RFT49" s="493"/>
      <c r="RFU49" s="493"/>
      <c r="RFV49" s="493"/>
      <c r="RFW49" s="493"/>
      <c r="RFX49" s="493"/>
      <c r="RFY49" s="493"/>
      <c r="RFZ49" s="493"/>
      <c r="RGA49" s="493"/>
      <c r="RGB49" s="493"/>
      <c r="RGC49" s="493"/>
      <c r="RGD49" s="493"/>
      <c r="RGE49" s="493"/>
      <c r="RGF49" s="493"/>
      <c r="RGG49" s="493"/>
      <c r="RGH49" s="493"/>
      <c r="RGI49" s="493"/>
      <c r="RGJ49" s="493"/>
      <c r="RGK49" s="493"/>
      <c r="RGL49" s="493"/>
      <c r="RGM49" s="493"/>
      <c r="RGN49" s="493"/>
      <c r="RGO49" s="493"/>
      <c r="RGP49" s="493"/>
      <c r="RGQ49" s="493"/>
      <c r="RGR49" s="493"/>
      <c r="RGS49" s="493"/>
      <c r="RGT49" s="493"/>
      <c r="RGU49" s="493"/>
      <c r="RGV49" s="493"/>
      <c r="RGW49" s="493"/>
      <c r="RGX49" s="493"/>
      <c r="RGY49" s="493"/>
      <c r="RGZ49" s="493"/>
      <c r="RHA49" s="493"/>
      <c r="RHB49" s="493"/>
      <c r="RHC49" s="493"/>
      <c r="RHD49" s="493"/>
      <c r="RHE49" s="493"/>
      <c r="RHF49" s="493"/>
      <c r="RHG49" s="493"/>
      <c r="RHH49" s="493"/>
      <c r="RHI49" s="493"/>
      <c r="RHJ49" s="493"/>
      <c r="RHK49" s="493"/>
      <c r="RHL49" s="493"/>
      <c r="RHM49" s="493"/>
      <c r="RHN49" s="493"/>
      <c r="RHO49" s="493"/>
      <c r="RHP49" s="493"/>
      <c r="RHQ49" s="493"/>
      <c r="RHR49" s="493"/>
      <c r="RHS49" s="493"/>
      <c r="RHT49" s="493"/>
      <c r="RHU49" s="493"/>
      <c r="RHV49" s="493"/>
      <c r="RHW49" s="493"/>
      <c r="RHX49" s="493"/>
      <c r="RHY49" s="493"/>
      <c r="RHZ49" s="493"/>
      <c r="RIA49" s="493"/>
      <c r="RIB49" s="493"/>
      <c r="RIC49" s="493"/>
      <c r="RID49" s="493"/>
      <c r="RIE49" s="493"/>
      <c r="RIF49" s="493"/>
      <c r="RIG49" s="493"/>
      <c r="RIH49" s="493"/>
      <c r="RII49" s="493"/>
      <c r="RIJ49" s="493"/>
      <c r="RIK49" s="493"/>
      <c r="RIL49" s="493"/>
      <c r="RIM49" s="493"/>
      <c r="RIN49" s="493"/>
      <c r="RIO49" s="493"/>
      <c r="RIP49" s="493"/>
      <c r="RIQ49" s="493"/>
      <c r="RIR49" s="493"/>
      <c r="RIS49" s="493"/>
      <c r="RIT49" s="493"/>
      <c r="RIU49" s="493"/>
      <c r="RIV49" s="493"/>
      <c r="RIW49" s="493"/>
      <c r="RIX49" s="493"/>
      <c r="RIY49" s="493"/>
      <c r="RIZ49" s="493"/>
      <c r="RJA49" s="493"/>
      <c r="RJB49" s="493"/>
      <c r="RJC49" s="493"/>
      <c r="RJD49" s="493"/>
      <c r="RJE49" s="493"/>
      <c r="RJF49" s="493"/>
      <c r="RJG49" s="493"/>
      <c r="RJH49" s="493"/>
      <c r="RJI49" s="493"/>
      <c r="RJJ49" s="493"/>
      <c r="RJK49" s="493"/>
      <c r="RJL49" s="493"/>
      <c r="RJM49" s="493"/>
      <c r="RJN49" s="493"/>
      <c r="RJO49" s="493"/>
      <c r="RJP49" s="493"/>
      <c r="RJQ49" s="493"/>
      <c r="RJR49" s="493"/>
      <c r="RJS49" s="493"/>
      <c r="RJT49" s="493"/>
      <c r="RJU49" s="493"/>
      <c r="RJV49" s="493"/>
      <c r="RJW49" s="493"/>
      <c r="RJX49" s="493"/>
      <c r="RJY49" s="493"/>
      <c r="RJZ49" s="493"/>
      <c r="RKA49" s="493"/>
      <c r="RKB49" s="493"/>
      <c r="RKC49" s="493"/>
      <c r="RKD49" s="493"/>
      <c r="RKE49" s="493"/>
      <c r="RKF49" s="493"/>
      <c r="RKG49" s="493"/>
      <c r="RKH49" s="493"/>
      <c r="RKI49" s="493"/>
      <c r="RKJ49" s="493"/>
      <c r="RKK49" s="493"/>
      <c r="RKL49" s="493"/>
      <c r="RKM49" s="493"/>
      <c r="RKN49" s="493"/>
      <c r="RKO49" s="493"/>
      <c r="RKP49" s="493"/>
      <c r="RKQ49" s="493"/>
      <c r="RKR49" s="493"/>
      <c r="RKS49" s="493"/>
      <c r="RKT49" s="493"/>
      <c r="RKU49" s="493"/>
      <c r="RKV49" s="493"/>
      <c r="RKW49" s="493"/>
      <c r="RKX49" s="493"/>
      <c r="RKY49" s="493"/>
      <c r="RKZ49" s="493"/>
      <c r="RLA49" s="493"/>
      <c r="RLB49" s="493"/>
      <c r="RLC49" s="493"/>
      <c r="RLD49" s="493"/>
      <c r="RLE49" s="493"/>
      <c r="RLF49" s="493"/>
      <c r="RLG49" s="493"/>
      <c r="RLH49" s="493"/>
      <c r="RLI49" s="493"/>
      <c r="RLJ49" s="493"/>
      <c r="RLK49" s="493"/>
      <c r="RLL49" s="493"/>
      <c r="RLM49" s="493"/>
      <c r="RLN49" s="493"/>
      <c r="RLO49" s="493"/>
      <c r="RLP49" s="493"/>
      <c r="RLQ49" s="493"/>
      <c r="RLR49" s="493"/>
      <c r="RLS49" s="493"/>
      <c r="RLT49" s="493"/>
      <c r="RLU49" s="493"/>
      <c r="RLV49" s="493"/>
      <c r="RLW49" s="493"/>
      <c r="RLX49" s="493"/>
      <c r="RLY49" s="493"/>
      <c r="RLZ49" s="493"/>
      <c r="RMA49" s="493"/>
      <c r="RMB49" s="493"/>
      <c r="RMC49" s="493"/>
      <c r="RMD49" s="493"/>
      <c r="RME49" s="493"/>
      <c r="RMF49" s="493"/>
      <c r="RMG49" s="493"/>
      <c r="RMH49" s="493"/>
      <c r="RMI49" s="493"/>
      <c r="RMJ49" s="493"/>
      <c r="RMK49" s="493"/>
      <c r="RML49" s="493"/>
      <c r="RMM49" s="493"/>
      <c r="RMN49" s="493"/>
      <c r="RMO49" s="493"/>
      <c r="RMP49" s="493"/>
      <c r="RMQ49" s="493"/>
      <c r="RMR49" s="493"/>
      <c r="RMS49" s="493"/>
      <c r="RMT49" s="493"/>
      <c r="RMU49" s="493"/>
      <c r="RMV49" s="493"/>
      <c r="RMW49" s="493"/>
      <c r="RMX49" s="493"/>
      <c r="RMY49" s="493"/>
      <c r="RMZ49" s="493"/>
      <c r="RNA49" s="493"/>
      <c r="RNB49" s="493"/>
      <c r="RNC49" s="493"/>
      <c r="RND49" s="493"/>
      <c r="RNE49" s="493"/>
      <c r="RNF49" s="493"/>
      <c r="RNG49" s="493"/>
      <c r="RNH49" s="493"/>
      <c r="RNI49" s="493"/>
      <c r="RNJ49" s="493"/>
      <c r="RNK49" s="493"/>
      <c r="RNL49" s="493"/>
      <c r="RNM49" s="493"/>
      <c r="RNN49" s="493"/>
      <c r="RNO49" s="493"/>
      <c r="RNP49" s="493"/>
      <c r="RNQ49" s="493"/>
      <c r="RNR49" s="493"/>
      <c r="RNS49" s="493"/>
      <c r="RNT49" s="493"/>
      <c r="RNU49" s="493"/>
      <c r="RNV49" s="493"/>
      <c r="RNW49" s="493"/>
      <c r="RNX49" s="493"/>
      <c r="RNY49" s="493"/>
      <c r="RNZ49" s="493"/>
      <c r="ROA49" s="493"/>
      <c r="ROB49" s="493"/>
      <c r="ROC49" s="493"/>
      <c r="ROD49" s="493"/>
      <c r="ROE49" s="493"/>
      <c r="ROF49" s="493"/>
      <c r="ROG49" s="493"/>
      <c r="ROH49" s="493"/>
      <c r="ROI49" s="493"/>
      <c r="ROJ49" s="493"/>
      <c r="ROK49" s="493"/>
      <c r="ROL49" s="493"/>
      <c r="ROM49" s="493"/>
      <c r="RON49" s="493"/>
      <c r="ROO49" s="493"/>
      <c r="ROP49" s="493"/>
      <c r="ROQ49" s="493"/>
      <c r="ROR49" s="493"/>
      <c r="ROS49" s="493"/>
      <c r="ROT49" s="493"/>
      <c r="ROU49" s="493"/>
      <c r="ROV49" s="493"/>
      <c r="ROW49" s="493"/>
      <c r="ROX49" s="493"/>
      <c r="ROY49" s="493"/>
      <c r="ROZ49" s="493"/>
      <c r="RPA49" s="493"/>
      <c r="RPB49" s="493"/>
      <c r="RPC49" s="493"/>
      <c r="RPD49" s="493"/>
      <c r="RPE49" s="493"/>
      <c r="RPF49" s="493"/>
      <c r="RPG49" s="493"/>
      <c r="RPH49" s="493"/>
      <c r="RPI49" s="493"/>
      <c r="RPJ49" s="493"/>
      <c r="RPK49" s="493"/>
      <c r="RPL49" s="493"/>
      <c r="RPM49" s="493"/>
      <c r="RPN49" s="493"/>
      <c r="RPO49" s="493"/>
      <c r="RPP49" s="493"/>
      <c r="RPQ49" s="493"/>
      <c r="RPR49" s="493"/>
      <c r="RPS49" s="493"/>
      <c r="RPT49" s="493"/>
      <c r="RPU49" s="493"/>
      <c r="RPV49" s="493"/>
      <c r="RPW49" s="493"/>
      <c r="RPX49" s="493"/>
      <c r="RPY49" s="493"/>
      <c r="RPZ49" s="493"/>
      <c r="RQA49" s="493"/>
      <c r="RQB49" s="493"/>
      <c r="RQC49" s="493"/>
      <c r="RQD49" s="493"/>
      <c r="RQE49" s="493"/>
      <c r="RQF49" s="493"/>
      <c r="RQG49" s="493"/>
      <c r="RQH49" s="493"/>
      <c r="RQI49" s="493"/>
      <c r="RQJ49" s="493"/>
      <c r="RQK49" s="493"/>
      <c r="RQL49" s="493"/>
      <c r="RQM49" s="493"/>
      <c r="RQN49" s="493"/>
      <c r="RQO49" s="493"/>
      <c r="RQP49" s="493"/>
      <c r="RQQ49" s="493"/>
      <c r="RQR49" s="493"/>
      <c r="RQS49" s="493"/>
      <c r="RQT49" s="493"/>
      <c r="RQU49" s="493"/>
      <c r="RQV49" s="493"/>
      <c r="RQW49" s="493"/>
      <c r="RQX49" s="493"/>
      <c r="RQY49" s="493"/>
      <c r="RQZ49" s="493"/>
      <c r="RRA49" s="493"/>
      <c r="RRB49" s="493"/>
      <c r="RRC49" s="493"/>
      <c r="RRD49" s="493"/>
      <c r="RRE49" s="493"/>
      <c r="RRF49" s="493"/>
      <c r="RRG49" s="493"/>
      <c r="RRH49" s="493"/>
      <c r="RRI49" s="493"/>
      <c r="RRJ49" s="493"/>
      <c r="RRK49" s="493"/>
      <c r="RRL49" s="493"/>
      <c r="RRM49" s="493"/>
      <c r="RRN49" s="493"/>
      <c r="RRO49" s="493"/>
      <c r="RRP49" s="493"/>
      <c r="RRQ49" s="493"/>
      <c r="RRR49" s="493"/>
      <c r="RRS49" s="493"/>
      <c r="RRT49" s="493"/>
      <c r="RRU49" s="493"/>
      <c r="RRV49" s="493"/>
      <c r="RRW49" s="493"/>
      <c r="RRX49" s="493"/>
      <c r="RRY49" s="493"/>
      <c r="RRZ49" s="493"/>
      <c r="RSA49" s="493"/>
      <c r="RSB49" s="493"/>
      <c r="RSC49" s="493"/>
      <c r="RSD49" s="493"/>
      <c r="RSE49" s="493"/>
      <c r="RSF49" s="493"/>
      <c r="RSG49" s="493"/>
      <c r="RSH49" s="493"/>
      <c r="RSI49" s="493"/>
      <c r="RSJ49" s="493"/>
      <c r="RSK49" s="493"/>
      <c r="RSL49" s="493"/>
      <c r="RSM49" s="493"/>
      <c r="RSN49" s="493"/>
      <c r="RSO49" s="493"/>
      <c r="RSP49" s="493"/>
      <c r="RSQ49" s="493"/>
      <c r="RSR49" s="493"/>
      <c r="RSS49" s="493"/>
      <c r="RST49" s="493"/>
      <c r="RSU49" s="493"/>
      <c r="RSV49" s="493"/>
      <c r="RSW49" s="493"/>
      <c r="RSX49" s="493"/>
      <c r="RSY49" s="493"/>
      <c r="RSZ49" s="493"/>
      <c r="RTA49" s="493"/>
      <c r="RTB49" s="493"/>
      <c r="RTC49" s="493"/>
      <c r="RTD49" s="493"/>
      <c r="RTE49" s="493"/>
      <c r="RTF49" s="493"/>
      <c r="RTG49" s="493"/>
      <c r="RTH49" s="493"/>
      <c r="RTI49" s="493"/>
      <c r="RTJ49" s="493"/>
      <c r="RTK49" s="493"/>
      <c r="RTL49" s="493"/>
      <c r="RTM49" s="493"/>
      <c r="RTN49" s="493"/>
      <c r="RTO49" s="493"/>
      <c r="RTP49" s="493"/>
      <c r="RTQ49" s="493"/>
      <c r="RTR49" s="493"/>
      <c r="RTS49" s="493"/>
      <c r="RTT49" s="493"/>
      <c r="RTU49" s="493"/>
      <c r="RTV49" s="493"/>
      <c r="RTW49" s="493"/>
      <c r="RTX49" s="493"/>
      <c r="RTY49" s="493"/>
      <c r="RTZ49" s="493"/>
      <c r="RUA49" s="493"/>
      <c r="RUB49" s="493"/>
      <c r="RUC49" s="493"/>
      <c r="RUD49" s="493"/>
      <c r="RUE49" s="493"/>
      <c r="RUF49" s="493"/>
      <c r="RUG49" s="493"/>
      <c r="RUH49" s="493"/>
      <c r="RUI49" s="493"/>
      <c r="RUJ49" s="493"/>
      <c r="RUK49" s="493"/>
      <c r="RUL49" s="493"/>
      <c r="RUM49" s="493"/>
      <c r="RUN49" s="493"/>
      <c r="RUO49" s="493"/>
      <c r="RUP49" s="493"/>
      <c r="RUQ49" s="493"/>
      <c r="RUR49" s="493"/>
      <c r="RUS49" s="493"/>
      <c r="RUT49" s="493"/>
      <c r="RUU49" s="493"/>
      <c r="RUV49" s="493"/>
      <c r="RUW49" s="493"/>
      <c r="RUX49" s="493"/>
      <c r="RUY49" s="493"/>
      <c r="RUZ49" s="493"/>
      <c r="RVA49" s="493"/>
      <c r="RVB49" s="493"/>
      <c r="RVC49" s="493"/>
      <c r="RVD49" s="493"/>
      <c r="RVE49" s="493"/>
      <c r="RVF49" s="493"/>
      <c r="RVG49" s="493"/>
      <c r="RVH49" s="493"/>
      <c r="RVI49" s="493"/>
      <c r="RVJ49" s="493"/>
      <c r="RVK49" s="493"/>
      <c r="RVL49" s="493"/>
      <c r="RVM49" s="493"/>
      <c r="RVN49" s="493"/>
      <c r="RVO49" s="493"/>
      <c r="RVP49" s="493"/>
      <c r="RVQ49" s="493"/>
      <c r="RVR49" s="493"/>
      <c r="RVS49" s="493"/>
      <c r="RVT49" s="493"/>
      <c r="RVU49" s="493"/>
      <c r="RVV49" s="493"/>
      <c r="RVW49" s="493"/>
      <c r="RVX49" s="493"/>
      <c r="RVY49" s="493"/>
      <c r="RVZ49" s="493"/>
      <c r="RWA49" s="493"/>
      <c r="RWB49" s="493"/>
      <c r="RWC49" s="493"/>
      <c r="RWD49" s="493"/>
      <c r="RWE49" s="493"/>
      <c r="RWF49" s="493"/>
      <c r="RWG49" s="493"/>
      <c r="RWH49" s="493"/>
      <c r="RWI49" s="493"/>
      <c r="RWJ49" s="493"/>
      <c r="RWK49" s="493"/>
      <c r="RWL49" s="493"/>
      <c r="RWM49" s="493"/>
      <c r="RWN49" s="493"/>
      <c r="RWO49" s="493"/>
      <c r="RWP49" s="493"/>
      <c r="RWQ49" s="493"/>
      <c r="RWR49" s="493"/>
      <c r="RWS49" s="493"/>
      <c r="RWT49" s="493"/>
      <c r="RWU49" s="493"/>
      <c r="RWV49" s="493"/>
      <c r="RWW49" s="493"/>
      <c r="RWX49" s="493"/>
      <c r="RWY49" s="493"/>
      <c r="RWZ49" s="493"/>
      <c r="RXA49" s="493"/>
      <c r="RXB49" s="493"/>
      <c r="RXC49" s="493"/>
      <c r="RXD49" s="493"/>
      <c r="RXE49" s="493"/>
      <c r="RXF49" s="493"/>
      <c r="RXG49" s="493"/>
      <c r="RXH49" s="493"/>
      <c r="RXI49" s="493"/>
      <c r="RXJ49" s="493"/>
      <c r="RXK49" s="493"/>
      <c r="RXL49" s="493"/>
      <c r="RXM49" s="493"/>
      <c r="RXN49" s="493"/>
      <c r="RXO49" s="493"/>
      <c r="RXP49" s="493"/>
      <c r="RXQ49" s="493"/>
      <c r="RXR49" s="493"/>
      <c r="RXS49" s="493"/>
      <c r="RXT49" s="493"/>
      <c r="RXU49" s="493"/>
      <c r="RXV49" s="493"/>
      <c r="RXW49" s="493"/>
      <c r="RXX49" s="493"/>
      <c r="RXY49" s="493"/>
      <c r="RXZ49" s="493"/>
      <c r="RYA49" s="493"/>
      <c r="RYB49" s="493"/>
      <c r="RYC49" s="493"/>
      <c r="RYD49" s="493"/>
      <c r="RYE49" s="493"/>
      <c r="RYF49" s="493"/>
      <c r="RYG49" s="493"/>
      <c r="RYH49" s="493"/>
      <c r="RYI49" s="493"/>
      <c r="RYJ49" s="493"/>
      <c r="RYK49" s="493"/>
      <c r="RYL49" s="493"/>
      <c r="RYM49" s="493"/>
      <c r="RYN49" s="493"/>
      <c r="RYO49" s="493"/>
      <c r="RYP49" s="493"/>
      <c r="RYQ49" s="493"/>
      <c r="RYR49" s="493"/>
      <c r="RYS49" s="493"/>
      <c r="RYT49" s="493"/>
      <c r="RYU49" s="493"/>
      <c r="RYV49" s="493"/>
      <c r="RYW49" s="493"/>
      <c r="RYX49" s="493"/>
      <c r="RYY49" s="493"/>
      <c r="RYZ49" s="493"/>
      <c r="RZA49" s="493"/>
      <c r="RZB49" s="493"/>
      <c r="RZC49" s="493"/>
      <c r="RZD49" s="493"/>
      <c r="RZE49" s="493"/>
      <c r="RZF49" s="493"/>
      <c r="RZG49" s="493"/>
      <c r="RZH49" s="493"/>
      <c r="RZI49" s="493"/>
      <c r="RZJ49" s="493"/>
      <c r="RZK49" s="493"/>
      <c r="RZL49" s="493"/>
      <c r="RZM49" s="493"/>
      <c r="RZN49" s="493"/>
      <c r="RZO49" s="493"/>
      <c r="RZP49" s="493"/>
      <c r="RZQ49" s="493"/>
      <c r="RZR49" s="493"/>
      <c r="RZS49" s="493"/>
      <c r="RZT49" s="493"/>
      <c r="RZU49" s="493"/>
      <c r="RZV49" s="493"/>
      <c r="RZW49" s="493"/>
      <c r="RZX49" s="493"/>
      <c r="RZY49" s="493"/>
      <c r="RZZ49" s="493"/>
      <c r="SAA49" s="493"/>
      <c r="SAB49" s="493"/>
      <c r="SAC49" s="493"/>
      <c r="SAD49" s="493"/>
      <c r="SAE49" s="493"/>
      <c r="SAF49" s="493"/>
      <c r="SAG49" s="493"/>
      <c r="SAH49" s="493"/>
      <c r="SAI49" s="493"/>
      <c r="SAJ49" s="493"/>
      <c r="SAK49" s="493"/>
      <c r="SAL49" s="493"/>
      <c r="SAM49" s="493"/>
      <c r="SAN49" s="493"/>
      <c r="SAO49" s="493"/>
      <c r="SAP49" s="493"/>
      <c r="SAQ49" s="493"/>
      <c r="SAR49" s="493"/>
      <c r="SAS49" s="493"/>
      <c r="SAT49" s="493"/>
      <c r="SAU49" s="493"/>
      <c r="SAV49" s="493"/>
      <c r="SAW49" s="493"/>
      <c r="SAX49" s="493"/>
      <c r="SAY49" s="493"/>
      <c r="SAZ49" s="493"/>
      <c r="SBA49" s="493"/>
      <c r="SBB49" s="493"/>
      <c r="SBC49" s="493"/>
      <c r="SBD49" s="493"/>
      <c r="SBE49" s="493"/>
      <c r="SBF49" s="493"/>
      <c r="SBG49" s="493"/>
      <c r="SBH49" s="493"/>
      <c r="SBI49" s="493"/>
      <c r="SBJ49" s="493"/>
      <c r="SBK49" s="493"/>
      <c r="SBL49" s="493"/>
      <c r="SBM49" s="493"/>
      <c r="SBN49" s="493"/>
      <c r="SBO49" s="493"/>
      <c r="SBP49" s="493"/>
      <c r="SBQ49" s="493"/>
      <c r="SBR49" s="493"/>
      <c r="SBS49" s="493"/>
      <c r="SBT49" s="493"/>
      <c r="SBU49" s="493"/>
      <c r="SBV49" s="493"/>
      <c r="SBW49" s="493"/>
      <c r="SBX49" s="493"/>
      <c r="SBY49" s="493"/>
      <c r="SBZ49" s="493"/>
      <c r="SCA49" s="493"/>
      <c r="SCB49" s="493"/>
      <c r="SCC49" s="493"/>
      <c r="SCD49" s="493"/>
      <c r="SCE49" s="493"/>
      <c r="SCF49" s="493"/>
      <c r="SCG49" s="493"/>
      <c r="SCH49" s="493"/>
      <c r="SCI49" s="493"/>
      <c r="SCJ49" s="493"/>
      <c r="SCK49" s="493"/>
      <c r="SCL49" s="493"/>
      <c r="SCM49" s="493"/>
      <c r="SCN49" s="493"/>
      <c r="SCO49" s="493"/>
      <c r="SCP49" s="493"/>
      <c r="SCQ49" s="493"/>
      <c r="SCR49" s="493"/>
      <c r="SCS49" s="493"/>
      <c r="SCT49" s="493"/>
      <c r="SCU49" s="493"/>
      <c r="SCV49" s="493"/>
      <c r="SCW49" s="493"/>
      <c r="SCX49" s="493"/>
      <c r="SCY49" s="493"/>
      <c r="SCZ49" s="493"/>
      <c r="SDA49" s="493"/>
      <c r="SDB49" s="493"/>
      <c r="SDC49" s="493"/>
      <c r="SDD49" s="493"/>
      <c r="SDE49" s="493"/>
      <c r="SDF49" s="493"/>
      <c r="SDG49" s="493"/>
      <c r="SDH49" s="493"/>
      <c r="SDI49" s="493"/>
      <c r="SDJ49" s="493"/>
      <c r="SDK49" s="493"/>
      <c r="SDL49" s="493"/>
      <c r="SDM49" s="493"/>
      <c r="SDN49" s="493"/>
      <c r="SDO49" s="493"/>
      <c r="SDP49" s="493"/>
      <c r="SDQ49" s="493"/>
      <c r="SDR49" s="493"/>
      <c r="SDS49" s="493"/>
      <c r="SDT49" s="493"/>
      <c r="SDU49" s="493"/>
      <c r="SDV49" s="493"/>
      <c r="SDW49" s="493"/>
      <c r="SDX49" s="493"/>
      <c r="SDY49" s="493"/>
      <c r="SDZ49" s="493"/>
      <c r="SEA49" s="493"/>
      <c r="SEB49" s="493"/>
      <c r="SEC49" s="493"/>
      <c r="SED49" s="493"/>
      <c r="SEE49" s="493"/>
      <c r="SEF49" s="493"/>
      <c r="SEG49" s="493"/>
      <c r="SEH49" s="493"/>
      <c r="SEI49" s="493"/>
      <c r="SEJ49" s="493"/>
      <c r="SEK49" s="493"/>
      <c r="SEL49" s="493"/>
      <c r="SEM49" s="493"/>
      <c r="SEN49" s="493"/>
      <c r="SEO49" s="493"/>
      <c r="SEP49" s="493"/>
      <c r="SEQ49" s="493"/>
      <c r="SER49" s="493"/>
      <c r="SES49" s="493"/>
      <c r="SET49" s="493"/>
      <c r="SEU49" s="493"/>
      <c r="SEV49" s="493"/>
      <c r="SEW49" s="493"/>
      <c r="SEX49" s="493"/>
      <c r="SEY49" s="493"/>
      <c r="SEZ49" s="493"/>
      <c r="SFA49" s="493"/>
      <c r="SFB49" s="493"/>
      <c r="SFC49" s="493"/>
      <c r="SFD49" s="493"/>
      <c r="SFE49" s="493"/>
      <c r="SFF49" s="493"/>
      <c r="SFG49" s="493"/>
      <c r="SFH49" s="493"/>
      <c r="SFI49" s="493"/>
      <c r="SFJ49" s="493"/>
      <c r="SFK49" s="493"/>
      <c r="SFL49" s="493"/>
      <c r="SFM49" s="493"/>
      <c r="SFN49" s="493"/>
      <c r="SFO49" s="493"/>
      <c r="SFP49" s="493"/>
      <c r="SFQ49" s="493"/>
      <c r="SFR49" s="493"/>
      <c r="SFS49" s="493"/>
      <c r="SFT49" s="493"/>
      <c r="SFU49" s="493"/>
      <c r="SFV49" s="493"/>
      <c r="SFW49" s="493"/>
      <c r="SFX49" s="493"/>
      <c r="SFY49" s="493"/>
      <c r="SFZ49" s="493"/>
      <c r="SGA49" s="493"/>
      <c r="SGB49" s="493"/>
      <c r="SGC49" s="493"/>
      <c r="SGD49" s="493"/>
      <c r="SGE49" s="493"/>
      <c r="SGF49" s="493"/>
      <c r="SGG49" s="493"/>
      <c r="SGH49" s="493"/>
      <c r="SGI49" s="493"/>
      <c r="SGJ49" s="493"/>
      <c r="SGK49" s="493"/>
      <c r="SGL49" s="493"/>
      <c r="SGM49" s="493"/>
      <c r="SGN49" s="493"/>
      <c r="SGO49" s="493"/>
      <c r="SGP49" s="493"/>
      <c r="SGQ49" s="493"/>
      <c r="SGR49" s="493"/>
      <c r="SGS49" s="493"/>
      <c r="SGT49" s="493"/>
      <c r="SGU49" s="493"/>
      <c r="SGV49" s="493"/>
      <c r="SGW49" s="493"/>
      <c r="SGX49" s="493"/>
      <c r="SGY49" s="493"/>
      <c r="SGZ49" s="493"/>
      <c r="SHA49" s="493"/>
      <c r="SHB49" s="493"/>
      <c r="SHC49" s="493"/>
      <c r="SHD49" s="493"/>
      <c r="SHE49" s="493"/>
      <c r="SHF49" s="493"/>
      <c r="SHG49" s="493"/>
      <c r="SHH49" s="493"/>
      <c r="SHI49" s="493"/>
      <c r="SHJ49" s="493"/>
      <c r="SHK49" s="493"/>
      <c r="SHL49" s="493"/>
      <c r="SHM49" s="493"/>
      <c r="SHN49" s="493"/>
      <c r="SHO49" s="493"/>
      <c r="SHP49" s="493"/>
      <c r="SHQ49" s="493"/>
      <c r="SHR49" s="493"/>
      <c r="SHS49" s="493"/>
      <c r="SHT49" s="493"/>
      <c r="SHU49" s="493"/>
      <c r="SHV49" s="493"/>
      <c r="SHW49" s="493"/>
      <c r="SHX49" s="493"/>
      <c r="SHY49" s="493"/>
      <c r="SHZ49" s="493"/>
      <c r="SIA49" s="493"/>
      <c r="SIB49" s="493"/>
      <c r="SIC49" s="493"/>
      <c r="SID49" s="493"/>
      <c r="SIE49" s="493"/>
      <c r="SIF49" s="493"/>
      <c r="SIG49" s="493"/>
      <c r="SIH49" s="493"/>
      <c r="SII49" s="493"/>
      <c r="SIJ49" s="493"/>
      <c r="SIK49" s="493"/>
      <c r="SIL49" s="493"/>
      <c r="SIM49" s="493"/>
      <c r="SIN49" s="493"/>
      <c r="SIO49" s="493"/>
      <c r="SIP49" s="493"/>
      <c r="SIQ49" s="493"/>
      <c r="SIR49" s="493"/>
      <c r="SIS49" s="493"/>
      <c r="SIT49" s="493"/>
      <c r="SIU49" s="493"/>
      <c r="SIV49" s="493"/>
      <c r="SIW49" s="493"/>
      <c r="SIX49" s="493"/>
      <c r="SIY49" s="493"/>
      <c r="SIZ49" s="493"/>
      <c r="SJA49" s="493"/>
      <c r="SJB49" s="493"/>
      <c r="SJC49" s="493"/>
      <c r="SJD49" s="493"/>
      <c r="SJE49" s="493"/>
      <c r="SJF49" s="493"/>
      <c r="SJG49" s="493"/>
      <c r="SJH49" s="493"/>
      <c r="SJI49" s="493"/>
      <c r="SJJ49" s="493"/>
      <c r="SJK49" s="493"/>
      <c r="SJL49" s="493"/>
      <c r="SJM49" s="493"/>
      <c r="SJN49" s="493"/>
      <c r="SJO49" s="493"/>
      <c r="SJP49" s="493"/>
      <c r="SJQ49" s="493"/>
      <c r="SJR49" s="493"/>
      <c r="SJS49" s="493"/>
      <c r="SJT49" s="493"/>
      <c r="SJU49" s="493"/>
      <c r="SJV49" s="493"/>
      <c r="SJW49" s="493"/>
      <c r="SJX49" s="493"/>
      <c r="SJY49" s="493"/>
      <c r="SJZ49" s="493"/>
      <c r="SKA49" s="493"/>
      <c r="SKB49" s="493"/>
      <c r="SKC49" s="493"/>
      <c r="SKD49" s="493"/>
      <c r="SKE49" s="493"/>
      <c r="SKF49" s="493"/>
      <c r="SKG49" s="493"/>
      <c r="SKH49" s="493"/>
      <c r="SKI49" s="493"/>
      <c r="SKJ49" s="493"/>
      <c r="SKK49" s="493"/>
      <c r="SKL49" s="493"/>
      <c r="SKM49" s="493"/>
      <c r="SKN49" s="493"/>
      <c r="SKO49" s="493"/>
      <c r="SKP49" s="493"/>
      <c r="SKQ49" s="493"/>
      <c r="SKR49" s="493"/>
      <c r="SKS49" s="493"/>
      <c r="SKT49" s="493"/>
      <c r="SKU49" s="493"/>
      <c r="SKV49" s="493"/>
      <c r="SKW49" s="493"/>
      <c r="SKX49" s="493"/>
      <c r="SKY49" s="493"/>
      <c r="SKZ49" s="493"/>
      <c r="SLA49" s="493"/>
      <c r="SLB49" s="493"/>
      <c r="SLC49" s="493"/>
      <c r="SLD49" s="493"/>
      <c r="SLE49" s="493"/>
      <c r="SLF49" s="493"/>
      <c r="SLG49" s="493"/>
      <c r="SLH49" s="493"/>
      <c r="SLI49" s="493"/>
      <c r="SLJ49" s="493"/>
      <c r="SLK49" s="493"/>
      <c r="SLL49" s="493"/>
      <c r="SLM49" s="493"/>
      <c r="SLN49" s="493"/>
      <c r="SLO49" s="493"/>
      <c r="SLP49" s="493"/>
      <c r="SLQ49" s="493"/>
      <c r="SLR49" s="493"/>
      <c r="SLS49" s="493"/>
      <c r="SLT49" s="493"/>
      <c r="SLU49" s="493"/>
      <c r="SLV49" s="493"/>
      <c r="SLW49" s="493"/>
      <c r="SLX49" s="493"/>
      <c r="SLY49" s="493"/>
      <c r="SLZ49" s="493"/>
      <c r="SMA49" s="493"/>
      <c r="SMB49" s="493"/>
      <c r="SMC49" s="493"/>
      <c r="SMD49" s="493"/>
      <c r="SME49" s="493"/>
      <c r="SMF49" s="493"/>
      <c r="SMG49" s="493"/>
      <c r="SMH49" s="493"/>
      <c r="SMI49" s="493"/>
      <c r="SMJ49" s="493"/>
      <c r="SMK49" s="493"/>
      <c r="SML49" s="493"/>
      <c r="SMM49" s="493"/>
      <c r="SMN49" s="493"/>
      <c r="SMO49" s="493"/>
      <c r="SMP49" s="493"/>
      <c r="SMQ49" s="493"/>
      <c r="SMR49" s="493"/>
      <c r="SMS49" s="493"/>
      <c r="SMT49" s="493"/>
      <c r="SMU49" s="493"/>
      <c r="SMV49" s="493"/>
      <c r="SMW49" s="493"/>
      <c r="SMX49" s="493"/>
      <c r="SMY49" s="493"/>
      <c r="SMZ49" s="493"/>
      <c r="SNA49" s="493"/>
      <c r="SNB49" s="493"/>
      <c r="SNC49" s="493"/>
      <c r="SND49" s="493"/>
      <c r="SNE49" s="493"/>
      <c r="SNF49" s="493"/>
      <c r="SNG49" s="493"/>
      <c r="SNH49" s="493"/>
      <c r="SNI49" s="493"/>
      <c r="SNJ49" s="493"/>
      <c r="SNK49" s="493"/>
      <c r="SNL49" s="493"/>
      <c r="SNM49" s="493"/>
      <c r="SNN49" s="493"/>
      <c r="SNO49" s="493"/>
      <c r="SNP49" s="493"/>
      <c r="SNQ49" s="493"/>
      <c r="SNR49" s="493"/>
      <c r="SNS49" s="493"/>
      <c r="SNT49" s="493"/>
      <c r="SNU49" s="493"/>
      <c r="SNV49" s="493"/>
      <c r="SNW49" s="493"/>
      <c r="SNX49" s="493"/>
      <c r="SNY49" s="493"/>
      <c r="SNZ49" s="493"/>
      <c r="SOA49" s="493"/>
      <c r="SOB49" s="493"/>
      <c r="SOC49" s="493"/>
      <c r="SOD49" s="493"/>
      <c r="SOE49" s="493"/>
      <c r="SOF49" s="493"/>
      <c r="SOG49" s="493"/>
      <c r="SOH49" s="493"/>
      <c r="SOI49" s="493"/>
      <c r="SOJ49" s="493"/>
      <c r="SOK49" s="493"/>
      <c r="SOL49" s="493"/>
      <c r="SOM49" s="493"/>
      <c r="SON49" s="493"/>
      <c r="SOO49" s="493"/>
      <c r="SOP49" s="493"/>
      <c r="SOQ49" s="493"/>
      <c r="SOR49" s="493"/>
      <c r="SOS49" s="493"/>
      <c r="SOT49" s="493"/>
      <c r="SOU49" s="493"/>
      <c r="SOV49" s="493"/>
      <c r="SOW49" s="493"/>
      <c r="SOX49" s="493"/>
      <c r="SOY49" s="493"/>
      <c r="SOZ49" s="493"/>
      <c r="SPA49" s="493"/>
      <c r="SPB49" s="493"/>
      <c r="SPC49" s="493"/>
      <c r="SPD49" s="493"/>
      <c r="SPE49" s="493"/>
      <c r="SPF49" s="493"/>
      <c r="SPG49" s="493"/>
      <c r="SPH49" s="493"/>
      <c r="SPI49" s="493"/>
      <c r="SPJ49" s="493"/>
      <c r="SPK49" s="493"/>
      <c r="SPL49" s="493"/>
      <c r="SPM49" s="493"/>
      <c r="SPN49" s="493"/>
      <c r="SPO49" s="493"/>
      <c r="SPP49" s="493"/>
      <c r="SPQ49" s="493"/>
      <c r="SPR49" s="493"/>
      <c r="SPS49" s="493"/>
      <c r="SPT49" s="493"/>
      <c r="SPU49" s="493"/>
      <c r="SPV49" s="493"/>
      <c r="SPW49" s="493"/>
      <c r="SPX49" s="493"/>
      <c r="SPY49" s="493"/>
      <c r="SPZ49" s="493"/>
      <c r="SQA49" s="493"/>
      <c r="SQB49" s="493"/>
      <c r="SQC49" s="493"/>
      <c r="SQD49" s="493"/>
      <c r="SQE49" s="493"/>
      <c r="SQF49" s="493"/>
      <c r="SQG49" s="493"/>
      <c r="SQH49" s="493"/>
      <c r="SQI49" s="493"/>
      <c r="SQJ49" s="493"/>
      <c r="SQK49" s="493"/>
      <c r="SQL49" s="493"/>
      <c r="SQM49" s="493"/>
      <c r="SQN49" s="493"/>
      <c r="SQO49" s="493"/>
      <c r="SQP49" s="493"/>
      <c r="SQQ49" s="493"/>
      <c r="SQR49" s="493"/>
      <c r="SQS49" s="493"/>
      <c r="SQT49" s="493"/>
      <c r="SQU49" s="493"/>
      <c r="SQV49" s="493"/>
      <c r="SQW49" s="493"/>
      <c r="SQX49" s="493"/>
      <c r="SQY49" s="493"/>
      <c r="SQZ49" s="493"/>
      <c r="SRA49" s="493"/>
      <c r="SRB49" s="493"/>
      <c r="SRC49" s="493"/>
      <c r="SRD49" s="493"/>
      <c r="SRE49" s="493"/>
      <c r="SRF49" s="493"/>
      <c r="SRG49" s="493"/>
      <c r="SRH49" s="493"/>
      <c r="SRI49" s="493"/>
      <c r="SRJ49" s="493"/>
      <c r="SRK49" s="493"/>
      <c r="SRL49" s="493"/>
      <c r="SRM49" s="493"/>
      <c r="SRN49" s="493"/>
      <c r="SRO49" s="493"/>
      <c r="SRP49" s="493"/>
      <c r="SRQ49" s="493"/>
      <c r="SRR49" s="493"/>
      <c r="SRS49" s="493"/>
      <c r="SRT49" s="493"/>
      <c r="SRU49" s="493"/>
      <c r="SRV49" s="493"/>
      <c r="SRW49" s="493"/>
      <c r="SRX49" s="493"/>
      <c r="SRY49" s="493"/>
      <c r="SRZ49" s="493"/>
      <c r="SSA49" s="493"/>
      <c r="SSB49" s="493"/>
      <c r="SSC49" s="493"/>
      <c r="SSD49" s="493"/>
      <c r="SSE49" s="493"/>
      <c r="SSF49" s="493"/>
      <c r="SSG49" s="493"/>
      <c r="SSH49" s="493"/>
      <c r="SSI49" s="493"/>
      <c r="SSJ49" s="493"/>
      <c r="SSK49" s="493"/>
      <c r="SSL49" s="493"/>
      <c r="SSM49" s="493"/>
      <c r="SSN49" s="493"/>
      <c r="SSO49" s="493"/>
      <c r="SSP49" s="493"/>
      <c r="SSQ49" s="493"/>
      <c r="SSR49" s="493"/>
      <c r="SSS49" s="493"/>
      <c r="SST49" s="493"/>
      <c r="SSU49" s="493"/>
      <c r="SSV49" s="493"/>
      <c r="SSW49" s="493"/>
      <c r="SSX49" s="493"/>
      <c r="SSY49" s="493"/>
      <c r="SSZ49" s="493"/>
      <c r="STA49" s="493"/>
      <c r="STB49" s="493"/>
      <c r="STC49" s="493"/>
      <c r="STD49" s="493"/>
      <c r="STE49" s="493"/>
      <c r="STF49" s="493"/>
      <c r="STG49" s="493"/>
      <c r="STH49" s="493"/>
      <c r="STI49" s="493"/>
      <c r="STJ49" s="493"/>
      <c r="STK49" s="493"/>
      <c r="STL49" s="493"/>
      <c r="STM49" s="493"/>
      <c r="STN49" s="493"/>
      <c r="STO49" s="493"/>
      <c r="STP49" s="493"/>
      <c r="STQ49" s="493"/>
      <c r="STR49" s="493"/>
      <c r="STS49" s="493"/>
      <c r="STT49" s="493"/>
      <c r="STU49" s="493"/>
      <c r="STV49" s="493"/>
      <c r="STW49" s="493"/>
      <c r="STX49" s="493"/>
      <c r="STY49" s="493"/>
      <c r="STZ49" s="493"/>
      <c r="SUA49" s="493"/>
      <c r="SUB49" s="493"/>
      <c r="SUC49" s="493"/>
      <c r="SUD49" s="493"/>
      <c r="SUE49" s="493"/>
      <c r="SUF49" s="493"/>
      <c r="SUG49" s="493"/>
      <c r="SUH49" s="493"/>
      <c r="SUI49" s="493"/>
      <c r="SUJ49" s="493"/>
      <c r="SUK49" s="493"/>
      <c r="SUL49" s="493"/>
      <c r="SUM49" s="493"/>
      <c r="SUN49" s="493"/>
      <c r="SUO49" s="493"/>
      <c r="SUP49" s="493"/>
      <c r="SUQ49" s="493"/>
      <c r="SUR49" s="493"/>
      <c r="SUS49" s="493"/>
      <c r="SUT49" s="493"/>
      <c r="SUU49" s="493"/>
      <c r="SUV49" s="493"/>
      <c r="SUW49" s="493"/>
      <c r="SUX49" s="493"/>
      <c r="SUY49" s="493"/>
      <c r="SUZ49" s="493"/>
      <c r="SVA49" s="493"/>
      <c r="SVB49" s="493"/>
      <c r="SVC49" s="493"/>
      <c r="SVD49" s="493"/>
      <c r="SVE49" s="493"/>
      <c r="SVF49" s="493"/>
      <c r="SVG49" s="493"/>
      <c r="SVH49" s="493"/>
      <c r="SVI49" s="493"/>
      <c r="SVJ49" s="493"/>
      <c r="SVK49" s="493"/>
      <c r="SVL49" s="493"/>
      <c r="SVM49" s="493"/>
      <c r="SVN49" s="493"/>
      <c r="SVO49" s="493"/>
      <c r="SVP49" s="493"/>
      <c r="SVQ49" s="493"/>
      <c r="SVR49" s="493"/>
      <c r="SVS49" s="493"/>
      <c r="SVT49" s="493"/>
      <c r="SVU49" s="493"/>
      <c r="SVV49" s="493"/>
      <c r="SVW49" s="493"/>
      <c r="SVX49" s="493"/>
      <c r="SVY49" s="493"/>
      <c r="SVZ49" s="493"/>
      <c r="SWA49" s="493"/>
      <c r="SWB49" s="493"/>
      <c r="SWC49" s="493"/>
      <c r="SWD49" s="493"/>
      <c r="SWE49" s="493"/>
      <c r="SWF49" s="493"/>
      <c r="SWG49" s="493"/>
      <c r="SWH49" s="493"/>
      <c r="SWI49" s="493"/>
      <c r="SWJ49" s="493"/>
      <c r="SWK49" s="493"/>
      <c r="SWL49" s="493"/>
      <c r="SWM49" s="493"/>
      <c r="SWN49" s="493"/>
      <c r="SWO49" s="493"/>
      <c r="SWP49" s="493"/>
      <c r="SWQ49" s="493"/>
      <c r="SWR49" s="493"/>
      <c r="SWS49" s="493"/>
      <c r="SWT49" s="493"/>
      <c r="SWU49" s="493"/>
      <c r="SWV49" s="493"/>
      <c r="SWW49" s="493"/>
      <c r="SWX49" s="493"/>
      <c r="SWY49" s="493"/>
      <c r="SWZ49" s="493"/>
      <c r="SXA49" s="493"/>
      <c r="SXB49" s="493"/>
      <c r="SXC49" s="493"/>
      <c r="SXD49" s="493"/>
      <c r="SXE49" s="493"/>
      <c r="SXF49" s="493"/>
      <c r="SXG49" s="493"/>
      <c r="SXH49" s="493"/>
      <c r="SXI49" s="493"/>
      <c r="SXJ49" s="493"/>
      <c r="SXK49" s="493"/>
      <c r="SXL49" s="493"/>
      <c r="SXM49" s="493"/>
      <c r="SXN49" s="493"/>
      <c r="SXO49" s="493"/>
      <c r="SXP49" s="493"/>
      <c r="SXQ49" s="493"/>
      <c r="SXR49" s="493"/>
      <c r="SXS49" s="493"/>
      <c r="SXT49" s="493"/>
      <c r="SXU49" s="493"/>
      <c r="SXV49" s="493"/>
      <c r="SXW49" s="493"/>
      <c r="SXX49" s="493"/>
      <c r="SXY49" s="493"/>
      <c r="SXZ49" s="493"/>
      <c r="SYA49" s="493"/>
      <c r="SYB49" s="493"/>
      <c r="SYC49" s="493"/>
      <c r="SYD49" s="493"/>
      <c r="SYE49" s="493"/>
      <c r="SYF49" s="493"/>
      <c r="SYG49" s="493"/>
      <c r="SYH49" s="493"/>
      <c r="SYI49" s="493"/>
      <c r="SYJ49" s="493"/>
      <c r="SYK49" s="493"/>
      <c r="SYL49" s="493"/>
      <c r="SYM49" s="493"/>
      <c r="SYN49" s="493"/>
      <c r="SYO49" s="493"/>
      <c r="SYP49" s="493"/>
      <c r="SYQ49" s="493"/>
      <c r="SYR49" s="493"/>
      <c r="SYS49" s="493"/>
      <c r="SYT49" s="493"/>
      <c r="SYU49" s="493"/>
      <c r="SYV49" s="493"/>
      <c r="SYW49" s="493"/>
      <c r="SYX49" s="493"/>
      <c r="SYY49" s="493"/>
      <c r="SYZ49" s="493"/>
      <c r="SZA49" s="493"/>
      <c r="SZB49" s="493"/>
      <c r="SZC49" s="493"/>
      <c r="SZD49" s="493"/>
      <c r="SZE49" s="493"/>
      <c r="SZF49" s="493"/>
      <c r="SZG49" s="493"/>
      <c r="SZH49" s="493"/>
      <c r="SZI49" s="493"/>
      <c r="SZJ49" s="493"/>
      <c r="SZK49" s="493"/>
      <c r="SZL49" s="493"/>
      <c r="SZM49" s="493"/>
      <c r="SZN49" s="493"/>
      <c r="SZO49" s="493"/>
      <c r="SZP49" s="493"/>
      <c r="SZQ49" s="493"/>
      <c r="SZR49" s="493"/>
      <c r="SZS49" s="493"/>
      <c r="SZT49" s="493"/>
      <c r="SZU49" s="493"/>
      <c r="SZV49" s="493"/>
      <c r="SZW49" s="493"/>
      <c r="SZX49" s="493"/>
      <c r="SZY49" s="493"/>
      <c r="SZZ49" s="493"/>
      <c r="TAA49" s="493"/>
      <c r="TAB49" s="493"/>
      <c r="TAC49" s="493"/>
      <c r="TAD49" s="493"/>
      <c r="TAE49" s="493"/>
      <c r="TAF49" s="493"/>
      <c r="TAG49" s="493"/>
      <c r="TAH49" s="493"/>
      <c r="TAI49" s="493"/>
      <c r="TAJ49" s="493"/>
      <c r="TAK49" s="493"/>
      <c r="TAL49" s="493"/>
      <c r="TAM49" s="493"/>
      <c r="TAN49" s="493"/>
      <c r="TAO49" s="493"/>
      <c r="TAP49" s="493"/>
      <c r="TAQ49" s="493"/>
      <c r="TAR49" s="493"/>
      <c r="TAS49" s="493"/>
      <c r="TAT49" s="493"/>
      <c r="TAU49" s="493"/>
      <c r="TAV49" s="493"/>
      <c r="TAW49" s="493"/>
      <c r="TAX49" s="493"/>
      <c r="TAY49" s="493"/>
      <c r="TAZ49" s="493"/>
      <c r="TBA49" s="493"/>
      <c r="TBB49" s="493"/>
      <c r="TBC49" s="493"/>
      <c r="TBD49" s="493"/>
      <c r="TBE49" s="493"/>
      <c r="TBF49" s="493"/>
      <c r="TBG49" s="493"/>
      <c r="TBH49" s="493"/>
      <c r="TBI49" s="493"/>
      <c r="TBJ49" s="493"/>
      <c r="TBK49" s="493"/>
      <c r="TBL49" s="493"/>
      <c r="TBM49" s="493"/>
      <c r="TBN49" s="493"/>
      <c r="TBO49" s="493"/>
      <c r="TBP49" s="493"/>
      <c r="TBQ49" s="493"/>
      <c r="TBR49" s="493"/>
      <c r="TBS49" s="493"/>
      <c r="TBT49" s="493"/>
      <c r="TBU49" s="493"/>
      <c r="TBV49" s="493"/>
      <c r="TBW49" s="493"/>
      <c r="TBX49" s="493"/>
      <c r="TBY49" s="493"/>
      <c r="TBZ49" s="493"/>
      <c r="TCA49" s="493"/>
      <c r="TCB49" s="493"/>
      <c r="TCC49" s="493"/>
      <c r="TCD49" s="493"/>
      <c r="TCE49" s="493"/>
      <c r="TCF49" s="493"/>
      <c r="TCG49" s="493"/>
      <c r="TCH49" s="493"/>
      <c r="TCI49" s="493"/>
      <c r="TCJ49" s="493"/>
      <c r="TCK49" s="493"/>
      <c r="TCL49" s="493"/>
      <c r="TCM49" s="493"/>
      <c r="TCN49" s="493"/>
      <c r="TCO49" s="493"/>
      <c r="TCP49" s="493"/>
      <c r="TCQ49" s="493"/>
      <c r="TCR49" s="493"/>
      <c r="TCS49" s="493"/>
      <c r="TCT49" s="493"/>
      <c r="TCU49" s="493"/>
      <c r="TCV49" s="493"/>
      <c r="TCW49" s="493"/>
      <c r="TCX49" s="493"/>
      <c r="TCY49" s="493"/>
      <c r="TCZ49" s="493"/>
      <c r="TDA49" s="493"/>
      <c r="TDB49" s="493"/>
      <c r="TDC49" s="493"/>
      <c r="TDD49" s="493"/>
      <c r="TDE49" s="493"/>
      <c r="TDF49" s="493"/>
      <c r="TDG49" s="493"/>
      <c r="TDH49" s="493"/>
      <c r="TDI49" s="493"/>
      <c r="TDJ49" s="493"/>
      <c r="TDK49" s="493"/>
      <c r="TDL49" s="493"/>
      <c r="TDM49" s="493"/>
      <c r="TDN49" s="493"/>
      <c r="TDO49" s="493"/>
      <c r="TDP49" s="493"/>
      <c r="TDQ49" s="493"/>
      <c r="TDR49" s="493"/>
      <c r="TDS49" s="493"/>
      <c r="TDT49" s="493"/>
      <c r="TDU49" s="493"/>
      <c r="TDV49" s="493"/>
      <c r="TDW49" s="493"/>
      <c r="TDX49" s="493"/>
      <c r="TDY49" s="493"/>
      <c r="TDZ49" s="493"/>
      <c r="TEA49" s="493"/>
      <c r="TEB49" s="493"/>
      <c r="TEC49" s="493"/>
      <c r="TED49" s="493"/>
      <c r="TEE49" s="493"/>
      <c r="TEF49" s="493"/>
      <c r="TEG49" s="493"/>
      <c r="TEH49" s="493"/>
      <c r="TEI49" s="493"/>
      <c r="TEJ49" s="493"/>
      <c r="TEK49" s="493"/>
      <c r="TEL49" s="493"/>
      <c r="TEM49" s="493"/>
      <c r="TEN49" s="493"/>
      <c r="TEO49" s="493"/>
      <c r="TEP49" s="493"/>
      <c r="TEQ49" s="493"/>
      <c r="TER49" s="493"/>
      <c r="TES49" s="493"/>
      <c r="TET49" s="493"/>
      <c r="TEU49" s="493"/>
      <c r="TEV49" s="493"/>
      <c r="TEW49" s="493"/>
      <c r="TEX49" s="493"/>
      <c r="TEY49" s="493"/>
      <c r="TEZ49" s="493"/>
      <c r="TFA49" s="493"/>
      <c r="TFB49" s="493"/>
      <c r="TFC49" s="493"/>
      <c r="TFD49" s="493"/>
      <c r="TFE49" s="493"/>
      <c r="TFF49" s="493"/>
      <c r="TFG49" s="493"/>
      <c r="TFH49" s="493"/>
      <c r="TFI49" s="493"/>
      <c r="TFJ49" s="493"/>
      <c r="TFK49" s="493"/>
      <c r="TFL49" s="493"/>
      <c r="TFM49" s="493"/>
      <c r="TFN49" s="493"/>
      <c r="TFO49" s="493"/>
      <c r="TFP49" s="493"/>
      <c r="TFQ49" s="493"/>
      <c r="TFR49" s="493"/>
      <c r="TFS49" s="493"/>
      <c r="TFT49" s="493"/>
      <c r="TFU49" s="493"/>
      <c r="TFV49" s="493"/>
      <c r="TFW49" s="493"/>
      <c r="TFX49" s="493"/>
      <c r="TFY49" s="493"/>
      <c r="TFZ49" s="493"/>
      <c r="TGA49" s="493"/>
      <c r="TGB49" s="493"/>
      <c r="TGC49" s="493"/>
      <c r="TGD49" s="493"/>
      <c r="TGE49" s="493"/>
      <c r="TGF49" s="493"/>
      <c r="TGG49" s="493"/>
      <c r="TGH49" s="493"/>
      <c r="TGI49" s="493"/>
      <c r="TGJ49" s="493"/>
      <c r="TGK49" s="493"/>
      <c r="TGL49" s="493"/>
      <c r="TGM49" s="493"/>
      <c r="TGN49" s="493"/>
      <c r="TGO49" s="493"/>
      <c r="TGP49" s="493"/>
      <c r="TGQ49" s="493"/>
      <c r="TGR49" s="493"/>
      <c r="TGS49" s="493"/>
      <c r="TGT49" s="493"/>
      <c r="TGU49" s="493"/>
      <c r="TGV49" s="493"/>
      <c r="TGW49" s="493"/>
      <c r="TGX49" s="493"/>
      <c r="TGY49" s="493"/>
      <c r="TGZ49" s="493"/>
      <c r="THA49" s="493"/>
      <c r="THB49" s="493"/>
      <c r="THC49" s="493"/>
      <c r="THD49" s="493"/>
      <c r="THE49" s="493"/>
      <c r="THF49" s="493"/>
      <c r="THG49" s="493"/>
      <c r="THH49" s="493"/>
      <c r="THI49" s="493"/>
      <c r="THJ49" s="493"/>
      <c r="THK49" s="493"/>
      <c r="THL49" s="493"/>
      <c r="THM49" s="493"/>
      <c r="THN49" s="493"/>
      <c r="THO49" s="493"/>
      <c r="THP49" s="493"/>
      <c r="THQ49" s="493"/>
      <c r="THR49" s="493"/>
      <c r="THS49" s="493"/>
      <c r="THT49" s="493"/>
      <c r="THU49" s="493"/>
      <c r="THV49" s="493"/>
      <c r="THW49" s="493"/>
      <c r="THX49" s="493"/>
      <c r="THY49" s="493"/>
      <c r="THZ49" s="493"/>
      <c r="TIA49" s="493"/>
      <c r="TIB49" s="493"/>
      <c r="TIC49" s="493"/>
      <c r="TID49" s="493"/>
      <c r="TIE49" s="493"/>
      <c r="TIF49" s="493"/>
      <c r="TIG49" s="493"/>
      <c r="TIH49" s="493"/>
      <c r="TII49" s="493"/>
      <c r="TIJ49" s="493"/>
      <c r="TIK49" s="493"/>
      <c r="TIL49" s="493"/>
      <c r="TIM49" s="493"/>
      <c r="TIN49" s="493"/>
      <c r="TIO49" s="493"/>
      <c r="TIP49" s="493"/>
      <c r="TIQ49" s="493"/>
      <c r="TIR49" s="493"/>
      <c r="TIS49" s="493"/>
      <c r="TIT49" s="493"/>
      <c r="TIU49" s="493"/>
      <c r="TIV49" s="493"/>
      <c r="TIW49" s="493"/>
      <c r="TIX49" s="493"/>
      <c r="TIY49" s="493"/>
      <c r="TIZ49" s="493"/>
      <c r="TJA49" s="493"/>
      <c r="TJB49" s="493"/>
      <c r="TJC49" s="493"/>
      <c r="TJD49" s="493"/>
      <c r="TJE49" s="493"/>
      <c r="TJF49" s="493"/>
      <c r="TJG49" s="493"/>
      <c r="TJH49" s="493"/>
      <c r="TJI49" s="493"/>
      <c r="TJJ49" s="493"/>
      <c r="TJK49" s="493"/>
      <c r="TJL49" s="493"/>
      <c r="TJM49" s="493"/>
      <c r="TJN49" s="493"/>
      <c r="TJO49" s="493"/>
      <c r="TJP49" s="493"/>
      <c r="TJQ49" s="493"/>
      <c r="TJR49" s="493"/>
      <c r="TJS49" s="493"/>
      <c r="TJT49" s="493"/>
      <c r="TJU49" s="493"/>
      <c r="TJV49" s="493"/>
      <c r="TJW49" s="493"/>
      <c r="TJX49" s="493"/>
      <c r="TJY49" s="493"/>
      <c r="TJZ49" s="493"/>
      <c r="TKA49" s="493"/>
      <c r="TKB49" s="493"/>
      <c r="TKC49" s="493"/>
      <c r="TKD49" s="493"/>
      <c r="TKE49" s="493"/>
      <c r="TKF49" s="493"/>
      <c r="TKG49" s="493"/>
      <c r="TKH49" s="493"/>
      <c r="TKI49" s="493"/>
      <c r="TKJ49" s="493"/>
      <c r="TKK49" s="493"/>
      <c r="TKL49" s="493"/>
      <c r="TKM49" s="493"/>
      <c r="TKN49" s="493"/>
      <c r="TKO49" s="493"/>
      <c r="TKP49" s="493"/>
      <c r="TKQ49" s="493"/>
      <c r="TKR49" s="493"/>
      <c r="TKS49" s="493"/>
      <c r="TKT49" s="493"/>
      <c r="TKU49" s="493"/>
      <c r="TKV49" s="493"/>
      <c r="TKW49" s="493"/>
      <c r="TKX49" s="493"/>
      <c r="TKY49" s="493"/>
      <c r="TKZ49" s="493"/>
      <c r="TLA49" s="493"/>
      <c r="TLB49" s="493"/>
      <c r="TLC49" s="493"/>
      <c r="TLD49" s="493"/>
      <c r="TLE49" s="493"/>
      <c r="TLF49" s="493"/>
      <c r="TLG49" s="493"/>
      <c r="TLH49" s="493"/>
      <c r="TLI49" s="493"/>
      <c r="TLJ49" s="493"/>
      <c r="TLK49" s="493"/>
      <c r="TLL49" s="493"/>
      <c r="TLM49" s="493"/>
      <c r="TLN49" s="493"/>
      <c r="TLO49" s="493"/>
      <c r="TLP49" s="493"/>
      <c r="TLQ49" s="493"/>
      <c r="TLR49" s="493"/>
      <c r="TLS49" s="493"/>
      <c r="TLT49" s="493"/>
      <c r="TLU49" s="493"/>
      <c r="TLV49" s="493"/>
      <c r="TLW49" s="493"/>
      <c r="TLX49" s="493"/>
      <c r="TLY49" s="493"/>
      <c r="TLZ49" s="493"/>
      <c r="TMA49" s="493"/>
      <c r="TMB49" s="493"/>
      <c r="TMC49" s="493"/>
      <c r="TMD49" s="493"/>
      <c r="TME49" s="493"/>
      <c r="TMF49" s="493"/>
      <c r="TMG49" s="493"/>
      <c r="TMH49" s="493"/>
      <c r="TMI49" s="493"/>
      <c r="TMJ49" s="493"/>
      <c r="TMK49" s="493"/>
      <c r="TML49" s="493"/>
      <c r="TMM49" s="493"/>
      <c r="TMN49" s="493"/>
      <c r="TMO49" s="493"/>
      <c r="TMP49" s="493"/>
      <c r="TMQ49" s="493"/>
      <c r="TMR49" s="493"/>
      <c r="TMS49" s="493"/>
      <c r="TMT49" s="493"/>
      <c r="TMU49" s="493"/>
      <c r="TMV49" s="493"/>
      <c r="TMW49" s="493"/>
      <c r="TMX49" s="493"/>
      <c r="TMY49" s="493"/>
      <c r="TMZ49" s="493"/>
      <c r="TNA49" s="493"/>
      <c r="TNB49" s="493"/>
      <c r="TNC49" s="493"/>
      <c r="TND49" s="493"/>
      <c r="TNE49" s="493"/>
      <c r="TNF49" s="493"/>
      <c r="TNG49" s="493"/>
      <c r="TNH49" s="493"/>
      <c r="TNI49" s="493"/>
      <c r="TNJ49" s="493"/>
      <c r="TNK49" s="493"/>
      <c r="TNL49" s="493"/>
      <c r="TNM49" s="493"/>
      <c r="TNN49" s="493"/>
      <c r="TNO49" s="493"/>
      <c r="TNP49" s="493"/>
      <c r="TNQ49" s="493"/>
      <c r="TNR49" s="493"/>
      <c r="TNS49" s="493"/>
      <c r="TNT49" s="493"/>
      <c r="TNU49" s="493"/>
      <c r="TNV49" s="493"/>
      <c r="TNW49" s="493"/>
      <c r="TNX49" s="493"/>
      <c r="TNY49" s="493"/>
      <c r="TNZ49" s="493"/>
      <c r="TOA49" s="493"/>
      <c r="TOB49" s="493"/>
      <c r="TOC49" s="493"/>
      <c r="TOD49" s="493"/>
      <c r="TOE49" s="493"/>
      <c r="TOF49" s="493"/>
      <c r="TOG49" s="493"/>
      <c r="TOH49" s="493"/>
      <c r="TOI49" s="493"/>
      <c r="TOJ49" s="493"/>
      <c r="TOK49" s="493"/>
      <c r="TOL49" s="493"/>
      <c r="TOM49" s="493"/>
      <c r="TON49" s="493"/>
      <c r="TOO49" s="493"/>
      <c r="TOP49" s="493"/>
      <c r="TOQ49" s="493"/>
      <c r="TOR49" s="493"/>
      <c r="TOS49" s="493"/>
      <c r="TOT49" s="493"/>
      <c r="TOU49" s="493"/>
      <c r="TOV49" s="493"/>
      <c r="TOW49" s="493"/>
      <c r="TOX49" s="493"/>
      <c r="TOY49" s="493"/>
      <c r="TOZ49" s="493"/>
      <c r="TPA49" s="493"/>
      <c r="TPB49" s="493"/>
      <c r="TPC49" s="493"/>
      <c r="TPD49" s="493"/>
      <c r="TPE49" s="493"/>
      <c r="TPF49" s="493"/>
      <c r="TPG49" s="493"/>
      <c r="TPH49" s="493"/>
      <c r="TPI49" s="493"/>
      <c r="TPJ49" s="493"/>
      <c r="TPK49" s="493"/>
      <c r="TPL49" s="493"/>
      <c r="TPM49" s="493"/>
      <c r="TPN49" s="493"/>
      <c r="TPO49" s="493"/>
      <c r="TPP49" s="493"/>
      <c r="TPQ49" s="493"/>
      <c r="TPR49" s="493"/>
      <c r="TPS49" s="493"/>
      <c r="TPT49" s="493"/>
      <c r="TPU49" s="493"/>
      <c r="TPV49" s="493"/>
      <c r="TPW49" s="493"/>
      <c r="TPX49" s="493"/>
      <c r="TPY49" s="493"/>
      <c r="TPZ49" s="493"/>
      <c r="TQA49" s="493"/>
      <c r="TQB49" s="493"/>
      <c r="TQC49" s="493"/>
      <c r="TQD49" s="493"/>
      <c r="TQE49" s="493"/>
      <c r="TQF49" s="493"/>
      <c r="TQG49" s="493"/>
      <c r="TQH49" s="493"/>
      <c r="TQI49" s="493"/>
      <c r="TQJ49" s="493"/>
      <c r="TQK49" s="493"/>
      <c r="TQL49" s="493"/>
      <c r="TQM49" s="493"/>
      <c r="TQN49" s="493"/>
      <c r="TQO49" s="493"/>
      <c r="TQP49" s="493"/>
      <c r="TQQ49" s="493"/>
      <c r="TQR49" s="493"/>
      <c r="TQS49" s="493"/>
      <c r="TQT49" s="493"/>
      <c r="TQU49" s="493"/>
      <c r="TQV49" s="493"/>
      <c r="TQW49" s="493"/>
      <c r="TQX49" s="493"/>
      <c r="TQY49" s="493"/>
      <c r="TQZ49" s="493"/>
      <c r="TRA49" s="493"/>
      <c r="TRB49" s="493"/>
      <c r="TRC49" s="493"/>
      <c r="TRD49" s="493"/>
      <c r="TRE49" s="493"/>
      <c r="TRF49" s="493"/>
      <c r="TRG49" s="493"/>
      <c r="TRH49" s="493"/>
      <c r="TRI49" s="493"/>
      <c r="TRJ49" s="493"/>
      <c r="TRK49" s="493"/>
      <c r="TRL49" s="493"/>
      <c r="TRM49" s="493"/>
      <c r="TRN49" s="493"/>
      <c r="TRO49" s="493"/>
      <c r="TRP49" s="493"/>
      <c r="TRQ49" s="493"/>
      <c r="TRR49" s="493"/>
      <c r="TRS49" s="493"/>
      <c r="TRT49" s="493"/>
      <c r="TRU49" s="493"/>
      <c r="TRV49" s="493"/>
      <c r="TRW49" s="493"/>
      <c r="TRX49" s="493"/>
      <c r="TRY49" s="493"/>
      <c r="TRZ49" s="493"/>
      <c r="TSA49" s="493"/>
      <c r="TSB49" s="493"/>
      <c r="TSC49" s="493"/>
      <c r="TSD49" s="493"/>
      <c r="TSE49" s="493"/>
      <c r="TSF49" s="493"/>
      <c r="TSG49" s="493"/>
      <c r="TSH49" s="493"/>
      <c r="TSI49" s="493"/>
      <c r="TSJ49" s="493"/>
      <c r="TSK49" s="493"/>
      <c r="TSL49" s="493"/>
      <c r="TSM49" s="493"/>
      <c r="TSN49" s="493"/>
      <c r="TSO49" s="493"/>
      <c r="TSP49" s="493"/>
      <c r="TSQ49" s="493"/>
      <c r="TSR49" s="493"/>
      <c r="TSS49" s="493"/>
      <c r="TST49" s="493"/>
      <c r="TSU49" s="493"/>
      <c r="TSV49" s="493"/>
      <c r="TSW49" s="493"/>
      <c r="TSX49" s="493"/>
      <c r="TSY49" s="493"/>
      <c r="TSZ49" s="493"/>
      <c r="TTA49" s="493"/>
      <c r="TTB49" s="493"/>
      <c r="TTC49" s="493"/>
      <c r="TTD49" s="493"/>
      <c r="TTE49" s="493"/>
      <c r="TTF49" s="493"/>
      <c r="TTG49" s="493"/>
      <c r="TTH49" s="493"/>
      <c r="TTI49" s="493"/>
      <c r="TTJ49" s="493"/>
      <c r="TTK49" s="493"/>
      <c r="TTL49" s="493"/>
      <c r="TTM49" s="493"/>
      <c r="TTN49" s="493"/>
      <c r="TTO49" s="493"/>
      <c r="TTP49" s="493"/>
      <c r="TTQ49" s="493"/>
      <c r="TTR49" s="493"/>
      <c r="TTS49" s="493"/>
      <c r="TTT49" s="493"/>
      <c r="TTU49" s="493"/>
      <c r="TTV49" s="493"/>
      <c r="TTW49" s="493"/>
      <c r="TTX49" s="493"/>
      <c r="TTY49" s="493"/>
      <c r="TTZ49" s="493"/>
      <c r="TUA49" s="493"/>
      <c r="TUB49" s="493"/>
      <c r="TUC49" s="493"/>
      <c r="TUD49" s="493"/>
      <c r="TUE49" s="493"/>
      <c r="TUF49" s="493"/>
      <c r="TUG49" s="493"/>
      <c r="TUH49" s="493"/>
      <c r="TUI49" s="493"/>
      <c r="TUJ49" s="493"/>
      <c r="TUK49" s="493"/>
      <c r="TUL49" s="493"/>
      <c r="TUM49" s="493"/>
      <c r="TUN49" s="493"/>
      <c r="TUO49" s="493"/>
      <c r="TUP49" s="493"/>
      <c r="TUQ49" s="493"/>
      <c r="TUR49" s="493"/>
      <c r="TUS49" s="493"/>
      <c r="TUT49" s="493"/>
      <c r="TUU49" s="493"/>
      <c r="TUV49" s="493"/>
      <c r="TUW49" s="493"/>
      <c r="TUX49" s="493"/>
      <c r="TUY49" s="493"/>
      <c r="TUZ49" s="493"/>
      <c r="TVA49" s="493"/>
      <c r="TVB49" s="493"/>
      <c r="TVC49" s="493"/>
      <c r="TVD49" s="493"/>
      <c r="TVE49" s="493"/>
      <c r="TVF49" s="493"/>
      <c r="TVG49" s="493"/>
      <c r="TVH49" s="493"/>
      <c r="TVI49" s="493"/>
      <c r="TVJ49" s="493"/>
      <c r="TVK49" s="493"/>
      <c r="TVL49" s="493"/>
      <c r="TVM49" s="493"/>
      <c r="TVN49" s="493"/>
      <c r="TVO49" s="493"/>
      <c r="TVP49" s="493"/>
      <c r="TVQ49" s="493"/>
      <c r="TVR49" s="493"/>
      <c r="TVS49" s="493"/>
      <c r="TVT49" s="493"/>
      <c r="TVU49" s="493"/>
      <c r="TVV49" s="493"/>
      <c r="TVW49" s="493"/>
      <c r="TVX49" s="493"/>
      <c r="TVY49" s="493"/>
      <c r="TVZ49" s="493"/>
      <c r="TWA49" s="493"/>
      <c r="TWB49" s="493"/>
      <c r="TWC49" s="493"/>
      <c r="TWD49" s="493"/>
      <c r="TWE49" s="493"/>
      <c r="TWF49" s="493"/>
      <c r="TWG49" s="493"/>
      <c r="TWH49" s="493"/>
      <c r="TWI49" s="493"/>
      <c r="TWJ49" s="493"/>
      <c r="TWK49" s="493"/>
      <c r="TWL49" s="493"/>
      <c r="TWM49" s="493"/>
      <c r="TWN49" s="493"/>
      <c r="TWO49" s="493"/>
      <c r="TWP49" s="493"/>
      <c r="TWQ49" s="493"/>
      <c r="TWR49" s="493"/>
      <c r="TWS49" s="493"/>
      <c r="TWT49" s="493"/>
      <c r="TWU49" s="493"/>
      <c r="TWV49" s="493"/>
      <c r="TWW49" s="493"/>
      <c r="TWX49" s="493"/>
      <c r="TWY49" s="493"/>
      <c r="TWZ49" s="493"/>
      <c r="TXA49" s="493"/>
      <c r="TXB49" s="493"/>
      <c r="TXC49" s="493"/>
      <c r="TXD49" s="493"/>
      <c r="TXE49" s="493"/>
      <c r="TXF49" s="493"/>
      <c r="TXG49" s="493"/>
      <c r="TXH49" s="493"/>
      <c r="TXI49" s="493"/>
      <c r="TXJ49" s="493"/>
      <c r="TXK49" s="493"/>
      <c r="TXL49" s="493"/>
      <c r="TXM49" s="493"/>
      <c r="TXN49" s="493"/>
      <c r="TXO49" s="493"/>
      <c r="TXP49" s="493"/>
      <c r="TXQ49" s="493"/>
      <c r="TXR49" s="493"/>
      <c r="TXS49" s="493"/>
      <c r="TXT49" s="493"/>
      <c r="TXU49" s="493"/>
      <c r="TXV49" s="493"/>
      <c r="TXW49" s="493"/>
      <c r="TXX49" s="493"/>
      <c r="TXY49" s="493"/>
      <c r="TXZ49" s="493"/>
      <c r="TYA49" s="493"/>
      <c r="TYB49" s="493"/>
      <c r="TYC49" s="493"/>
      <c r="TYD49" s="493"/>
      <c r="TYE49" s="493"/>
      <c r="TYF49" s="493"/>
      <c r="TYG49" s="493"/>
      <c r="TYH49" s="493"/>
      <c r="TYI49" s="493"/>
      <c r="TYJ49" s="493"/>
      <c r="TYK49" s="493"/>
      <c r="TYL49" s="493"/>
      <c r="TYM49" s="493"/>
      <c r="TYN49" s="493"/>
      <c r="TYO49" s="493"/>
      <c r="TYP49" s="493"/>
      <c r="TYQ49" s="493"/>
      <c r="TYR49" s="493"/>
      <c r="TYS49" s="493"/>
      <c r="TYT49" s="493"/>
      <c r="TYU49" s="493"/>
      <c r="TYV49" s="493"/>
      <c r="TYW49" s="493"/>
      <c r="TYX49" s="493"/>
      <c r="TYY49" s="493"/>
      <c r="TYZ49" s="493"/>
      <c r="TZA49" s="493"/>
      <c r="TZB49" s="493"/>
      <c r="TZC49" s="493"/>
      <c r="TZD49" s="493"/>
      <c r="TZE49" s="493"/>
      <c r="TZF49" s="493"/>
      <c r="TZG49" s="493"/>
      <c r="TZH49" s="493"/>
      <c r="TZI49" s="493"/>
      <c r="TZJ49" s="493"/>
      <c r="TZK49" s="493"/>
      <c r="TZL49" s="493"/>
      <c r="TZM49" s="493"/>
      <c r="TZN49" s="493"/>
      <c r="TZO49" s="493"/>
      <c r="TZP49" s="493"/>
      <c r="TZQ49" s="493"/>
      <c r="TZR49" s="493"/>
      <c r="TZS49" s="493"/>
      <c r="TZT49" s="493"/>
      <c r="TZU49" s="493"/>
      <c r="TZV49" s="493"/>
      <c r="TZW49" s="493"/>
      <c r="TZX49" s="493"/>
      <c r="TZY49" s="493"/>
      <c r="TZZ49" s="493"/>
      <c r="UAA49" s="493"/>
      <c r="UAB49" s="493"/>
      <c r="UAC49" s="493"/>
      <c r="UAD49" s="493"/>
      <c r="UAE49" s="493"/>
      <c r="UAF49" s="493"/>
      <c r="UAG49" s="493"/>
      <c r="UAH49" s="493"/>
      <c r="UAI49" s="493"/>
      <c r="UAJ49" s="493"/>
      <c r="UAK49" s="493"/>
      <c r="UAL49" s="493"/>
      <c r="UAM49" s="493"/>
      <c r="UAN49" s="493"/>
      <c r="UAO49" s="493"/>
      <c r="UAP49" s="493"/>
      <c r="UAQ49" s="493"/>
      <c r="UAR49" s="493"/>
      <c r="UAS49" s="493"/>
      <c r="UAT49" s="493"/>
      <c r="UAU49" s="493"/>
      <c r="UAV49" s="493"/>
      <c r="UAW49" s="493"/>
      <c r="UAX49" s="493"/>
      <c r="UAY49" s="493"/>
      <c r="UAZ49" s="493"/>
      <c r="UBA49" s="493"/>
      <c r="UBB49" s="493"/>
      <c r="UBC49" s="493"/>
      <c r="UBD49" s="493"/>
      <c r="UBE49" s="493"/>
      <c r="UBF49" s="493"/>
      <c r="UBG49" s="493"/>
      <c r="UBH49" s="493"/>
      <c r="UBI49" s="493"/>
      <c r="UBJ49" s="493"/>
      <c r="UBK49" s="493"/>
      <c r="UBL49" s="493"/>
      <c r="UBM49" s="493"/>
      <c r="UBN49" s="493"/>
      <c r="UBO49" s="493"/>
      <c r="UBP49" s="493"/>
      <c r="UBQ49" s="493"/>
      <c r="UBR49" s="493"/>
      <c r="UBS49" s="493"/>
      <c r="UBT49" s="493"/>
      <c r="UBU49" s="493"/>
      <c r="UBV49" s="493"/>
      <c r="UBW49" s="493"/>
      <c r="UBX49" s="493"/>
      <c r="UBY49" s="493"/>
      <c r="UBZ49" s="493"/>
      <c r="UCA49" s="493"/>
      <c r="UCB49" s="493"/>
      <c r="UCC49" s="493"/>
      <c r="UCD49" s="493"/>
      <c r="UCE49" s="493"/>
      <c r="UCF49" s="493"/>
      <c r="UCG49" s="493"/>
      <c r="UCH49" s="493"/>
      <c r="UCI49" s="493"/>
      <c r="UCJ49" s="493"/>
      <c r="UCK49" s="493"/>
      <c r="UCL49" s="493"/>
      <c r="UCM49" s="493"/>
      <c r="UCN49" s="493"/>
      <c r="UCO49" s="493"/>
      <c r="UCP49" s="493"/>
      <c r="UCQ49" s="493"/>
      <c r="UCR49" s="493"/>
      <c r="UCS49" s="493"/>
      <c r="UCT49" s="493"/>
      <c r="UCU49" s="493"/>
      <c r="UCV49" s="493"/>
      <c r="UCW49" s="493"/>
      <c r="UCX49" s="493"/>
      <c r="UCY49" s="493"/>
      <c r="UCZ49" s="493"/>
      <c r="UDA49" s="493"/>
      <c r="UDB49" s="493"/>
      <c r="UDC49" s="493"/>
      <c r="UDD49" s="493"/>
      <c r="UDE49" s="493"/>
      <c r="UDF49" s="493"/>
      <c r="UDG49" s="493"/>
      <c r="UDH49" s="493"/>
      <c r="UDI49" s="493"/>
      <c r="UDJ49" s="493"/>
      <c r="UDK49" s="493"/>
      <c r="UDL49" s="493"/>
      <c r="UDM49" s="493"/>
      <c r="UDN49" s="493"/>
      <c r="UDO49" s="493"/>
      <c r="UDP49" s="493"/>
      <c r="UDQ49" s="493"/>
      <c r="UDR49" s="493"/>
      <c r="UDS49" s="493"/>
      <c r="UDT49" s="493"/>
      <c r="UDU49" s="493"/>
      <c r="UDV49" s="493"/>
      <c r="UDW49" s="493"/>
      <c r="UDX49" s="493"/>
      <c r="UDY49" s="493"/>
      <c r="UDZ49" s="493"/>
      <c r="UEA49" s="493"/>
      <c r="UEB49" s="493"/>
      <c r="UEC49" s="493"/>
      <c r="UED49" s="493"/>
      <c r="UEE49" s="493"/>
      <c r="UEF49" s="493"/>
      <c r="UEG49" s="493"/>
      <c r="UEH49" s="493"/>
      <c r="UEI49" s="493"/>
      <c r="UEJ49" s="493"/>
      <c r="UEK49" s="493"/>
      <c r="UEL49" s="493"/>
      <c r="UEM49" s="493"/>
      <c r="UEN49" s="493"/>
      <c r="UEO49" s="493"/>
      <c r="UEP49" s="493"/>
      <c r="UEQ49" s="493"/>
      <c r="UER49" s="493"/>
      <c r="UES49" s="493"/>
      <c r="UET49" s="493"/>
      <c r="UEU49" s="493"/>
      <c r="UEV49" s="493"/>
      <c r="UEW49" s="493"/>
      <c r="UEX49" s="493"/>
      <c r="UEY49" s="493"/>
      <c r="UEZ49" s="493"/>
      <c r="UFA49" s="493"/>
      <c r="UFB49" s="493"/>
      <c r="UFC49" s="493"/>
      <c r="UFD49" s="493"/>
      <c r="UFE49" s="493"/>
      <c r="UFF49" s="493"/>
      <c r="UFG49" s="493"/>
      <c r="UFH49" s="493"/>
      <c r="UFI49" s="493"/>
      <c r="UFJ49" s="493"/>
      <c r="UFK49" s="493"/>
      <c r="UFL49" s="493"/>
      <c r="UFM49" s="493"/>
      <c r="UFN49" s="493"/>
      <c r="UFO49" s="493"/>
      <c r="UFP49" s="493"/>
      <c r="UFQ49" s="493"/>
      <c r="UFR49" s="493"/>
      <c r="UFS49" s="493"/>
      <c r="UFT49" s="493"/>
      <c r="UFU49" s="493"/>
      <c r="UFV49" s="493"/>
      <c r="UFW49" s="493"/>
      <c r="UFX49" s="493"/>
      <c r="UFY49" s="493"/>
      <c r="UFZ49" s="493"/>
      <c r="UGA49" s="493"/>
      <c r="UGB49" s="493"/>
      <c r="UGC49" s="493"/>
      <c r="UGD49" s="493"/>
      <c r="UGE49" s="493"/>
      <c r="UGF49" s="493"/>
      <c r="UGG49" s="493"/>
      <c r="UGH49" s="493"/>
      <c r="UGI49" s="493"/>
      <c r="UGJ49" s="493"/>
      <c r="UGK49" s="493"/>
      <c r="UGL49" s="493"/>
      <c r="UGM49" s="493"/>
      <c r="UGN49" s="493"/>
      <c r="UGO49" s="493"/>
      <c r="UGP49" s="493"/>
      <c r="UGQ49" s="493"/>
      <c r="UGR49" s="493"/>
      <c r="UGS49" s="493"/>
      <c r="UGT49" s="493"/>
      <c r="UGU49" s="493"/>
      <c r="UGV49" s="493"/>
      <c r="UGW49" s="493"/>
      <c r="UGX49" s="493"/>
      <c r="UGY49" s="493"/>
      <c r="UGZ49" s="493"/>
      <c r="UHA49" s="493"/>
      <c r="UHB49" s="493"/>
      <c r="UHC49" s="493"/>
      <c r="UHD49" s="493"/>
      <c r="UHE49" s="493"/>
      <c r="UHF49" s="493"/>
      <c r="UHG49" s="493"/>
      <c r="UHH49" s="493"/>
      <c r="UHI49" s="493"/>
      <c r="UHJ49" s="493"/>
      <c r="UHK49" s="493"/>
      <c r="UHL49" s="493"/>
      <c r="UHM49" s="493"/>
      <c r="UHN49" s="493"/>
      <c r="UHO49" s="493"/>
      <c r="UHP49" s="493"/>
      <c r="UHQ49" s="493"/>
      <c r="UHR49" s="493"/>
      <c r="UHS49" s="493"/>
      <c r="UHT49" s="493"/>
      <c r="UHU49" s="493"/>
      <c r="UHV49" s="493"/>
      <c r="UHW49" s="493"/>
      <c r="UHX49" s="493"/>
      <c r="UHY49" s="493"/>
      <c r="UHZ49" s="493"/>
      <c r="UIA49" s="493"/>
      <c r="UIB49" s="493"/>
      <c r="UIC49" s="493"/>
      <c r="UID49" s="493"/>
      <c r="UIE49" s="493"/>
      <c r="UIF49" s="493"/>
      <c r="UIG49" s="493"/>
      <c r="UIH49" s="493"/>
      <c r="UII49" s="493"/>
      <c r="UIJ49" s="493"/>
      <c r="UIK49" s="493"/>
      <c r="UIL49" s="493"/>
      <c r="UIM49" s="493"/>
      <c r="UIN49" s="493"/>
      <c r="UIO49" s="493"/>
      <c r="UIP49" s="493"/>
      <c r="UIQ49" s="493"/>
      <c r="UIR49" s="493"/>
      <c r="UIS49" s="493"/>
      <c r="UIT49" s="493"/>
      <c r="UIU49" s="493"/>
      <c r="UIV49" s="493"/>
      <c r="UIW49" s="493"/>
      <c r="UIX49" s="493"/>
      <c r="UIY49" s="493"/>
      <c r="UIZ49" s="493"/>
      <c r="UJA49" s="493"/>
      <c r="UJB49" s="493"/>
      <c r="UJC49" s="493"/>
      <c r="UJD49" s="493"/>
      <c r="UJE49" s="493"/>
      <c r="UJF49" s="493"/>
      <c r="UJG49" s="493"/>
      <c r="UJH49" s="493"/>
      <c r="UJI49" s="493"/>
      <c r="UJJ49" s="493"/>
      <c r="UJK49" s="493"/>
      <c r="UJL49" s="493"/>
      <c r="UJM49" s="493"/>
      <c r="UJN49" s="493"/>
      <c r="UJO49" s="493"/>
      <c r="UJP49" s="493"/>
      <c r="UJQ49" s="493"/>
      <c r="UJR49" s="493"/>
      <c r="UJS49" s="493"/>
      <c r="UJT49" s="493"/>
      <c r="UJU49" s="493"/>
      <c r="UJV49" s="493"/>
      <c r="UJW49" s="493"/>
      <c r="UJX49" s="493"/>
      <c r="UJY49" s="493"/>
      <c r="UJZ49" s="493"/>
      <c r="UKA49" s="493"/>
      <c r="UKB49" s="493"/>
      <c r="UKC49" s="493"/>
      <c r="UKD49" s="493"/>
      <c r="UKE49" s="493"/>
      <c r="UKF49" s="493"/>
      <c r="UKG49" s="493"/>
      <c r="UKH49" s="493"/>
      <c r="UKI49" s="493"/>
      <c r="UKJ49" s="493"/>
      <c r="UKK49" s="493"/>
      <c r="UKL49" s="493"/>
      <c r="UKM49" s="493"/>
      <c r="UKN49" s="493"/>
      <c r="UKO49" s="493"/>
      <c r="UKP49" s="493"/>
      <c r="UKQ49" s="493"/>
      <c r="UKR49" s="493"/>
      <c r="UKS49" s="493"/>
      <c r="UKT49" s="493"/>
      <c r="UKU49" s="493"/>
      <c r="UKV49" s="493"/>
      <c r="UKW49" s="493"/>
      <c r="UKX49" s="493"/>
      <c r="UKY49" s="493"/>
      <c r="UKZ49" s="493"/>
      <c r="ULA49" s="493"/>
      <c r="ULB49" s="493"/>
      <c r="ULC49" s="493"/>
      <c r="ULD49" s="493"/>
      <c r="ULE49" s="493"/>
      <c r="ULF49" s="493"/>
      <c r="ULG49" s="493"/>
      <c r="ULH49" s="493"/>
      <c r="ULI49" s="493"/>
      <c r="ULJ49" s="493"/>
      <c r="ULK49" s="493"/>
      <c r="ULL49" s="493"/>
      <c r="ULM49" s="493"/>
      <c r="ULN49" s="493"/>
      <c r="ULO49" s="493"/>
      <c r="ULP49" s="493"/>
      <c r="ULQ49" s="493"/>
      <c r="ULR49" s="493"/>
      <c r="ULS49" s="493"/>
      <c r="ULT49" s="493"/>
      <c r="ULU49" s="493"/>
      <c r="ULV49" s="493"/>
      <c r="ULW49" s="493"/>
      <c r="ULX49" s="493"/>
      <c r="ULY49" s="493"/>
      <c r="ULZ49" s="493"/>
      <c r="UMA49" s="493"/>
      <c r="UMB49" s="493"/>
      <c r="UMC49" s="493"/>
      <c r="UMD49" s="493"/>
      <c r="UME49" s="493"/>
      <c r="UMF49" s="493"/>
      <c r="UMG49" s="493"/>
      <c r="UMH49" s="493"/>
      <c r="UMI49" s="493"/>
      <c r="UMJ49" s="493"/>
      <c r="UMK49" s="493"/>
      <c r="UML49" s="493"/>
      <c r="UMM49" s="493"/>
      <c r="UMN49" s="493"/>
      <c r="UMO49" s="493"/>
      <c r="UMP49" s="493"/>
      <c r="UMQ49" s="493"/>
      <c r="UMR49" s="493"/>
      <c r="UMS49" s="493"/>
      <c r="UMT49" s="493"/>
      <c r="UMU49" s="493"/>
      <c r="UMV49" s="493"/>
      <c r="UMW49" s="493"/>
      <c r="UMX49" s="493"/>
      <c r="UMY49" s="493"/>
      <c r="UMZ49" s="493"/>
      <c r="UNA49" s="493"/>
      <c r="UNB49" s="493"/>
      <c r="UNC49" s="493"/>
      <c r="UND49" s="493"/>
      <c r="UNE49" s="493"/>
      <c r="UNF49" s="493"/>
      <c r="UNG49" s="493"/>
      <c r="UNH49" s="493"/>
      <c r="UNI49" s="493"/>
      <c r="UNJ49" s="493"/>
      <c r="UNK49" s="493"/>
      <c r="UNL49" s="493"/>
      <c r="UNM49" s="493"/>
      <c r="UNN49" s="493"/>
      <c r="UNO49" s="493"/>
      <c r="UNP49" s="493"/>
      <c r="UNQ49" s="493"/>
      <c r="UNR49" s="493"/>
      <c r="UNS49" s="493"/>
      <c r="UNT49" s="493"/>
      <c r="UNU49" s="493"/>
      <c r="UNV49" s="493"/>
      <c r="UNW49" s="493"/>
      <c r="UNX49" s="493"/>
      <c r="UNY49" s="493"/>
      <c r="UNZ49" s="493"/>
      <c r="UOA49" s="493"/>
      <c r="UOB49" s="493"/>
      <c r="UOC49" s="493"/>
      <c r="UOD49" s="493"/>
      <c r="UOE49" s="493"/>
      <c r="UOF49" s="493"/>
      <c r="UOG49" s="493"/>
      <c r="UOH49" s="493"/>
      <c r="UOI49" s="493"/>
      <c r="UOJ49" s="493"/>
      <c r="UOK49" s="493"/>
      <c r="UOL49" s="493"/>
      <c r="UOM49" s="493"/>
      <c r="UON49" s="493"/>
      <c r="UOO49" s="493"/>
      <c r="UOP49" s="493"/>
      <c r="UOQ49" s="493"/>
      <c r="UOR49" s="493"/>
      <c r="UOS49" s="493"/>
      <c r="UOT49" s="493"/>
      <c r="UOU49" s="493"/>
      <c r="UOV49" s="493"/>
      <c r="UOW49" s="493"/>
      <c r="UOX49" s="493"/>
      <c r="UOY49" s="493"/>
      <c r="UOZ49" s="493"/>
      <c r="UPA49" s="493"/>
      <c r="UPB49" s="493"/>
      <c r="UPC49" s="493"/>
      <c r="UPD49" s="493"/>
      <c r="UPE49" s="493"/>
      <c r="UPF49" s="493"/>
      <c r="UPG49" s="493"/>
      <c r="UPH49" s="493"/>
      <c r="UPI49" s="493"/>
      <c r="UPJ49" s="493"/>
      <c r="UPK49" s="493"/>
      <c r="UPL49" s="493"/>
      <c r="UPM49" s="493"/>
      <c r="UPN49" s="493"/>
      <c r="UPO49" s="493"/>
      <c r="UPP49" s="493"/>
      <c r="UPQ49" s="493"/>
      <c r="UPR49" s="493"/>
      <c r="UPS49" s="493"/>
      <c r="UPT49" s="493"/>
      <c r="UPU49" s="493"/>
      <c r="UPV49" s="493"/>
      <c r="UPW49" s="493"/>
      <c r="UPX49" s="493"/>
      <c r="UPY49" s="493"/>
      <c r="UPZ49" s="493"/>
      <c r="UQA49" s="493"/>
      <c r="UQB49" s="493"/>
      <c r="UQC49" s="493"/>
      <c r="UQD49" s="493"/>
      <c r="UQE49" s="493"/>
      <c r="UQF49" s="493"/>
      <c r="UQG49" s="493"/>
      <c r="UQH49" s="493"/>
      <c r="UQI49" s="493"/>
      <c r="UQJ49" s="493"/>
      <c r="UQK49" s="493"/>
      <c r="UQL49" s="493"/>
      <c r="UQM49" s="493"/>
      <c r="UQN49" s="493"/>
      <c r="UQO49" s="493"/>
      <c r="UQP49" s="493"/>
      <c r="UQQ49" s="493"/>
      <c r="UQR49" s="493"/>
      <c r="UQS49" s="493"/>
      <c r="UQT49" s="493"/>
      <c r="UQU49" s="493"/>
      <c r="UQV49" s="493"/>
      <c r="UQW49" s="493"/>
      <c r="UQX49" s="493"/>
      <c r="UQY49" s="493"/>
      <c r="UQZ49" s="493"/>
      <c r="URA49" s="493"/>
      <c r="URB49" s="493"/>
      <c r="URC49" s="493"/>
      <c r="URD49" s="493"/>
      <c r="URE49" s="493"/>
      <c r="URF49" s="493"/>
      <c r="URG49" s="493"/>
      <c r="URH49" s="493"/>
      <c r="URI49" s="493"/>
      <c r="URJ49" s="493"/>
      <c r="URK49" s="493"/>
      <c r="URL49" s="493"/>
      <c r="URM49" s="493"/>
      <c r="URN49" s="493"/>
      <c r="URO49" s="493"/>
      <c r="URP49" s="493"/>
      <c r="URQ49" s="493"/>
      <c r="URR49" s="493"/>
      <c r="URS49" s="493"/>
      <c r="URT49" s="493"/>
      <c r="URU49" s="493"/>
      <c r="URV49" s="493"/>
      <c r="URW49" s="493"/>
      <c r="URX49" s="493"/>
      <c r="URY49" s="493"/>
      <c r="URZ49" s="493"/>
      <c r="USA49" s="493"/>
      <c r="USB49" s="493"/>
      <c r="USC49" s="493"/>
      <c r="USD49" s="493"/>
      <c r="USE49" s="493"/>
      <c r="USF49" s="493"/>
      <c r="USG49" s="493"/>
      <c r="USH49" s="493"/>
      <c r="USI49" s="493"/>
      <c r="USJ49" s="493"/>
      <c r="USK49" s="493"/>
      <c r="USL49" s="493"/>
      <c r="USM49" s="493"/>
      <c r="USN49" s="493"/>
      <c r="USO49" s="493"/>
      <c r="USP49" s="493"/>
      <c r="USQ49" s="493"/>
      <c r="USR49" s="493"/>
      <c r="USS49" s="493"/>
      <c r="UST49" s="493"/>
      <c r="USU49" s="493"/>
      <c r="USV49" s="493"/>
      <c r="USW49" s="493"/>
      <c r="USX49" s="493"/>
      <c r="USY49" s="493"/>
      <c r="USZ49" s="493"/>
      <c r="UTA49" s="493"/>
      <c r="UTB49" s="493"/>
      <c r="UTC49" s="493"/>
      <c r="UTD49" s="493"/>
      <c r="UTE49" s="493"/>
      <c r="UTF49" s="493"/>
      <c r="UTG49" s="493"/>
      <c r="UTH49" s="493"/>
      <c r="UTI49" s="493"/>
      <c r="UTJ49" s="493"/>
      <c r="UTK49" s="493"/>
      <c r="UTL49" s="493"/>
      <c r="UTM49" s="493"/>
      <c r="UTN49" s="493"/>
      <c r="UTO49" s="493"/>
      <c r="UTP49" s="493"/>
      <c r="UTQ49" s="493"/>
      <c r="UTR49" s="493"/>
      <c r="UTS49" s="493"/>
      <c r="UTT49" s="493"/>
      <c r="UTU49" s="493"/>
      <c r="UTV49" s="493"/>
      <c r="UTW49" s="493"/>
      <c r="UTX49" s="493"/>
      <c r="UTY49" s="493"/>
      <c r="UTZ49" s="493"/>
      <c r="UUA49" s="493"/>
      <c r="UUB49" s="493"/>
      <c r="UUC49" s="493"/>
      <c r="UUD49" s="493"/>
      <c r="UUE49" s="493"/>
      <c r="UUF49" s="493"/>
      <c r="UUG49" s="493"/>
      <c r="UUH49" s="493"/>
      <c r="UUI49" s="493"/>
      <c r="UUJ49" s="493"/>
      <c r="UUK49" s="493"/>
      <c r="UUL49" s="493"/>
      <c r="UUM49" s="493"/>
      <c r="UUN49" s="493"/>
      <c r="UUO49" s="493"/>
      <c r="UUP49" s="493"/>
      <c r="UUQ49" s="493"/>
      <c r="UUR49" s="493"/>
      <c r="UUS49" s="493"/>
      <c r="UUT49" s="493"/>
      <c r="UUU49" s="493"/>
      <c r="UUV49" s="493"/>
      <c r="UUW49" s="493"/>
      <c r="UUX49" s="493"/>
      <c r="UUY49" s="493"/>
      <c r="UUZ49" s="493"/>
      <c r="UVA49" s="493"/>
      <c r="UVB49" s="493"/>
      <c r="UVC49" s="493"/>
      <c r="UVD49" s="493"/>
      <c r="UVE49" s="493"/>
      <c r="UVF49" s="493"/>
      <c r="UVG49" s="493"/>
      <c r="UVH49" s="493"/>
      <c r="UVI49" s="493"/>
      <c r="UVJ49" s="493"/>
      <c r="UVK49" s="493"/>
      <c r="UVL49" s="493"/>
      <c r="UVM49" s="493"/>
      <c r="UVN49" s="493"/>
      <c r="UVO49" s="493"/>
      <c r="UVP49" s="493"/>
      <c r="UVQ49" s="493"/>
      <c r="UVR49" s="493"/>
      <c r="UVS49" s="493"/>
      <c r="UVT49" s="493"/>
      <c r="UVU49" s="493"/>
      <c r="UVV49" s="493"/>
      <c r="UVW49" s="493"/>
      <c r="UVX49" s="493"/>
      <c r="UVY49" s="493"/>
      <c r="UVZ49" s="493"/>
      <c r="UWA49" s="493"/>
      <c r="UWB49" s="493"/>
      <c r="UWC49" s="493"/>
      <c r="UWD49" s="493"/>
      <c r="UWE49" s="493"/>
      <c r="UWF49" s="493"/>
      <c r="UWG49" s="493"/>
      <c r="UWH49" s="493"/>
      <c r="UWI49" s="493"/>
      <c r="UWJ49" s="493"/>
      <c r="UWK49" s="493"/>
      <c r="UWL49" s="493"/>
      <c r="UWM49" s="493"/>
      <c r="UWN49" s="493"/>
      <c r="UWO49" s="493"/>
      <c r="UWP49" s="493"/>
      <c r="UWQ49" s="493"/>
      <c r="UWR49" s="493"/>
      <c r="UWS49" s="493"/>
      <c r="UWT49" s="493"/>
      <c r="UWU49" s="493"/>
      <c r="UWV49" s="493"/>
      <c r="UWW49" s="493"/>
      <c r="UWX49" s="493"/>
      <c r="UWY49" s="493"/>
      <c r="UWZ49" s="493"/>
      <c r="UXA49" s="493"/>
      <c r="UXB49" s="493"/>
      <c r="UXC49" s="493"/>
      <c r="UXD49" s="493"/>
      <c r="UXE49" s="493"/>
      <c r="UXF49" s="493"/>
      <c r="UXG49" s="493"/>
      <c r="UXH49" s="493"/>
      <c r="UXI49" s="493"/>
      <c r="UXJ49" s="493"/>
      <c r="UXK49" s="493"/>
      <c r="UXL49" s="493"/>
      <c r="UXM49" s="493"/>
      <c r="UXN49" s="493"/>
      <c r="UXO49" s="493"/>
      <c r="UXP49" s="493"/>
      <c r="UXQ49" s="493"/>
      <c r="UXR49" s="493"/>
      <c r="UXS49" s="493"/>
      <c r="UXT49" s="493"/>
      <c r="UXU49" s="493"/>
      <c r="UXV49" s="493"/>
      <c r="UXW49" s="493"/>
      <c r="UXX49" s="493"/>
      <c r="UXY49" s="493"/>
      <c r="UXZ49" s="493"/>
      <c r="UYA49" s="493"/>
      <c r="UYB49" s="493"/>
      <c r="UYC49" s="493"/>
      <c r="UYD49" s="493"/>
      <c r="UYE49" s="493"/>
      <c r="UYF49" s="493"/>
      <c r="UYG49" s="493"/>
      <c r="UYH49" s="493"/>
      <c r="UYI49" s="493"/>
      <c r="UYJ49" s="493"/>
      <c r="UYK49" s="493"/>
      <c r="UYL49" s="493"/>
      <c r="UYM49" s="493"/>
      <c r="UYN49" s="493"/>
      <c r="UYO49" s="493"/>
      <c r="UYP49" s="493"/>
      <c r="UYQ49" s="493"/>
      <c r="UYR49" s="493"/>
      <c r="UYS49" s="493"/>
      <c r="UYT49" s="493"/>
      <c r="UYU49" s="493"/>
      <c r="UYV49" s="493"/>
      <c r="UYW49" s="493"/>
      <c r="UYX49" s="493"/>
      <c r="UYY49" s="493"/>
      <c r="UYZ49" s="493"/>
      <c r="UZA49" s="493"/>
      <c r="UZB49" s="493"/>
      <c r="UZC49" s="493"/>
      <c r="UZD49" s="493"/>
      <c r="UZE49" s="493"/>
      <c r="UZF49" s="493"/>
      <c r="UZG49" s="493"/>
      <c r="UZH49" s="493"/>
      <c r="UZI49" s="493"/>
      <c r="UZJ49" s="493"/>
      <c r="UZK49" s="493"/>
      <c r="UZL49" s="493"/>
      <c r="UZM49" s="493"/>
      <c r="UZN49" s="493"/>
      <c r="UZO49" s="493"/>
      <c r="UZP49" s="493"/>
      <c r="UZQ49" s="493"/>
      <c r="UZR49" s="493"/>
      <c r="UZS49" s="493"/>
      <c r="UZT49" s="493"/>
      <c r="UZU49" s="493"/>
      <c r="UZV49" s="493"/>
      <c r="UZW49" s="493"/>
      <c r="UZX49" s="493"/>
      <c r="UZY49" s="493"/>
      <c r="UZZ49" s="493"/>
      <c r="VAA49" s="493"/>
      <c r="VAB49" s="493"/>
      <c r="VAC49" s="493"/>
      <c r="VAD49" s="493"/>
      <c r="VAE49" s="493"/>
      <c r="VAF49" s="493"/>
      <c r="VAG49" s="493"/>
      <c r="VAH49" s="493"/>
      <c r="VAI49" s="493"/>
      <c r="VAJ49" s="493"/>
      <c r="VAK49" s="493"/>
      <c r="VAL49" s="493"/>
      <c r="VAM49" s="493"/>
      <c r="VAN49" s="493"/>
      <c r="VAO49" s="493"/>
      <c r="VAP49" s="493"/>
      <c r="VAQ49" s="493"/>
      <c r="VAR49" s="493"/>
      <c r="VAS49" s="493"/>
      <c r="VAT49" s="493"/>
      <c r="VAU49" s="493"/>
      <c r="VAV49" s="493"/>
      <c r="VAW49" s="493"/>
      <c r="VAX49" s="493"/>
      <c r="VAY49" s="493"/>
      <c r="VAZ49" s="493"/>
      <c r="VBA49" s="493"/>
      <c r="VBB49" s="493"/>
      <c r="VBC49" s="493"/>
      <c r="VBD49" s="493"/>
      <c r="VBE49" s="493"/>
      <c r="VBF49" s="493"/>
      <c r="VBG49" s="493"/>
      <c r="VBH49" s="493"/>
      <c r="VBI49" s="493"/>
      <c r="VBJ49" s="493"/>
      <c r="VBK49" s="493"/>
      <c r="VBL49" s="493"/>
      <c r="VBM49" s="493"/>
      <c r="VBN49" s="493"/>
      <c r="VBO49" s="493"/>
      <c r="VBP49" s="493"/>
      <c r="VBQ49" s="493"/>
      <c r="VBR49" s="493"/>
      <c r="VBS49" s="493"/>
      <c r="VBT49" s="493"/>
      <c r="VBU49" s="493"/>
      <c r="VBV49" s="493"/>
      <c r="VBW49" s="493"/>
      <c r="VBX49" s="493"/>
      <c r="VBY49" s="493"/>
      <c r="VBZ49" s="493"/>
      <c r="VCA49" s="493"/>
      <c r="VCB49" s="493"/>
      <c r="VCC49" s="493"/>
      <c r="VCD49" s="493"/>
      <c r="VCE49" s="493"/>
      <c r="VCF49" s="493"/>
      <c r="VCG49" s="493"/>
      <c r="VCH49" s="493"/>
      <c r="VCI49" s="493"/>
      <c r="VCJ49" s="493"/>
      <c r="VCK49" s="493"/>
      <c r="VCL49" s="493"/>
      <c r="VCM49" s="493"/>
      <c r="VCN49" s="493"/>
      <c r="VCO49" s="493"/>
      <c r="VCP49" s="493"/>
      <c r="VCQ49" s="493"/>
      <c r="VCR49" s="493"/>
      <c r="VCS49" s="493"/>
      <c r="VCT49" s="493"/>
      <c r="VCU49" s="493"/>
      <c r="VCV49" s="493"/>
      <c r="VCW49" s="493"/>
      <c r="VCX49" s="493"/>
      <c r="VCY49" s="493"/>
      <c r="VCZ49" s="493"/>
      <c r="VDA49" s="493"/>
      <c r="VDB49" s="493"/>
      <c r="VDC49" s="493"/>
      <c r="VDD49" s="493"/>
      <c r="VDE49" s="493"/>
      <c r="VDF49" s="493"/>
      <c r="VDG49" s="493"/>
      <c r="VDH49" s="493"/>
      <c r="VDI49" s="493"/>
      <c r="VDJ49" s="493"/>
      <c r="VDK49" s="493"/>
      <c r="VDL49" s="493"/>
      <c r="VDM49" s="493"/>
      <c r="VDN49" s="493"/>
      <c r="VDO49" s="493"/>
      <c r="VDP49" s="493"/>
      <c r="VDQ49" s="493"/>
      <c r="VDR49" s="493"/>
      <c r="VDS49" s="493"/>
      <c r="VDT49" s="493"/>
      <c r="VDU49" s="493"/>
      <c r="VDV49" s="493"/>
      <c r="VDW49" s="493"/>
      <c r="VDX49" s="493"/>
      <c r="VDY49" s="493"/>
      <c r="VDZ49" s="493"/>
      <c r="VEA49" s="493"/>
      <c r="VEB49" s="493"/>
      <c r="VEC49" s="493"/>
      <c r="VED49" s="493"/>
      <c r="VEE49" s="493"/>
      <c r="VEF49" s="493"/>
      <c r="VEG49" s="493"/>
      <c r="VEH49" s="493"/>
      <c r="VEI49" s="493"/>
      <c r="VEJ49" s="493"/>
      <c r="VEK49" s="493"/>
      <c r="VEL49" s="493"/>
      <c r="VEM49" s="493"/>
      <c r="VEN49" s="493"/>
      <c r="VEO49" s="493"/>
      <c r="VEP49" s="493"/>
      <c r="VEQ49" s="493"/>
      <c r="VER49" s="493"/>
      <c r="VES49" s="493"/>
      <c r="VET49" s="493"/>
      <c r="VEU49" s="493"/>
      <c r="VEV49" s="493"/>
      <c r="VEW49" s="493"/>
      <c r="VEX49" s="493"/>
      <c r="VEY49" s="493"/>
      <c r="VEZ49" s="493"/>
      <c r="VFA49" s="493"/>
      <c r="VFB49" s="493"/>
      <c r="VFC49" s="493"/>
      <c r="VFD49" s="493"/>
      <c r="VFE49" s="493"/>
      <c r="VFF49" s="493"/>
      <c r="VFG49" s="493"/>
      <c r="VFH49" s="493"/>
      <c r="VFI49" s="493"/>
      <c r="VFJ49" s="493"/>
      <c r="VFK49" s="493"/>
      <c r="VFL49" s="493"/>
      <c r="VFM49" s="493"/>
      <c r="VFN49" s="493"/>
      <c r="VFO49" s="493"/>
      <c r="VFP49" s="493"/>
      <c r="VFQ49" s="493"/>
      <c r="VFR49" s="493"/>
      <c r="VFS49" s="493"/>
      <c r="VFT49" s="493"/>
      <c r="VFU49" s="493"/>
      <c r="VFV49" s="493"/>
      <c r="VFW49" s="493"/>
      <c r="VFX49" s="493"/>
      <c r="VFY49" s="493"/>
      <c r="VFZ49" s="493"/>
      <c r="VGA49" s="493"/>
      <c r="VGB49" s="493"/>
      <c r="VGC49" s="493"/>
      <c r="VGD49" s="493"/>
      <c r="VGE49" s="493"/>
      <c r="VGF49" s="493"/>
      <c r="VGG49" s="493"/>
      <c r="VGH49" s="493"/>
      <c r="VGI49" s="493"/>
      <c r="VGJ49" s="493"/>
      <c r="VGK49" s="493"/>
      <c r="VGL49" s="493"/>
      <c r="VGM49" s="493"/>
      <c r="VGN49" s="493"/>
      <c r="VGO49" s="493"/>
      <c r="VGP49" s="493"/>
      <c r="VGQ49" s="493"/>
      <c r="VGR49" s="493"/>
      <c r="VGS49" s="493"/>
      <c r="VGT49" s="493"/>
      <c r="VGU49" s="493"/>
      <c r="VGV49" s="493"/>
      <c r="VGW49" s="493"/>
      <c r="VGX49" s="493"/>
      <c r="VGY49" s="493"/>
      <c r="VGZ49" s="493"/>
      <c r="VHA49" s="493"/>
      <c r="VHB49" s="493"/>
      <c r="VHC49" s="493"/>
      <c r="VHD49" s="493"/>
      <c r="VHE49" s="493"/>
      <c r="VHF49" s="493"/>
      <c r="VHG49" s="493"/>
      <c r="VHH49" s="493"/>
      <c r="VHI49" s="493"/>
      <c r="VHJ49" s="493"/>
      <c r="VHK49" s="493"/>
      <c r="VHL49" s="493"/>
      <c r="VHM49" s="493"/>
      <c r="VHN49" s="493"/>
      <c r="VHO49" s="493"/>
      <c r="VHP49" s="493"/>
      <c r="VHQ49" s="493"/>
      <c r="VHR49" s="493"/>
      <c r="VHS49" s="493"/>
      <c r="VHT49" s="493"/>
      <c r="VHU49" s="493"/>
      <c r="VHV49" s="493"/>
      <c r="VHW49" s="493"/>
      <c r="VHX49" s="493"/>
      <c r="VHY49" s="493"/>
      <c r="VHZ49" s="493"/>
      <c r="VIA49" s="493"/>
      <c r="VIB49" s="493"/>
      <c r="VIC49" s="493"/>
      <c r="VID49" s="493"/>
      <c r="VIE49" s="493"/>
      <c r="VIF49" s="493"/>
      <c r="VIG49" s="493"/>
      <c r="VIH49" s="493"/>
      <c r="VII49" s="493"/>
      <c r="VIJ49" s="493"/>
      <c r="VIK49" s="493"/>
      <c r="VIL49" s="493"/>
      <c r="VIM49" s="493"/>
      <c r="VIN49" s="493"/>
      <c r="VIO49" s="493"/>
      <c r="VIP49" s="493"/>
      <c r="VIQ49" s="493"/>
      <c r="VIR49" s="493"/>
      <c r="VIS49" s="493"/>
      <c r="VIT49" s="493"/>
      <c r="VIU49" s="493"/>
      <c r="VIV49" s="493"/>
      <c r="VIW49" s="493"/>
      <c r="VIX49" s="493"/>
      <c r="VIY49" s="493"/>
      <c r="VIZ49" s="493"/>
      <c r="VJA49" s="493"/>
      <c r="VJB49" s="493"/>
      <c r="VJC49" s="493"/>
      <c r="VJD49" s="493"/>
      <c r="VJE49" s="493"/>
      <c r="VJF49" s="493"/>
      <c r="VJG49" s="493"/>
      <c r="VJH49" s="493"/>
      <c r="VJI49" s="493"/>
      <c r="VJJ49" s="493"/>
      <c r="VJK49" s="493"/>
      <c r="VJL49" s="493"/>
      <c r="VJM49" s="493"/>
      <c r="VJN49" s="493"/>
      <c r="VJO49" s="493"/>
      <c r="VJP49" s="493"/>
      <c r="VJQ49" s="493"/>
      <c r="VJR49" s="493"/>
      <c r="VJS49" s="493"/>
      <c r="VJT49" s="493"/>
      <c r="VJU49" s="493"/>
      <c r="VJV49" s="493"/>
      <c r="VJW49" s="493"/>
      <c r="VJX49" s="493"/>
      <c r="VJY49" s="493"/>
      <c r="VJZ49" s="493"/>
      <c r="VKA49" s="493"/>
      <c r="VKB49" s="493"/>
      <c r="VKC49" s="493"/>
      <c r="VKD49" s="493"/>
      <c r="VKE49" s="493"/>
      <c r="VKF49" s="493"/>
      <c r="VKG49" s="493"/>
      <c r="VKH49" s="493"/>
      <c r="VKI49" s="493"/>
      <c r="VKJ49" s="493"/>
      <c r="VKK49" s="493"/>
      <c r="VKL49" s="493"/>
      <c r="VKM49" s="493"/>
      <c r="VKN49" s="493"/>
      <c r="VKO49" s="493"/>
      <c r="VKP49" s="493"/>
      <c r="VKQ49" s="493"/>
      <c r="VKR49" s="493"/>
      <c r="VKS49" s="493"/>
      <c r="VKT49" s="493"/>
      <c r="VKU49" s="493"/>
      <c r="VKV49" s="493"/>
      <c r="VKW49" s="493"/>
      <c r="VKX49" s="493"/>
      <c r="VKY49" s="493"/>
      <c r="VKZ49" s="493"/>
      <c r="VLA49" s="493"/>
      <c r="VLB49" s="493"/>
      <c r="VLC49" s="493"/>
      <c r="VLD49" s="493"/>
      <c r="VLE49" s="493"/>
      <c r="VLF49" s="493"/>
      <c r="VLG49" s="493"/>
      <c r="VLH49" s="493"/>
      <c r="VLI49" s="493"/>
      <c r="VLJ49" s="493"/>
      <c r="VLK49" s="493"/>
      <c r="VLL49" s="493"/>
      <c r="VLM49" s="493"/>
      <c r="VLN49" s="493"/>
      <c r="VLO49" s="493"/>
      <c r="VLP49" s="493"/>
      <c r="VLQ49" s="493"/>
      <c r="VLR49" s="493"/>
      <c r="VLS49" s="493"/>
      <c r="VLT49" s="493"/>
      <c r="VLU49" s="493"/>
      <c r="VLV49" s="493"/>
      <c r="VLW49" s="493"/>
      <c r="VLX49" s="493"/>
      <c r="VLY49" s="493"/>
      <c r="VLZ49" s="493"/>
      <c r="VMA49" s="493"/>
      <c r="VMB49" s="493"/>
      <c r="VMC49" s="493"/>
      <c r="VMD49" s="493"/>
      <c r="VME49" s="493"/>
      <c r="VMF49" s="493"/>
      <c r="VMG49" s="493"/>
      <c r="VMH49" s="493"/>
      <c r="VMI49" s="493"/>
      <c r="VMJ49" s="493"/>
      <c r="VMK49" s="493"/>
      <c r="VML49" s="493"/>
      <c r="VMM49" s="493"/>
      <c r="VMN49" s="493"/>
      <c r="VMO49" s="493"/>
      <c r="VMP49" s="493"/>
      <c r="VMQ49" s="493"/>
      <c r="VMR49" s="493"/>
      <c r="VMS49" s="493"/>
      <c r="VMT49" s="493"/>
      <c r="VMU49" s="493"/>
      <c r="VMV49" s="493"/>
      <c r="VMW49" s="493"/>
      <c r="VMX49" s="493"/>
      <c r="VMY49" s="493"/>
      <c r="VMZ49" s="493"/>
      <c r="VNA49" s="493"/>
      <c r="VNB49" s="493"/>
      <c r="VNC49" s="493"/>
      <c r="VND49" s="493"/>
      <c r="VNE49" s="493"/>
      <c r="VNF49" s="493"/>
      <c r="VNG49" s="493"/>
      <c r="VNH49" s="493"/>
      <c r="VNI49" s="493"/>
      <c r="VNJ49" s="493"/>
      <c r="VNK49" s="493"/>
      <c r="VNL49" s="493"/>
      <c r="VNM49" s="493"/>
      <c r="VNN49" s="493"/>
      <c r="VNO49" s="493"/>
      <c r="VNP49" s="493"/>
      <c r="VNQ49" s="493"/>
      <c r="VNR49" s="493"/>
      <c r="VNS49" s="493"/>
      <c r="VNT49" s="493"/>
      <c r="VNU49" s="493"/>
      <c r="VNV49" s="493"/>
      <c r="VNW49" s="493"/>
      <c r="VNX49" s="493"/>
      <c r="VNY49" s="493"/>
      <c r="VNZ49" s="493"/>
      <c r="VOA49" s="493"/>
      <c r="VOB49" s="493"/>
      <c r="VOC49" s="493"/>
      <c r="VOD49" s="493"/>
      <c r="VOE49" s="493"/>
      <c r="VOF49" s="493"/>
      <c r="VOG49" s="493"/>
      <c r="VOH49" s="493"/>
      <c r="VOI49" s="493"/>
      <c r="VOJ49" s="493"/>
      <c r="VOK49" s="493"/>
      <c r="VOL49" s="493"/>
      <c r="VOM49" s="493"/>
      <c r="VON49" s="493"/>
      <c r="VOO49" s="493"/>
      <c r="VOP49" s="493"/>
      <c r="VOQ49" s="493"/>
      <c r="VOR49" s="493"/>
      <c r="VOS49" s="493"/>
      <c r="VOT49" s="493"/>
      <c r="VOU49" s="493"/>
      <c r="VOV49" s="493"/>
      <c r="VOW49" s="493"/>
      <c r="VOX49" s="493"/>
      <c r="VOY49" s="493"/>
      <c r="VOZ49" s="493"/>
      <c r="VPA49" s="493"/>
      <c r="VPB49" s="493"/>
      <c r="VPC49" s="493"/>
      <c r="VPD49" s="493"/>
      <c r="VPE49" s="493"/>
      <c r="VPF49" s="493"/>
      <c r="VPG49" s="493"/>
      <c r="VPH49" s="493"/>
      <c r="VPI49" s="493"/>
      <c r="VPJ49" s="493"/>
      <c r="VPK49" s="493"/>
      <c r="VPL49" s="493"/>
      <c r="VPM49" s="493"/>
      <c r="VPN49" s="493"/>
      <c r="VPO49" s="493"/>
      <c r="VPP49" s="493"/>
      <c r="VPQ49" s="493"/>
      <c r="VPR49" s="493"/>
      <c r="VPS49" s="493"/>
      <c r="VPT49" s="493"/>
      <c r="VPU49" s="493"/>
      <c r="VPV49" s="493"/>
      <c r="VPW49" s="493"/>
      <c r="VPX49" s="493"/>
      <c r="VPY49" s="493"/>
      <c r="VPZ49" s="493"/>
      <c r="VQA49" s="493"/>
      <c r="VQB49" s="493"/>
      <c r="VQC49" s="493"/>
      <c r="VQD49" s="493"/>
      <c r="VQE49" s="493"/>
      <c r="VQF49" s="493"/>
      <c r="VQG49" s="493"/>
      <c r="VQH49" s="493"/>
      <c r="VQI49" s="493"/>
      <c r="VQJ49" s="493"/>
      <c r="VQK49" s="493"/>
      <c r="VQL49" s="493"/>
      <c r="VQM49" s="493"/>
      <c r="VQN49" s="493"/>
      <c r="VQO49" s="493"/>
      <c r="VQP49" s="493"/>
      <c r="VQQ49" s="493"/>
      <c r="VQR49" s="493"/>
      <c r="VQS49" s="493"/>
      <c r="VQT49" s="493"/>
      <c r="VQU49" s="493"/>
      <c r="VQV49" s="493"/>
      <c r="VQW49" s="493"/>
      <c r="VQX49" s="493"/>
      <c r="VQY49" s="493"/>
      <c r="VQZ49" s="493"/>
      <c r="VRA49" s="493"/>
      <c r="VRB49" s="493"/>
      <c r="VRC49" s="493"/>
      <c r="VRD49" s="493"/>
      <c r="VRE49" s="493"/>
      <c r="VRF49" s="493"/>
      <c r="VRG49" s="493"/>
      <c r="VRH49" s="493"/>
      <c r="VRI49" s="493"/>
      <c r="VRJ49" s="493"/>
      <c r="VRK49" s="493"/>
      <c r="VRL49" s="493"/>
      <c r="VRM49" s="493"/>
      <c r="VRN49" s="493"/>
      <c r="VRO49" s="493"/>
      <c r="VRP49" s="493"/>
      <c r="VRQ49" s="493"/>
      <c r="VRR49" s="493"/>
      <c r="VRS49" s="493"/>
      <c r="VRT49" s="493"/>
      <c r="VRU49" s="493"/>
      <c r="VRV49" s="493"/>
      <c r="VRW49" s="493"/>
      <c r="VRX49" s="493"/>
      <c r="VRY49" s="493"/>
      <c r="VRZ49" s="493"/>
      <c r="VSA49" s="493"/>
      <c r="VSB49" s="493"/>
      <c r="VSC49" s="493"/>
      <c r="VSD49" s="493"/>
      <c r="VSE49" s="493"/>
      <c r="VSF49" s="493"/>
      <c r="VSG49" s="493"/>
      <c r="VSH49" s="493"/>
      <c r="VSI49" s="493"/>
      <c r="VSJ49" s="493"/>
      <c r="VSK49" s="493"/>
      <c r="VSL49" s="493"/>
      <c r="VSM49" s="493"/>
      <c r="VSN49" s="493"/>
      <c r="VSO49" s="493"/>
      <c r="VSP49" s="493"/>
      <c r="VSQ49" s="493"/>
      <c r="VSR49" s="493"/>
      <c r="VSS49" s="493"/>
      <c r="VST49" s="493"/>
      <c r="VSU49" s="493"/>
      <c r="VSV49" s="493"/>
      <c r="VSW49" s="493"/>
      <c r="VSX49" s="493"/>
      <c r="VSY49" s="493"/>
      <c r="VSZ49" s="493"/>
      <c r="VTA49" s="493"/>
      <c r="VTB49" s="493"/>
      <c r="VTC49" s="493"/>
      <c r="VTD49" s="493"/>
      <c r="VTE49" s="493"/>
      <c r="VTF49" s="493"/>
      <c r="VTG49" s="493"/>
      <c r="VTH49" s="493"/>
      <c r="VTI49" s="493"/>
      <c r="VTJ49" s="493"/>
      <c r="VTK49" s="493"/>
      <c r="VTL49" s="493"/>
      <c r="VTM49" s="493"/>
      <c r="VTN49" s="493"/>
      <c r="VTO49" s="493"/>
      <c r="VTP49" s="493"/>
      <c r="VTQ49" s="493"/>
      <c r="VTR49" s="493"/>
      <c r="VTS49" s="493"/>
      <c r="VTT49" s="493"/>
      <c r="VTU49" s="493"/>
      <c r="VTV49" s="493"/>
      <c r="VTW49" s="493"/>
      <c r="VTX49" s="493"/>
      <c r="VTY49" s="493"/>
      <c r="VTZ49" s="493"/>
      <c r="VUA49" s="493"/>
      <c r="VUB49" s="493"/>
      <c r="VUC49" s="493"/>
      <c r="VUD49" s="493"/>
      <c r="VUE49" s="493"/>
      <c r="VUF49" s="493"/>
      <c r="VUG49" s="493"/>
      <c r="VUH49" s="493"/>
      <c r="VUI49" s="493"/>
      <c r="VUJ49" s="493"/>
      <c r="VUK49" s="493"/>
      <c r="VUL49" s="493"/>
      <c r="VUM49" s="493"/>
      <c r="VUN49" s="493"/>
      <c r="VUO49" s="493"/>
      <c r="VUP49" s="493"/>
      <c r="VUQ49" s="493"/>
      <c r="VUR49" s="493"/>
      <c r="VUS49" s="493"/>
      <c r="VUT49" s="493"/>
      <c r="VUU49" s="493"/>
      <c r="VUV49" s="493"/>
      <c r="VUW49" s="493"/>
      <c r="VUX49" s="493"/>
      <c r="VUY49" s="493"/>
      <c r="VUZ49" s="493"/>
      <c r="VVA49" s="493"/>
      <c r="VVB49" s="493"/>
      <c r="VVC49" s="493"/>
      <c r="VVD49" s="493"/>
      <c r="VVE49" s="493"/>
      <c r="VVF49" s="493"/>
      <c r="VVG49" s="493"/>
      <c r="VVH49" s="493"/>
      <c r="VVI49" s="493"/>
      <c r="VVJ49" s="493"/>
      <c r="VVK49" s="493"/>
      <c r="VVL49" s="493"/>
      <c r="VVM49" s="493"/>
      <c r="VVN49" s="493"/>
      <c r="VVO49" s="493"/>
      <c r="VVP49" s="493"/>
      <c r="VVQ49" s="493"/>
      <c r="VVR49" s="493"/>
      <c r="VVS49" s="493"/>
      <c r="VVT49" s="493"/>
      <c r="VVU49" s="493"/>
      <c r="VVV49" s="493"/>
      <c r="VVW49" s="493"/>
      <c r="VVX49" s="493"/>
      <c r="VVY49" s="493"/>
      <c r="VVZ49" s="493"/>
      <c r="VWA49" s="493"/>
      <c r="VWB49" s="493"/>
      <c r="VWC49" s="493"/>
      <c r="VWD49" s="493"/>
      <c r="VWE49" s="493"/>
      <c r="VWF49" s="493"/>
      <c r="VWG49" s="493"/>
      <c r="VWH49" s="493"/>
      <c r="VWI49" s="493"/>
      <c r="VWJ49" s="493"/>
      <c r="VWK49" s="493"/>
      <c r="VWL49" s="493"/>
      <c r="VWM49" s="493"/>
      <c r="VWN49" s="493"/>
      <c r="VWO49" s="493"/>
      <c r="VWP49" s="493"/>
      <c r="VWQ49" s="493"/>
      <c r="VWR49" s="493"/>
      <c r="VWS49" s="493"/>
      <c r="VWT49" s="493"/>
      <c r="VWU49" s="493"/>
      <c r="VWV49" s="493"/>
      <c r="VWW49" s="493"/>
      <c r="VWX49" s="493"/>
      <c r="VWY49" s="493"/>
      <c r="VWZ49" s="493"/>
      <c r="VXA49" s="493"/>
      <c r="VXB49" s="493"/>
      <c r="VXC49" s="493"/>
      <c r="VXD49" s="493"/>
      <c r="VXE49" s="493"/>
      <c r="VXF49" s="493"/>
      <c r="VXG49" s="493"/>
      <c r="VXH49" s="493"/>
      <c r="VXI49" s="493"/>
      <c r="VXJ49" s="493"/>
      <c r="VXK49" s="493"/>
      <c r="VXL49" s="493"/>
      <c r="VXM49" s="493"/>
      <c r="VXN49" s="493"/>
      <c r="VXO49" s="493"/>
      <c r="VXP49" s="493"/>
      <c r="VXQ49" s="493"/>
      <c r="VXR49" s="493"/>
      <c r="VXS49" s="493"/>
      <c r="VXT49" s="493"/>
      <c r="VXU49" s="493"/>
      <c r="VXV49" s="493"/>
      <c r="VXW49" s="493"/>
      <c r="VXX49" s="493"/>
      <c r="VXY49" s="493"/>
      <c r="VXZ49" s="493"/>
      <c r="VYA49" s="493"/>
      <c r="VYB49" s="493"/>
      <c r="VYC49" s="493"/>
      <c r="VYD49" s="493"/>
      <c r="VYE49" s="493"/>
      <c r="VYF49" s="493"/>
      <c r="VYG49" s="493"/>
      <c r="VYH49" s="493"/>
      <c r="VYI49" s="493"/>
      <c r="VYJ49" s="493"/>
      <c r="VYK49" s="493"/>
      <c r="VYL49" s="493"/>
      <c r="VYM49" s="493"/>
      <c r="VYN49" s="493"/>
      <c r="VYO49" s="493"/>
      <c r="VYP49" s="493"/>
      <c r="VYQ49" s="493"/>
      <c r="VYR49" s="493"/>
      <c r="VYS49" s="493"/>
      <c r="VYT49" s="493"/>
      <c r="VYU49" s="493"/>
      <c r="VYV49" s="493"/>
      <c r="VYW49" s="493"/>
      <c r="VYX49" s="493"/>
      <c r="VYY49" s="493"/>
      <c r="VYZ49" s="493"/>
      <c r="VZA49" s="493"/>
      <c r="VZB49" s="493"/>
      <c r="VZC49" s="493"/>
      <c r="VZD49" s="493"/>
      <c r="VZE49" s="493"/>
      <c r="VZF49" s="493"/>
      <c r="VZG49" s="493"/>
      <c r="VZH49" s="493"/>
      <c r="VZI49" s="493"/>
      <c r="VZJ49" s="493"/>
      <c r="VZK49" s="493"/>
      <c r="VZL49" s="493"/>
      <c r="VZM49" s="493"/>
      <c r="VZN49" s="493"/>
      <c r="VZO49" s="493"/>
      <c r="VZP49" s="493"/>
      <c r="VZQ49" s="493"/>
      <c r="VZR49" s="493"/>
      <c r="VZS49" s="493"/>
      <c r="VZT49" s="493"/>
      <c r="VZU49" s="493"/>
      <c r="VZV49" s="493"/>
      <c r="VZW49" s="493"/>
      <c r="VZX49" s="493"/>
      <c r="VZY49" s="493"/>
      <c r="VZZ49" s="493"/>
      <c r="WAA49" s="493"/>
      <c r="WAB49" s="493"/>
      <c r="WAC49" s="493"/>
      <c r="WAD49" s="493"/>
      <c r="WAE49" s="493"/>
      <c r="WAF49" s="493"/>
      <c r="WAG49" s="493"/>
      <c r="WAH49" s="493"/>
      <c r="WAI49" s="493"/>
      <c r="WAJ49" s="493"/>
      <c r="WAK49" s="493"/>
      <c r="WAL49" s="493"/>
      <c r="WAM49" s="493"/>
      <c r="WAN49" s="493"/>
      <c r="WAO49" s="493"/>
      <c r="WAP49" s="493"/>
      <c r="WAQ49" s="493"/>
      <c r="WAR49" s="493"/>
      <c r="WAS49" s="493"/>
      <c r="WAT49" s="493"/>
      <c r="WAU49" s="493"/>
      <c r="WAV49" s="493"/>
      <c r="WAW49" s="493"/>
      <c r="WAX49" s="493"/>
      <c r="WAY49" s="493"/>
      <c r="WAZ49" s="493"/>
      <c r="WBA49" s="493"/>
      <c r="WBB49" s="493"/>
      <c r="WBC49" s="493"/>
      <c r="WBD49" s="493"/>
      <c r="WBE49" s="493"/>
      <c r="WBF49" s="493"/>
      <c r="WBG49" s="493"/>
      <c r="WBH49" s="493"/>
      <c r="WBI49" s="493"/>
      <c r="WBJ49" s="493"/>
      <c r="WBK49" s="493"/>
      <c r="WBL49" s="493"/>
      <c r="WBM49" s="493"/>
      <c r="WBN49" s="493"/>
      <c r="WBO49" s="493"/>
      <c r="WBP49" s="493"/>
      <c r="WBQ49" s="493"/>
      <c r="WBR49" s="493"/>
      <c r="WBS49" s="493"/>
      <c r="WBT49" s="493"/>
      <c r="WBU49" s="493"/>
      <c r="WBV49" s="493"/>
      <c r="WBW49" s="493"/>
      <c r="WBX49" s="493"/>
      <c r="WBY49" s="493"/>
      <c r="WBZ49" s="493"/>
      <c r="WCA49" s="493"/>
      <c r="WCB49" s="493"/>
      <c r="WCC49" s="493"/>
      <c r="WCD49" s="493"/>
      <c r="WCE49" s="493"/>
      <c r="WCF49" s="493"/>
      <c r="WCG49" s="493"/>
      <c r="WCH49" s="493"/>
      <c r="WCI49" s="493"/>
      <c r="WCJ49" s="493"/>
      <c r="WCK49" s="493"/>
      <c r="WCL49" s="493"/>
      <c r="WCM49" s="493"/>
      <c r="WCN49" s="493"/>
      <c r="WCO49" s="493"/>
      <c r="WCP49" s="493"/>
      <c r="WCQ49" s="493"/>
      <c r="WCR49" s="493"/>
      <c r="WCS49" s="493"/>
      <c r="WCT49" s="493"/>
      <c r="WCU49" s="493"/>
      <c r="WCV49" s="493"/>
      <c r="WCW49" s="493"/>
      <c r="WCX49" s="493"/>
      <c r="WCY49" s="493"/>
      <c r="WCZ49" s="493"/>
      <c r="WDA49" s="493"/>
      <c r="WDB49" s="493"/>
      <c r="WDC49" s="493"/>
      <c r="WDD49" s="493"/>
      <c r="WDE49" s="493"/>
      <c r="WDF49" s="493"/>
      <c r="WDG49" s="493"/>
      <c r="WDH49" s="493"/>
      <c r="WDI49" s="493"/>
      <c r="WDJ49" s="493"/>
      <c r="WDK49" s="493"/>
      <c r="WDL49" s="493"/>
      <c r="WDM49" s="493"/>
      <c r="WDN49" s="493"/>
      <c r="WDO49" s="493"/>
      <c r="WDP49" s="493"/>
      <c r="WDQ49" s="493"/>
      <c r="WDR49" s="493"/>
      <c r="WDS49" s="493"/>
      <c r="WDT49" s="493"/>
      <c r="WDU49" s="493"/>
      <c r="WDV49" s="493"/>
      <c r="WDW49" s="493"/>
      <c r="WDX49" s="493"/>
      <c r="WDY49" s="493"/>
      <c r="WDZ49" s="493"/>
      <c r="WEA49" s="493"/>
      <c r="WEB49" s="493"/>
      <c r="WEC49" s="493"/>
      <c r="WED49" s="493"/>
      <c r="WEE49" s="493"/>
      <c r="WEF49" s="493"/>
      <c r="WEG49" s="493"/>
      <c r="WEH49" s="493"/>
      <c r="WEI49" s="493"/>
      <c r="WEJ49" s="493"/>
      <c r="WEK49" s="493"/>
      <c r="WEL49" s="493"/>
      <c r="WEM49" s="493"/>
      <c r="WEN49" s="493"/>
      <c r="WEO49" s="493"/>
      <c r="WEP49" s="493"/>
      <c r="WEQ49" s="493"/>
      <c r="WER49" s="493"/>
      <c r="WES49" s="493"/>
      <c r="WET49" s="493"/>
      <c r="WEU49" s="493"/>
      <c r="WEV49" s="493"/>
      <c r="WEW49" s="493"/>
      <c r="WEX49" s="493"/>
      <c r="WEY49" s="493"/>
      <c r="WEZ49" s="493"/>
      <c r="WFA49" s="493"/>
      <c r="WFB49" s="493"/>
      <c r="WFC49" s="493"/>
      <c r="WFD49" s="493"/>
      <c r="WFE49" s="493"/>
      <c r="WFF49" s="493"/>
      <c r="WFG49" s="493"/>
      <c r="WFH49" s="493"/>
      <c r="WFI49" s="493"/>
      <c r="WFJ49" s="493"/>
      <c r="WFK49" s="493"/>
      <c r="WFL49" s="493"/>
      <c r="WFM49" s="493"/>
      <c r="WFN49" s="493"/>
      <c r="WFO49" s="493"/>
      <c r="WFP49" s="493"/>
      <c r="WFQ49" s="493"/>
      <c r="WFR49" s="493"/>
      <c r="WFS49" s="493"/>
      <c r="WFT49" s="493"/>
      <c r="WFU49" s="493"/>
      <c r="WFV49" s="493"/>
      <c r="WFW49" s="493"/>
      <c r="WFX49" s="493"/>
      <c r="WFY49" s="493"/>
      <c r="WFZ49" s="493"/>
      <c r="WGA49" s="493"/>
      <c r="WGB49" s="493"/>
      <c r="WGC49" s="493"/>
      <c r="WGD49" s="493"/>
      <c r="WGE49" s="493"/>
      <c r="WGF49" s="493"/>
      <c r="WGG49" s="493"/>
      <c r="WGH49" s="493"/>
      <c r="WGI49" s="493"/>
      <c r="WGJ49" s="493"/>
      <c r="WGK49" s="493"/>
      <c r="WGL49" s="493"/>
      <c r="WGM49" s="493"/>
      <c r="WGN49" s="493"/>
      <c r="WGO49" s="493"/>
      <c r="WGP49" s="493"/>
      <c r="WGQ49" s="493"/>
      <c r="WGR49" s="493"/>
      <c r="WGS49" s="493"/>
      <c r="WGT49" s="493"/>
      <c r="WGU49" s="493"/>
      <c r="WGV49" s="493"/>
      <c r="WGW49" s="493"/>
      <c r="WGX49" s="493"/>
      <c r="WGY49" s="493"/>
      <c r="WGZ49" s="493"/>
      <c r="WHA49" s="493"/>
      <c r="WHB49" s="493"/>
      <c r="WHC49" s="493"/>
      <c r="WHD49" s="493"/>
      <c r="WHE49" s="493"/>
      <c r="WHF49" s="493"/>
      <c r="WHG49" s="493"/>
      <c r="WHH49" s="493"/>
      <c r="WHI49" s="493"/>
      <c r="WHJ49" s="493"/>
      <c r="WHK49" s="493"/>
      <c r="WHL49" s="493"/>
      <c r="WHM49" s="493"/>
      <c r="WHN49" s="493"/>
      <c r="WHO49" s="493"/>
      <c r="WHP49" s="493"/>
      <c r="WHQ49" s="493"/>
      <c r="WHR49" s="493"/>
      <c r="WHS49" s="493"/>
      <c r="WHT49" s="493"/>
      <c r="WHU49" s="493"/>
      <c r="WHV49" s="493"/>
      <c r="WHW49" s="493"/>
      <c r="WHX49" s="493"/>
      <c r="WHY49" s="493"/>
      <c r="WHZ49" s="493"/>
      <c r="WIA49" s="493"/>
      <c r="WIB49" s="493"/>
      <c r="WIC49" s="493"/>
      <c r="WID49" s="493"/>
      <c r="WIE49" s="493"/>
      <c r="WIF49" s="493"/>
      <c r="WIG49" s="493"/>
      <c r="WIH49" s="493"/>
      <c r="WII49" s="493"/>
      <c r="WIJ49" s="493"/>
      <c r="WIK49" s="493"/>
      <c r="WIL49" s="493"/>
      <c r="WIM49" s="493"/>
      <c r="WIN49" s="493"/>
      <c r="WIO49" s="493"/>
      <c r="WIP49" s="493"/>
      <c r="WIQ49" s="493"/>
      <c r="WIR49" s="493"/>
      <c r="WIS49" s="493"/>
      <c r="WIT49" s="493"/>
      <c r="WIU49" s="493"/>
      <c r="WIV49" s="493"/>
      <c r="WIW49" s="493"/>
      <c r="WIX49" s="493"/>
      <c r="WIY49" s="493"/>
      <c r="WIZ49" s="493"/>
      <c r="WJA49" s="493"/>
      <c r="WJB49" s="493"/>
      <c r="WJC49" s="493"/>
      <c r="WJD49" s="493"/>
      <c r="WJE49" s="493"/>
      <c r="WJF49" s="493"/>
      <c r="WJG49" s="493"/>
      <c r="WJH49" s="493"/>
      <c r="WJI49" s="493"/>
      <c r="WJJ49" s="493"/>
      <c r="WJK49" s="493"/>
      <c r="WJL49" s="493"/>
      <c r="WJM49" s="493"/>
      <c r="WJN49" s="493"/>
      <c r="WJO49" s="493"/>
      <c r="WJP49" s="493"/>
      <c r="WJQ49" s="493"/>
      <c r="WJR49" s="493"/>
      <c r="WJS49" s="493"/>
      <c r="WJT49" s="493"/>
      <c r="WJU49" s="493"/>
      <c r="WJV49" s="493"/>
      <c r="WJW49" s="493"/>
      <c r="WJX49" s="493"/>
      <c r="WJY49" s="493"/>
      <c r="WJZ49" s="493"/>
      <c r="WKA49" s="493"/>
      <c r="WKB49" s="493"/>
      <c r="WKC49" s="493"/>
      <c r="WKD49" s="493"/>
      <c r="WKE49" s="493"/>
      <c r="WKF49" s="493"/>
      <c r="WKG49" s="493"/>
      <c r="WKH49" s="493"/>
      <c r="WKI49" s="493"/>
      <c r="WKJ49" s="493"/>
      <c r="WKK49" s="493"/>
      <c r="WKL49" s="493"/>
      <c r="WKM49" s="493"/>
      <c r="WKN49" s="493"/>
      <c r="WKO49" s="493"/>
      <c r="WKP49" s="493"/>
      <c r="WKQ49" s="493"/>
      <c r="WKR49" s="493"/>
      <c r="WKS49" s="493"/>
      <c r="WKT49" s="493"/>
      <c r="WKU49" s="493"/>
      <c r="WKV49" s="493"/>
      <c r="WKW49" s="493"/>
      <c r="WKX49" s="493"/>
      <c r="WKY49" s="493"/>
      <c r="WKZ49" s="493"/>
      <c r="WLA49" s="493"/>
      <c r="WLB49" s="493"/>
      <c r="WLC49" s="493"/>
      <c r="WLD49" s="493"/>
      <c r="WLE49" s="493"/>
      <c r="WLF49" s="493"/>
      <c r="WLG49" s="493"/>
      <c r="WLH49" s="493"/>
      <c r="WLI49" s="493"/>
      <c r="WLJ49" s="493"/>
      <c r="WLK49" s="493"/>
      <c r="WLL49" s="493"/>
      <c r="WLM49" s="493"/>
      <c r="WLN49" s="493"/>
      <c r="WLO49" s="493"/>
      <c r="WLP49" s="493"/>
      <c r="WLQ49" s="493"/>
      <c r="WLR49" s="493"/>
      <c r="WLS49" s="493"/>
      <c r="WLT49" s="493"/>
      <c r="WLU49" s="493"/>
      <c r="WLV49" s="493"/>
      <c r="WLW49" s="493"/>
      <c r="WLX49" s="493"/>
      <c r="WLY49" s="493"/>
      <c r="WLZ49" s="493"/>
      <c r="WMA49" s="493"/>
      <c r="WMB49" s="493"/>
      <c r="WMC49" s="493"/>
      <c r="WMD49" s="493"/>
      <c r="WME49" s="493"/>
      <c r="WMF49" s="493"/>
      <c r="WMG49" s="493"/>
      <c r="WMH49" s="493"/>
      <c r="WMI49" s="493"/>
      <c r="WMJ49" s="493"/>
      <c r="WMK49" s="493"/>
      <c r="WML49" s="493"/>
      <c r="WMM49" s="493"/>
      <c r="WMN49" s="493"/>
      <c r="WMO49" s="493"/>
      <c r="WMP49" s="493"/>
      <c r="WMQ49" s="493"/>
      <c r="WMR49" s="493"/>
      <c r="WMS49" s="493"/>
      <c r="WMT49" s="493"/>
      <c r="WMU49" s="493"/>
      <c r="WMV49" s="493"/>
      <c r="WMW49" s="493"/>
      <c r="WMX49" s="493"/>
      <c r="WMY49" s="493"/>
      <c r="WMZ49" s="493"/>
      <c r="WNA49" s="493"/>
      <c r="WNB49" s="493"/>
      <c r="WNC49" s="493"/>
      <c r="WND49" s="493"/>
      <c r="WNE49" s="493"/>
      <c r="WNF49" s="493"/>
      <c r="WNG49" s="493"/>
      <c r="WNH49" s="493"/>
      <c r="WNI49" s="493"/>
      <c r="WNJ49" s="493"/>
      <c r="WNK49" s="493"/>
      <c r="WNL49" s="493"/>
      <c r="WNM49" s="493"/>
      <c r="WNN49" s="493"/>
      <c r="WNO49" s="493"/>
      <c r="WNP49" s="493"/>
      <c r="WNQ49" s="493"/>
      <c r="WNR49" s="493"/>
      <c r="WNS49" s="493"/>
      <c r="WNT49" s="493"/>
      <c r="WNU49" s="493"/>
      <c r="WNV49" s="493"/>
      <c r="WNW49" s="493"/>
      <c r="WNX49" s="493"/>
      <c r="WNY49" s="493"/>
      <c r="WNZ49" s="493"/>
      <c r="WOA49" s="493"/>
      <c r="WOB49" s="493"/>
      <c r="WOC49" s="493"/>
      <c r="WOD49" s="493"/>
      <c r="WOE49" s="493"/>
      <c r="WOF49" s="493"/>
      <c r="WOG49" s="493"/>
      <c r="WOH49" s="493"/>
      <c r="WOI49" s="493"/>
      <c r="WOJ49" s="493"/>
      <c r="WOK49" s="493"/>
      <c r="WOL49" s="493"/>
      <c r="WOM49" s="493"/>
      <c r="WON49" s="493"/>
      <c r="WOO49" s="493"/>
      <c r="WOP49" s="493"/>
      <c r="WOQ49" s="493"/>
      <c r="WOR49" s="493"/>
      <c r="WOS49" s="493"/>
      <c r="WOT49" s="493"/>
      <c r="WOU49" s="493"/>
      <c r="WOV49" s="493"/>
      <c r="WOW49" s="493"/>
      <c r="WOX49" s="493"/>
      <c r="WOY49" s="493"/>
      <c r="WOZ49" s="493"/>
      <c r="WPA49" s="493"/>
      <c r="WPB49" s="493"/>
      <c r="WPC49" s="493"/>
      <c r="WPD49" s="493"/>
      <c r="WPE49" s="493"/>
      <c r="WPF49" s="493"/>
      <c r="WPG49" s="493"/>
      <c r="WPH49" s="493"/>
      <c r="WPI49" s="493"/>
      <c r="WPJ49" s="493"/>
      <c r="WPK49" s="493"/>
      <c r="WPL49" s="493"/>
      <c r="WPM49" s="493"/>
      <c r="WPN49" s="493"/>
      <c r="WPO49" s="493"/>
      <c r="WPP49" s="493"/>
      <c r="WPQ49" s="493"/>
      <c r="WPR49" s="493"/>
      <c r="WPS49" s="493"/>
      <c r="WPT49" s="493"/>
      <c r="WPU49" s="493"/>
      <c r="WPV49" s="493"/>
      <c r="WPW49" s="493"/>
      <c r="WPX49" s="493"/>
      <c r="WPY49" s="493"/>
      <c r="WPZ49" s="493"/>
      <c r="WQA49" s="493"/>
      <c r="WQB49" s="493"/>
      <c r="WQC49" s="493"/>
      <c r="WQD49" s="493"/>
      <c r="WQE49" s="493"/>
      <c r="WQF49" s="493"/>
      <c r="WQG49" s="493"/>
      <c r="WQH49" s="493"/>
      <c r="WQI49" s="493"/>
      <c r="WQJ49" s="493"/>
      <c r="WQK49" s="493"/>
      <c r="WQL49" s="493"/>
      <c r="WQM49" s="493"/>
      <c r="WQN49" s="493"/>
      <c r="WQO49" s="493"/>
      <c r="WQP49" s="493"/>
      <c r="WQQ49" s="493"/>
      <c r="WQR49" s="493"/>
      <c r="WQS49" s="493"/>
      <c r="WQT49" s="493"/>
      <c r="WQU49" s="493"/>
      <c r="WQV49" s="493"/>
      <c r="WQW49" s="493"/>
      <c r="WQX49" s="493"/>
      <c r="WQY49" s="493"/>
      <c r="WQZ49" s="493"/>
      <c r="WRA49" s="493"/>
      <c r="WRB49" s="493"/>
      <c r="WRC49" s="493"/>
      <c r="WRD49" s="493"/>
      <c r="WRE49" s="493"/>
      <c r="WRF49" s="493"/>
      <c r="WRG49" s="493"/>
      <c r="WRH49" s="493"/>
      <c r="WRI49" s="493"/>
      <c r="WRJ49" s="493"/>
      <c r="WRK49" s="493"/>
      <c r="WRL49" s="493"/>
      <c r="WRM49" s="493"/>
      <c r="WRN49" s="493"/>
      <c r="WRO49" s="493"/>
      <c r="WRP49" s="493"/>
      <c r="WRQ49" s="493"/>
      <c r="WRR49" s="493"/>
      <c r="WRS49" s="493"/>
      <c r="WRT49" s="493"/>
      <c r="WRU49" s="493"/>
      <c r="WRV49" s="493"/>
      <c r="WRW49" s="493"/>
      <c r="WRX49" s="493"/>
      <c r="WRY49" s="493"/>
      <c r="WRZ49" s="493"/>
      <c r="WSA49" s="493"/>
      <c r="WSB49" s="493"/>
      <c r="WSC49" s="493"/>
      <c r="WSD49" s="493"/>
      <c r="WSE49" s="493"/>
      <c r="WSF49" s="493"/>
      <c r="WSG49" s="493"/>
      <c r="WSH49" s="493"/>
      <c r="WSI49" s="493"/>
      <c r="WSJ49" s="493"/>
      <c r="WSK49" s="493"/>
      <c r="WSL49" s="493"/>
      <c r="WSM49" s="493"/>
      <c r="WSN49" s="493"/>
      <c r="WSO49" s="493"/>
      <c r="WSP49" s="493"/>
      <c r="WSQ49" s="493"/>
      <c r="WSR49" s="493"/>
      <c r="WSS49" s="493"/>
      <c r="WST49" s="493"/>
      <c r="WSU49" s="493"/>
      <c r="WSV49" s="493"/>
      <c r="WSW49" s="493"/>
      <c r="WSX49" s="493"/>
      <c r="WSY49" s="493"/>
      <c r="WSZ49" s="493"/>
      <c r="WTA49" s="493"/>
      <c r="WTB49" s="493"/>
      <c r="WTC49" s="493"/>
      <c r="WTD49" s="493"/>
      <c r="WTE49" s="493"/>
      <c r="WTF49" s="493"/>
      <c r="WTG49" s="493"/>
      <c r="WTH49" s="493"/>
      <c r="WTI49" s="493"/>
      <c r="WTJ49" s="493"/>
      <c r="WTK49" s="493"/>
      <c r="WTL49" s="493"/>
      <c r="WTM49" s="493"/>
      <c r="WTN49" s="493"/>
      <c r="WTO49" s="493"/>
      <c r="WTP49" s="493"/>
      <c r="WTQ49" s="493"/>
      <c r="WTR49" s="493"/>
      <c r="WTS49" s="493"/>
      <c r="WTT49" s="493"/>
      <c r="WTU49" s="493"/>
      <c r="WTV49" s="493"/>
      <c r="WTW49" s="493"/>
      <c r="WTX49" s="493"/>
      <c r="WTY49" s="493"/>
      <c r="WTZ49" s="493"/>
      <c r="WUA49" s="493"/>
      <c r="WUB49" s="493"/>
      <c r="WUC49" s="493"/>
      <c r="WUD49" s="493"/>
      <c r="WUE49" s="493"/>
      <c r="WUF49" s="493"/>
      <c r="WUG49" s="493"/>
      <c r="WUH49" s="493"/>
      <c r="WUI49" s="493"/>
      <c r="WUJ49" s="493"/>
      <c r="WUK49" s="493"/>
      <c r="WUL49" s="493"/>
      <c r="WUM49" s="493"/>
      <c r="WUN49" s="493"/>
      <c r="WUO49" s="493"/>
      <c r="WUP49" s="493"/>
      <c r="WUQ49" s="493"/>
      <c r="WUR49" s="493"/>
      <c r="WUS49" s="493"/>
      <c r="WUT49" s="493"/>
      <c r="WUU49" s="493"/>
      <c r="WUV49" s="493"/>
      <c r="WUW49" s="493"/>
      <c r="WUX49" s="493"/>
      <c r="WUY49" s="493"/>
      <c r="WUZ49" s="493"/>
      <c r="WVA49" s="493"/>
      <c r="WVB49" s="493"/>
      <c r="WVC49" s="493"/>
      <c r="WVD49" s="493"/>
      <c r="WVE49" s="493"/>
      <c r="WVF49" s="493"/>
      <c r="WVG49" s="493"/>
      <c r="WVH49" s="493"/>
      <c r="WVI49" s="493"/>
      <c r="WVJ49" s="493"/>
      <c r="WVK49" s="493"/>
      <c r="WVL49" s="493"/>
      <c r="WVM49" s="493"/>
      <c r="WVN49" s="493"/>
      <c r="WVO49" s="493"/>
      <c r="WVP49" s="493"/>
      <c r="WVQ49" s="493"/>
      <c r="WVR49" s="493"/>
      <c r="WVS49" s="493"/>
      <c r="WVT49" s="493"/>
      <c r="WVU49" s="493"/>
      <c r="WVV49" s="493"/>
      <c r="WVW49" s="493"/>
      <c r="WVX49" s="493"/>
      <c r="WVY49" s="493"/>
      <c r="WVZ49" s="493"/>
      <c r="WWA49" s="493"/>
      <c r="WWB49" s="493"/>
      <c r="WWC49" s="493"/>
      <c r="WWD49" s="493"/>
      <c r="WWE49" s="493"/>
      <c r="WWF49" s="493"/>
      <c r="WWG49" s="493"/>
      <c r="WWH49" s="493"/>
      <c r="WWI49" s="493"/>
      <c r="WWJ49" s="493"/>
      <c r="WWK49" s="493"/>
      <c r="WWL49" s="493"/>
      <c r="WWM49" s="493"/>
      <c r="WWN49" s="493"/>
      <c r="WWO49" s="493"/>
      <c r="WWP49" s="493"/>
      <c r="WWQ49" s="493"/>
      <c r="WWR49" s="493"/>
      <c r="WWS49" s="493"/>
      <c r="WWT49" s="493"/>
      <c r="WWU49" s="493"/>
      <c r="WWV49" s="493"/>
      <c r="WWW49" s="493"/>
      <c r="WWX49" s="493"/>
      <c r="WWY49" s="493"/>
      <c r="WWZ49" s="493"/>
      <c r="WXA49" s="493"/>
      <c r="WXB49" s="493"/>
      <c r="WXC49" s="493"/>
      <c r="WXD49" s="493"/>
      <c r="WXE49" s="493"/>
      <c r="WXF49" s="493"/>
      <c r="WXG49" s="493"/>
      <c r="WXH49" s="493"/>
      <c r="WXI49" s="493"/>
      <c r="WXJ49" s="493"/>
      <c r="WXK49" s="493"/>
      <c r="WXL49" s="493"/>
      <c r="WXM49" s="493"/>
      <c r="WXN49" s="493"/>
      <c r="WXO49" s="493"/>
      <c r="WXP49" s="493"/>
      <c r="WXQ49" s="493"/>
      <c r="WXR49" s="493"/>
      <c r="WXS49" s="493"/>
      <c r="WXT49" s="493"/>
      <c r="WXU49" s="493"/>
      <c r="WXV49" s="493"/>
      <c r="WXW49" s="493"/>
      <c r="WXX49" s="493"/>
      <c r="WXY49" s="493"/>
      <c r="WXZ49" s="493"/>
      <c r="WYA49" s="493"/>
      <c r="WYB49" s="493"/>
      <c r="WYC49" s="493"/>
      <c r="WYD49" s="493"/>
      <c r="WYE49" s="493"/>
      <c r="WYF49" s="493"/>
      <c r="WYG49" s="493"/>
      <c r="WYH49" s="493"/>
      <c r="WYI49" s="493"/>
      <c r="WYJ49" s="493"/>
      <c r="WYK49" s="493"/>
      <c r="WYL49" s="493"/>
      <c r="WYM49" s="493"/>
      <c r="WYN49" s="493"/>
      <c r="WYO49" s="493"/>
      <c r="WYP49" s="493"/>
      <c r="WYQ49" s="493"/>
      <c r="WYR49" s="493"/>
      <c r="WYS49" s="493"/>
      <c r="WYT49" s="493"/>
      <c r="WYU49" s="493"/>
      <c r="WYV49" s="493"/>
      <c r="WYW49" s="493"/>
      <c r="WYX49" s="493"/>
      <c r="WYY49" s="493"/>
      <c r="WYZ49" s="493"/>
      <c r="WZA49" s="493"/>
      <c r="WZB49" s="493"/>
      <c r="WZC49" s="493"/>
      <c r="WZD49" s="493"/>
      <c r="WZE49" s="493"/>
      <c r="WZF49" s="493"/>
      <c r="WZG49" s="493"/>
      <c r="WZH49" s="493"/>
      <c r="WZI49" s="493"/>
      <c r="WZJ49" s="493"/>
      <c r="WZK49" s="493"/>
      <c r="WZL49" s="493"/>
      <c r="WZM49" s="493"/>
      <c r="WZN49" s="493"/>
      <c r="WZO49" s="493"/>
      <c r="WZP49" s="493"/>
      <c r="WZQ49" s="493"/>
      <c r="WZR49" s="493"/>
      <c r="WZS49" s="493"/>
      <c r="WZT49" s="493"/>
      <c r="WZU49" s="493"/>
      <c r="WZV49" s="493"/>
      <c r="WZW49" s="493"/>
      <c r="WZX49" s="493"/>
      <c r="WZY49" s="493"/>
      <c r="WZZ49" s="493"/>
      <c r="XAA49" s="493"/>
      <c r="XAB49" s="493"/>
      <c r="XAC49" s="493"/>
      <c r="XAD49" s="493"/>
      <c r="XAE49" s="493"/>
      <c r="XAF49" s="493"/>
      <c r="XAG49" s="493"/>
      <c r="XAH49" s="493"/>
      <c r="XAI49" s="493"/>
      <c r="XAJ49" s="493"/>
      <c r="XAK49" s="493"/>
      <c r="XAL49" s="493"/>
      <c r="XAM49" s="493"/>
      <c r="XAN49" s="493"/>
      <c r="XAO49" s="493"/>
      <c r="XAP49" s="493"/>
      <c r="XAQ49" s="493"/>
      <c r="XAR49" s="493"/>
      <c r="XAS49" s="493"/>
      <c r="XAT49" s="493"/>
      <c r="XAU49" s="493"/>
      <c r="XAV49" s="493"/>
      <c r="XAW49" s="493"/>
      <c r="XAX49" s="493"/>
      <c r="XAY49" s="493"/>
      <c r="XAZ49" s="493"/>
      <c r="XBA49" s="493"/>
      <c r="XBB49" s="493"/>
      <c r="XBC49" s="493"/>
      <c r="XBD49" s="493"/>
      <c r="XBE49" s="493"/>
      <c r="XBF49" s="493"/>
      <c r="XBG49" s="493"/>
      <c r="XBH49" s="493"/>
      <c r="XBI49" s="493"/>
      <c r="XBJ49" s="493"/>
      <c r="XBK49" s="493"/>
      <c r="XBL49" s="493"/>
      <c r="XBM49" s="493"/>
      <c r="XBN49" s="493"/>
      <c r="XBO49" s="493"/>
      <c r="XBP49" s="493"/>
      <c r="XBQ49" s="493"/>
      <c r="XBR49" s="493"/>
      <c r="XBS49" s="493"/>
      <c r="XBT49" s="493"/>
      <c r="XBU49" s="493"/>
      <c r="XBV49" s="493"/>
      <c r="XBW49" s="493"/>
      <c r="XBX49" s="493"/>
      <c r="XBY49" s="493"/>
      <c r="XBZ49" s="493"/>
      <c r="XCA49" s="493"/>
      <c r="XCB49" s="493"/>
      <c r="XCC49" s="493"/>
      <c r="XCD49" s="493"/>
      <c r="XCE49" s="493"/>
      <c r="XCF49" s="493"/>
      <c r="XCG49" s="493"/>
      <c r="XCH49" s="493"/>
      <c r="XCI49" s="493"/>
      <c r="XCJ49" s="493"/>
      <c r="XCK49" s="493"/>
      <c r="XCL49" s="493"/>
      <c r="XCM49" s="493"/>
      <c r="XCN49" s="493"/>
      <c r="XCO49" s="493"/>
      <c r="XCP49" s="493"/>
      <c r="XCQ49" s="493"/>
      <c r="XCR49" s="493"/>
      <c r="XCS49" s="493"/>
      <c r="XCT49" s="493"/>
      <c r="XCU49" s="493"/>
      <c r="XCV49" s="493"/>
      <c r="XCW49" s="493"/>
      <c r="XCX49" s="493"/>
      <c r="XCY49" s="493"/>
      <c r="XCZ49" s="493"/>
      <c r="XDA49" s="493"/>
      <c r="XDB49" s="493"/>
      <c r="XDC49" s="493"/>
      <c r="XDD49" s="493"/>
      <c r="XDE49" s="493"/>
      <c r="XDF49" s="493"/>
      <c r="XDG49" s="493"/>
      <c r="XDH49" s="493"/>
      <c r="XDI49" s="493"/>
      <c r="XDJ49" s="493"/>
      <c r="XDK49" s="493"/>
      <c r="XDL49" s="493"/>
      <c r="XDM49" s="493"/>
      <c r="XDN49" s="493"/>
      <c r="XDO49" s="493"/>
      <c r="XDP49" s="493"/>
      <c r="XDQ49" s="493"/>
      <c r="XDR49" s="493"/>
      <c r="XDS49" s="493"/>
      <c r="XDT49" s="493"/>
      <c r="XDU49" s="493"/>
      <c r="XDV49" s="493"/>
      <c r="XDW49" s="493"/>
      <c r="XDX49" s="493"/>
      <c r="XDY49" s="493"/>
      <c r="XDZ49" s="493"/>
      <c r="XEA49" s="493"/>
      <c r="XEB49" s="493"/>
      <c r="XEC49" s="493"/>
      <c r="XED49" s="493"/>
      <c r="XEE49" s="493"/>
      <c r="XEF49" s="493"/>
      <c r="XEG49" s="493"/>
      <c r="XEH49" s="493"/>
      <c r="XEI49" s="493"/>
      <c r="XEJ49" s="493"/>
      <c r="XEK49" s="493"/>
      <c r="XEL49" s="493"/>
      <c r="XEM49" s="493"/>
      <c r="XEN49" s="493"/>
      <c r="XEO49" s="493"/>
      <c r="XEP49" s="493"/>
      <c r="XEQ49" s="493"/>
      <c r="XER49" s="493"/>
      <c r="XES49" s="493"/>
      <c r="XET49" s="493"/>
      <c r="XEU49" s="493"/>
      <c r="XEV49" s="493"/>
      <c r="XEW49" s="493"/>
      <c r="XEX49" s="493"/>
      <c r="XEY49" s="493"/>
      <c r="XEZ49" s="493"/>
    </row>
    <row r="52" spans="1:1">
      <c r="A52" s="486"/>
    </row>
  </sheetData>
  <mergeCells count="7">
    <mergeCell ref="A2:J2"/>
    <mergeCell ref="A4:A6"/>
    <mergeCell ref="J4:J6"/>
    <mergeCell ref="B4:C5"/>
    <mergeCell ref="D4:E5"/>
    <mergeCell ref="F4:G5"/>
    <mergeCell ref="H4:I5"/>
  </mergeCells>
  <printOptions horizontalCentered="1"/>
  <pageMargins left="0.393055555555556" right="0.393055555555556" top="0.590277777777778" bottom="0.590277777777778" header="0.196527777777778" footer="0.196527777777778"/>
  <pageSetup paperSize="9" scale="94" fitToHeight="0"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437"/>
  <sheetViews>
    <sheetView showGridLines="0" showZeros="0" zoomScaleSheetLayoutView="90" workbookViewId="0">
      <pane ySplit="5" topLeftCell="A6" activePane="bottomLeft" state="frozen"/>
      <selection/>
      <selection pane="bottomLeft" activeCell="J86" sqref="J86"/>
    </sheetView>
  </sheetViews>
  <sheetFormatPr defaultColWidth="9" defaultRowHeight="21.95" customHeight="1"/>
  <cols>
    <col min="1" max="1" width="8.875" style="433" customWidth="1"/>
    <col min="2" max="2" width="19" style="434" customWidth="1"/>
    <col min="3" max="10" width="10.625" style="175" customWidth="1"/>
    <col min="11" max="11" width="10.625" style="435" customWidth="1"/>
    <col min="12" max="12" width="10.625" style="175" customWidth="1"/>
    <col min="13" max="13" width="10.625" style="8" customWidth="1"/>
    <col min="14" max="14" width="26.2416666666667" style="8" customWidth="1"/>
    <col min="15" max="16384" width="9" style="30"/>
  </cols>
  <sheetData>
    <row r="1" ht="20" customHeight="1" spans="1:1">
      <c r="A1" s="436" t="s">
        <v>78</v>
      </c>
    </row>
    <row r="2" ht="30" customHeight="1" spans="1:14">
      <c r="A2" s="437" t="s">
        <v>79</v>
      </c>
      <c r="B2" s="437"/>
      <c r="C2" s="438"/>
      <c r="D2" s="438"/>
      <c r="E2" s="438"/>
      <c r="F2" s="438"/>
      <c r="G2" s="438"/>
      <c r="H2" s="438"/>
      <c r="I2" s="438"/>
      <c r="J2" s="438"/>
      <c r="K2" s="438"/>
      <c r="L2" s="438"/>
      <c r="M2" s="443"/>
      <c r="N2" s="437"/>
    </row>
    <row r="3" s="30" customFormat="1" ht="20" customHeight="1" spans="1:14">
      <c r="A3" s="439"/>
      <c r="B3" s="439"/>
      <c r="C3" s="440"/>
      <c r="D3" s="440"/>
      <c r="E3" s="440"/>
      <c r="F3" s="440"/>
      <c r="G3" s="440"/>
      <c r="H3" s="440"/>
      <c r="I3" s="440"/>
      <c r="J3" s="440"/>
      <c r="K3" s="440"/>
      <c r="L3" s="440"/>
      <c r="M3" s="444"/>
      <c r="N3" s="445" t="s">
        <v>22</v>
      </c>
    </row>
    <row r="4" s="431" customFormat="1" customHeight="1" spans="1:14">
      <c r="A4" s="15" t="s">
        <v>80</v>
      </c>
      <c r="B4" s="15" t="s">
        <v>81</v>
      </c>
      <c r="C4" s="294" t="s">
        <v>24</v>
      </c>
      <c r="D4" s="294"/>
      <c r="E4" s="294"/>
      <c r="F4" s="294" t="s">
        <v>25</v>
      </c>
      <c r="G4" s="294"/>
      <c r="H4" s="294"/>
      <c r="I4" s="294"/>
      <c r="J4" s="294" t="s">
        <v>26</v>
      </c>
      <c r="K4" s="294"/>
      <c r="L4" s="294"/>
      <c r="M4" s="446" t="s">
        <v>27</v>
      </c>
      <c r="N4" s="15" t="s">
        <v>28</v>
      </c>
    </row>
    <row r="5" s="431" customFormat="1" ht="30" customHeight="1" spans="1:14">
      <c r="A5" s="15"/>
      <c r="B5" s="15"/>
      <c r="C5" s="294" t="s">
        <v>82</v>
      </c>
      <c r="D5" s="294" t="s">
        <v>83</v>
      </c>
      <c r="E5" s="294" t="s">
        <v>84</v>
      </c>
      <c r="F5" s="294" t="s">
        <v>85</v>
      </c>
      <c r="G5" s="294" t="s">
        <v>86</v>
      </c>
      <c r="H5" s="294" t="s">
        <v>87</v>
      </c>
      <c r="I5" s="294" t="s">
        <v>83</v>
      </c>
      <c r="J5" s="294" t="s">
        <v>82</v>
      </c>
      <c r="K5" s="294" t="s">
        <v>83</v>
      </c>
      <c r="L5" s="294" t="s">
        <v>84</v>
      </c>
      <c r="M5" s="446"/>
      <c r="N5" s="15"/>
    </row>
    <row r="6" s="38" customFormat="1" customHeight="1" spans="1:14">
      <c r="A6" s="441">
        <v>201</v>
      </c>
      <c r="B6" s="147" t="s">
        <v>88</v>
      </c>
      <c r="C6" s="442">
        <f t="shared" ref="C6:G6" si="0">C7+C14+C19+C22+C28+C35+C40+C42+C48+C53+C57+C60+C62+C64+C68+C73+C76+C79+C83+C87+C93</f>
        <v>23792.02</v>
      </c>
      <c r="D6" s="442">
        <f t="shared" si="0"/>
        <v>2472.31</v>
      </c>
      <c r="E6" s="442">
        <f t="shared" si="0"/>
        <v>26264.33</v>
      </c>
      <c r="F6" s="442">
        <f t="shared" si="0"/>
        <v>397.56</v>
      </c>
      <c r="G6" s="442">
        <f t="shared" si="0"/>
        <v>-8</v>
      </c>
      <c r="H6" s="442">
        <v>847.76</v>
      </c>
      <c r="I6" s="442">
        <f t="shared" ref="I6:I13" si="1">K6-D6</f>
        <v>2233.52</v>
      </c>
      <c r="J6" s="442">
        <f t="shared" ref="J6:L6" si="2">J7+J14+J19+J22+J28+J35+J40+J42+J48+J53+J57+J60+J62+J64+J68+J73+J76+J79+J83+J87+J93</f>
        <v>25061.68</v>
      </c>
      <c r="K6" s="442">
        <f t="shared" si="2"/>
        <v>4705.83</v>
      </c>
      <c r="L6" s="442">
        <f t="shared" si="2"/>
        <v>29767.51</v>
      </c>
      <c r="M6" s="447">
        <f t="shared" ref="M6:M46" si="3">(L6-E6)/E6*100</f>
        <v>13.3381662505764</v>
      </c>
      <c r="N6" s="448">
        <f>N7+N14+N19+N22+N28+N35+N40+N42+N48+N53+N57+N60+N62+N64+N68+N73+N76+N79+N83+N87+N93</f>
        <v>0</v>
      </c>
    </row>
    <row r="7" s="38" customFormat="1" customHeight="1" spans="1:14">
      <c r="A7" s="441">
        <v>20101</v>
      </c>
      <c r="B7" s="147" t="s">
        <v>89</v>
      </c>
      <c r="C7" s="442">
        <f t="shared" ref="C7:L7" si="4">C8+C9+C11+C12+C13+C10</f>
        <v>848.35</v>
      </c>
      <c r="D7" s="442">
        <f t="shared" si="4"/>
        <v>0</v>
      </c>
      <c r="E7" s="442">
        <f t="shared" si="4"/>
        <v>848.35</v>
      </c>
      <c r="F7" s="442">
        <f t="shared" si="4"/>
        <v>12.66</v>
      </c>
      <c r="G7" s="442">
        <f t="shared" si="4"/>
        <v>0</v>
      </c>
      <c r="H7" s="442">
        <f t="shared" si="4"/>
        <v>4.9</v>
      </c>
      <c r="I7" s="442">
        <f t="shared" si="4"/>
        <v>107.325</v>
      </c>
      <c r="J7" s="442">
        <f t="shared" si="4"/>
        <v>865.91</v>
      </c>
      <c r="K7" s="442">
        <f t="shared" si="4"/>
        <v>107.325</v>
      </c>
      <c r="L7" s="442">
        <f t="shared" si="4"/>
        <v>973.235</v>
      </c>
      <c r="M7" s="447">
        <f t="shared" si="3"/>
        <v>14.7209288619084</v>
      </c>
      <c r="N7" s="448"/>
    </row>
    <row r="8" s="38" customFormat="1" ht="29" customHeight="1" spans="1:14">
      <c r="A8" s="441">
        <v>2010101</v>
      </c>
      <c r="B8" s="147" t="s">
        <v>90</v>
      </c>
      <c r="C8" s="442">
        <v>587.82</v>
      </c>
      <c r="D8" s="442">
        <v>0</v>
      </c>
      <c r="E8" s="442">
        <f t="shared" ref="E8:E13" si="5">C8+D8</f>
        <v>587.82</v>
      </c>
      <c r="F8" s="442">
        <v>-2.34</v>
      </c>
      <c r="G8" s="442"/>
      <c r="H8" s="442">
        <v>15.4</v>
      </c>
      <c r="I8" s="442">
        <f t="shared" si="1"/>
        <v>0</v>
      </c>
      <c r="J8" s="442">
        <v>600.88</v>
      </c>
      <c r="K8" s="442"/>
      <c r="L8" s="442">
        <f t="shared" ref="L8:L13" si="6">J8+K8</f>
        <v>600.88</v>
      </c>
      <c r="M8" s="447">
        <f t="shared" si="3"/>
        <v>2.22176856860943</v>
      </c>
      <c r="N8" s="449" t="s">
        <v>91</v>
      </c>
    </row>
    <row r="9" s="38" customFormat="1" customHeight="1" spans="1:14">
      <c r="A9" s="441">
        <v>2010102</v>
      </c>
      <c r="B9" s="147" t="s">
        <v>92</v>
      </c>
      <c r="C9" s="442">
        <v>10.5</v>
      </c>
      <c r="D9" s="442">
        <v>0</v>
      </c>
      <c r="E9" s="442">
        <f t="shared" si="5"/>
        <v>10.5</v>
      </c>
      <c r="F9" s="442"/>
      <c r="G9" s="442"/>
      <c r="H9" s="442">
        <v>-10.5</v>
      </c>
      <c r="I9" s="442">
        <f t="shared" si="1"/>
        <v>0</v>
      </c>
      <c r="J9" s="442"/>
      <c r="K9" s="442"/>
      <c r="L9" s="442">
        <f t="shared" si="6"/>
        <v>0</v>
      </c>
      <c r="M9" s="447">
        <f t="shared" si="3"/>
        <v>-100</v>
      </c>
      <c r="N9" s="448" t="s">
        <v>93</v>
      </c>
    </row>
    <row r="10" s="38" customFormat="1" customHeight="1" spans="1:14">
      <c r="A10" s="441">
        <v>2010104</v>
      </c>
      <c r="B10" s="147" t="s">
        <v>94</v>
      </c>
      <c r="C10" s="442">
        <v>16</v>
      </c>
      <c r="D10" s="442">
        <v>0</v>
      </c>
      <c r="E10" s="442">
        <f t="shared" si="5"/>
        <v>16</v>
      </c>
      <c r="F10" s="442">
        <v>0</v>
      </c>
      <c r="G10" s="442"/>
      <c r="H10" s="442">
        <v>0</v>
      </c>
      <c r="I10" s="442">
        <f t="shared" si="1"/>
        <v>0</v>
      </c>
      <c r="J10" s="442">
        <v>16</v>
      </c>
      <c r="K10" s="442"/>
      <c r="L10" s="442">
        <f t="shared" si="6"/>
        <v>16</v>
      </c>
      <c r="M10" s="447">
        <f t="shared" si="3"/>
        <v>0</v>
      </c>
      <c r="N10" s="449"/>
    </row>
    <row r="11" s="38" customFormat="1" customHeight="1" spans="1:14">
      <c r="A11" s="441">
        <v>2010106</v>
      </c>
      <c r="B11" s="147" t="s">
        <v>95</v>
      </c>
      <c r="C11" s="442">
        <v>2</v>
      </c>
      <c r="D11" s="442">
        <v>0</v>
      </c>
      <c r="E11" s="442">
        <f t="shared" si="5"/>
        <v>2</v>
      </c>
      <c r="F11" s="442">
        <v>0</v>
      </c>
      <c r="G11" s="442"/>
      <c r="H11" s="442">
        <v>0</v>
      </c>
      <c r="I11" s="442">
        <f t="shared" si="1"/>
        <v>0</v>
      </c>
      <c r="J11" s="442">
        <v>2</v>
      </c>
      <c r="K11" s="442"/>
      <c r="L11" s="442">
        <f t="shared" si="6"/>
        <v>2</v>
      </c>
      <c r="M11" s="447">
        <f t="shared" si="3"/>
        <v>0</v>
      </c>
      <c r="N11" s="449"/>
    </row>
    <row r="12" s="38" customFormat="1" customHeight="1" spans="1:14">
      <c r="A12" s="441">
        <v>2010108</v>
      </c>
      <c r="B12" s="147" t="s">
        <v>96</v>
      </c>
      <c r="C12" s="442">
        <v>50.2</v>
      </c>
      <c r="D12" s="442">
        <v>0</v>
      </c>
      <c r="E12" s="442">
        <f t="shared" si="5"/>
        <v>50.2</v>
      </c>
      <c r="F12" s="442">
        <v>0</v>
      </c>
      <c r="G12" s="442"/>
      <c r="H12" s="442">
        <v>0</v>
      </c>
      <c r="I12" s="442">
        <f t="shared" si="1"/>
        <v>0</v>
      </c>
      <c r="J12" s="442">
        <v>50.2</v>
      </c>
      <c r="K12" s="442"/>
      <c r="L12" s="442">
        <f t="shared" si="6"/>
        <v>50.2</v>
      </c>
      <c r="M12" s="447">
        <f t="shared" si="3"/>
        <v>0</v>
      </c>
      <c r="N12" s="448"/>
    </row>
    <row r="13" s="38" customFormat="1" ht="31" customHeight="1" spans="1:14">
      <c r="A13" s="441">
        <v>2010199</v>
      </c>
      <c r="B13" s="147" t="s">
        <v>97</v>
      </c>
      <c r="C13" s="442">
        <v>181.83</v>
      </c>
      <c r="D13" s="442">
        <v>0</v>
      </c>
      <c r="E13" s="442">
        <f t="shared" si="5"/>
        <v>181.83</v>
      </c>
      <c r="F13" s="442">
        <v>15</v>
      </c>
      <c r="G13" s="442"/>
      <c r="H13" s="442">
        <v>0</v>
      </c>
      <c r="I13" s="442">
        <f t="shared" si="1"/>
        <v>107.325</v>
      </c>
      <c r="J13" s="442">
        <v>196.83</v>
      </c>
      <c r="K13" s="442">
        <v>107.325</v>
      </c>
      <c r="L13" s="442">
        <f t="shared" si="6"/>
        <v>304.155</v>
      </c>
      <c r="M13" s="447">
        <f t="shared" si="3"/>
        <v>67.2743771654842</v>
      </c>
      <c r="N13" s="449" t="s">
        <v>98</v>
      </c>
    </row>
    <row r="14" s="38" customFormat="1" customHeight="1" spans="1:14">
      <c r="A14" s="441">
        <v>20102</v>
      </c>
      <c r="B14" s="147" t="s">
        <v>99</v>
      </c>
      <c r="C14" s="442">
        <f t="shared" ref="C14:L14" si="7">C15+C16+C17+C18</f>
        <v>509.73</v>
      </c>
      <c r="D14" s="442">
        <f t="shared" si="7"/>
        <v>0</v>
      </c>
      <c r="E14" s="442">
        <f t="shared" si="7"/>
        <v>509.73</v>
      </c>
      <c r="F14" s="442">
        <f t="shared" si="7"/>
        <v>-5.67</v>
      </c>
      <c r="G14" s="442">
        <f t="shared" si="7"/>
        <v>0</v>
      </c>
      <c r="H14" s="442">
        <f t="shared" si="7"/>
        <v>9.60000000000001</v>
      </c>
      <c r="I14" s="442">
        <f t="shared" si="7"/>
        <v>1</v>
      </c>
      <c r="J14" s="442">
        <f t="shared" si="7"/>
        <v>513.66</v>
      </c>
      <c r="K14" s="442">
        <f t="shared" si="7"/>
        <v>1</v>
      </c>
      <c r="L14" s="442">
        <f t="shared" si="7"/>
        <v>514.66</v>
      </c>
      <c r="M14" s="447">
        <f t="shared" si="3"/>
        <v>0.967178702450329</v>
      </c>
      <c r="N14" s="448"/>
    </row>
    <row r="15" s="38" customFormat="1" ht="28" customHeight="1" spans="1:14">
      <c r="A15" s="441">
        <v>2010201</v>
      </c>
      <c r="B15" s="147" t="s">
        <v>90</v>
      </c>
      <c r="C15" s="442">
        <v>419.73</v>
      </c>
      <c r="D15" s="442">
        <v>0</v>
      </c>
      <c r="E15" s="442">
        <f t="shared" ref="E15:E18" si="8">C15+D15</f>
        <v>419.73</v>
      </c>
      <c r="F15" s="442">
        <v>-5.67</v>
      </c>
      <c r="G15" s="442"/>
      <c r="H15" s="442">
        <v>9.60000000000001</v>
      </c>
      <c r="I15" s="442">
        <f t="shared" ref="I15:I34" si="9">K15-D15</f>
        <v>0</v>
      </c>
      <c r="J15" s="442">
        <v>423.66</v>
      </c>
      <c r="K15" s="442"/>
      <c r="L15" s="442">
        <f t="shared" ref="L15:L18" si="10">J15+K15</f>
        <v>423.66</v>
      </c>
      <c r="M15" s="447">
        <f t="shared" si="3"/>
        <v>0.936316203273534</v>
      </c>
      <c r="N15" s="449" t="s">
        <v>91</v>
      </c>
    </row>
    <row r="16" s="38" customFormat="1" customHeight="1" spans="1:14">
      <c r="A16" s="441">
        <v>2010204</v>
      </c>
      <c r="B16" s="147" t="s">
        <v>100</v>
      </c>
      <c r="C16" s="442">
        <v>22</v>
      </c>
      <c r="D16" s="442">
        <v>0</v>
      </c>
      <c r="E16" s="442">
        <f t="shared" si="8"/>
        <v>22</v>
      </c>
      <c r="F16" s="442">
        <v>0</v>
      </c>
      <c r="G16" s="442"/>
      <c r="H16" s="442">
        <v>0</v>
      </c>
      <c r="I16" s="442">
        <f t="shared" si="9"/>
        <v>0</v>
      </c>
      <c r="J16" s="442">
        <v>22</v>
      </c>
      <c r="K16" s="442"/>
      <c r="L16" s="442">
        <f t="shared" si="10"/>
        <v>22</v>
      </c>
      <c r="M16" s="447">
        <f t="shared" si="3"/>
        <v>0</v>
      </c>
      <c r="N16" s="449"/>
    </row>
    <row r="17" s="38" customFormat="1" customHeight="1" spans="1:14">
      <c r="A17" s="441">
        <v>2010206</v>
      </c>
      <c r="B17" s="147" t="s">
        <v>101</v>
      </c>
      <c r="C17" s="442">
        <v>6</v>
      </c>
      <c r="D17" s="442">
        <v>0</v>
      </c>
      <c r="E17" s="442">
        <f t="shared" si="8"/>
        <v>6</v>
      </c>
      <c r="F17" s="442">
        <v>0</v>
      </c>
      <c r="G17" s="442">
        <v>0</v>
      </c>
      <c r="H17" s="442">
        <v>0</v>
      </c>
      <c r="I17" s="442">
        <f t="shared" si="9"/>
        <v>0</v>
      </c>
      <c r="J17" s="442">
        <v>6</v>
      </c>
      <c r="K17" s="442"/>
      <c r="L17" s="442">
        <f t="shared" si="10"/>
        <v>6</v>
      </c>
      <c r="M17" s="447">
        <f t="shared" si="3"/>
        <v>0</v>
      </c>
      <c r="N17" s="449"/>
    </row>
    <row r="18" s="38" customFormat="1" customHeight="1" spans="1:14">
      <c r="A18" s="441">
        <v>2010299</v>
      </c>
      <c r="B18" s="147" t="s">
        <v>102</v>
      </c>
      <c r="C18" s="442">
        <v>62</v>
      </c>
      <c r="D18" s="442">
        <v>0</v>
      </c>
      <c r="E18" s="442">
        <f t="shared" si="8"/>
        <v>62</v>
      </c>
      <c r="F18" s="442">
        <v>0</v>
      </c>
      <c r="G18" s="442"/>
      <c r="H18" s="442">
        <v>0</v>
      </c>
      <c r="I18" s="442">
        <f t="shared" si="9"/>
        <v>1</v>
      </c>
      <c r="J18" s="442">
        <v>62</v>
      </c>
      <c r="K18" s="442">
        <v>1</v>
      </c>
      <c r="L18" s="442">
        <f t="shared" si="10"/>
        <v>63</v>
      </c>
      <c r="M18" s="447">
        <f t="shared" si="3"/>
        <v>1.61290322580645</v>
      </c>
      <c r="N18" s="449"/>
    </row>
    <row r="19" s="38" customFormat="1" ht="32" customHeight="1" spans="1:14">
      <c r="A19" s="441">
        <v>20103</v>
      </c>
      <c r="B19" s="147" t="s">
        <v>103</v>
      </c>
      <c r="C19" s="442">
        <f t="shared" ref="C19:G19" si="11">C20+C21</f>
        <v>3175.94</v>
      </c>
      <c r="D19" s="442">
        <f t="shared" si="11"/>
        <v>0</v>
      </c>
      <c r="E19" s="442">
        <f t="shared" si="11"/>
        <v>3175.94</v>
      </c>
      <c r="F19" s="442">
        <f t="shared" si="11"/>
        <v>-28.87</v>
      </c>
      <c r="G19" s="442">
        <f t="shared" si="11"/>
        <v>0</v>
      </c>
      <c r="H19" s="442">
        <v>5.00999999999999</v>
      </c>
      <c r="I19" s="442">
        <f t="shared" si="9"/>
        <v>0</v>
      </c>
      <c r="J19" s="442">
        <f t="shared" ref="J19:L19" si="12">J20+J21</f>
        <v>3242.08</v>
      </c>
      <c r="K19" s="442">
        <f t="shared" si="12"/>
        <v>0</v>
      </c>
      <c r="L19" s="442">
        <f t="shared" si="12"/>
        <v>3242.08</v>
      </c>
      <c r="M19" s="447">
        <f t="shared" si="3"/>
        <v>2.08253304533461</v>
      </c>
      <c r="N19" s="448"/>
    </row>
    <row r="20" s="38" customFormat="1" customHeight="1" spans="1:14">
      <c r="A20" s="441">
        <v>2010301</v>
      </c>
      <c r="B20" s="147" t="s">
        <v>90</v>
      </c>
      <c r="C20" s="442">
        <v>1858.95</v>
      </c>
      <c r="D20" s="442">
        <v>0</v>
      </c>
      <c r="E20" s="442">
        <f t="shared" ref="E20:E27" si="13">C20+D20</f>
        <v>1858.95</v>
      </c>
      <c r="F20" s="442">
        <v>-28.87</v>
      </c>
      <c r="G20" s="442">
        <v>0</v>
      </c>
      <c r="H20" s="442">
        <v>0.00999999999999091</v>
      </c>
      <c r="I20" s="442">
        <f t="shared" si="9"/>
        <v>0</v>
      </c>
      <c r="J20" s="442">
        <v>1830.09</v>
      </c>
      <c r="K20" s="442"/>
      <c r="L20" s="442">
        <f t="shared" ref="L20:L27" si="14">J20+K20</f>
        <v>1830.09</v>
      </c>
      <c r="M20" s="447">
        <f t="shared" si="3"/>
        <v>-1.5524893084806</v>
      </c>
      <c r="N20" s="449" t="s">
        <v>104</v>
      </c>
    </row>
    <row r="21" s="38" customFormat="1" ht="48" customHeight="1" spans="1:14">
      <c r="A21" s="441">
        <v>2010399</v>
      </c>
      <c r="B21" s="147" t="s">
        <v>105</v>
      </c>
      <c r="C21" s="442">
        <v>1316.99</v>
      </c>
      <c r="D21" s="442">
        <v>0</v>
      </c>
      <c r="E21" s="442">
        <f t="shared" si="13"/>
        <v>1316.99</v>
      </c>
      <c r="F21" s="442">
        <v>0</v>
      </c>
      <c r="G21" s="442">
        <v>0</v>
      </c>
      <c r="H21" s="442">
        <v>95</v>
      </c>
      <c r="I21" s="442">
        <f t="shared" si="9"/>
        <v>0</v>
      </c>
      <c r="J21" s="442">
        <v>1411.99</v>
      </c>
      <c r="K21" s="442"/>
      <c r="L21" s="442">
        <f t="shared" si="14"/>
        <v>1411.99</v>
      </c>
      <c r="M21" s="447">
        <f t="shared" si="3"/>
        <v>7.2134184769816</v>
      </c>
      <c r="N21" s="449" t="s">
        <v>106</v>
      </c>
    </row>
    <row r="22" s="38" customFormat="1" customHeight="1" spans="1:14">
      <c r="A22" s="441">
        <v>20104</v>
      </c>
      <c r="B22" s="147" t="s">
        <v>107</v>
      </c>
      <c r="C22" s="442">
        <f t="shared" ref="C22:H22" si="15">C23+C24+C25+C27+C26</f>
        <v>1073.86</v>
      </c>
      <c r="D22" s="442">
        <f t="shared" si="15"/>
        <v>2167</v>
      </c>
      <c r="E22" s="442">
        <f t="shared" si="15"/>
        <v>3240.86</v>
      </c>
      <c r="F22" s="442">
        <f t="shared" si="15"/>
        <v>112.19</v>
      </c>
      <c r="G22" s="442">
        <f t="shared" si="15"/>
        <v>0</v>
      </c>
      <c r="H22" s="442">
        <f t="shared" si="15"/>
        <v>0.849999999999998</v>
      </c>
      <c r="I22" s="442">
        <f t="shared" si="9"/>
        <v>-0.0900000000001455</v>
      </c>
      <c r="J22" s="442">
        <f t="shared" ref="J22:L22" si="16">J23+J24+J25+J27+J26</f>
        <v>1186.9</v>
      </c>
      <c r="K22" s="442">
        <f t="shared" si="16"/>
        <v>2166.91</v>
      </c>
      <c r="L22" s="442">
        <f t="shared" si="16"/>
        <v>3353.81</v>
      </c>
      <c r="M22" s="447">
        <f t="shared" si="3"/>
        <v>3.48518603086836</v>
      </c>
      <c r="N22" s="448"/>
    </row>
    <row r="23" s="38" customFormat="1" customHeight="1" spans="1:14">
      <c r="A23" s="441">
        <v>2010401</v>
      </c>
      <c r="B23" s="147" t="s">
        <v>90</v>
      </c>
      <c r="C23" s="442">
        <v>258.87</v>
      </c>
      <c r="D23" s="442">
        <v>0</v>
      </c>
      <c r="E23" s="442">
        <f t="shared" si="13"/>
        <v>258.87</v>
      </c>
      <c r="F23" s="442">
        <v>-0.81</v>
      </c>
      <c r="G23" s="442"/>
      <c r="H23" s="442">
        <v>0.149999999999998</v>
      </c>
      <c r="I23" s="442">
        <f t="shared" si="9"/>
        <v>0</v>
      </c>
      <c r="J23" s="442">
        <v>258.21</v>
      </c>
      <c r="K23" s="442"/>
      <c r="L23" s="442">
        <f t="shared" si="14"/>
        <v>258.21</v>
      </c>
      <c r="M23" s="447">
        <f t="shared" si="3"/>
        <v>-0.25495422412795</v>
      </c>
      <c r="N23" s="449" t="s">
        <v>104</v>
      </c>
    </row>
    <row r="24" s="38" customFormat="1" customHeight="1" spans="1:14">
      <c r="A24" s="441">
        <v>2010402</v>
      </c>
      <c r="B24" s="147" t="s">
        <v>92</v>
      </c>
      <c r="C24" s="442">
        <v>1</v>
      </c>
      <c r="D24" s="442">
        <v>0</v>
      </c>
      <c r="E24" s="442">
        <f t="shared" si="13"/>
        <v>1</v>
      </c>
      <c r="F24" s="442">
        <v>0</v>
      </c>
      <c r="G24" s="442"/>
      <c r="H24" s="442">
        <v>0</v>
      </c>
      <c r="I24" s="442">
        <f t="shared" si="9"/>
        <v>0</v>
      </c>
      <c r="J24" s="442">
        <v>1</v>
      </c>
      <c r="K24" s="442"/>
      <c r="L24" s="442">
        <f t="shared" si="14"/>
        <v>1</v>
      </c>
      <c r="M24" s="447">
        <f t="shared" si="3"/>
        <v>0</v>
      </c>
      <c r="N24" s="449"/>
    </row>
    <row r="25" s="38" customFormat="1" customHeight="1" spans="1:14">
      <c r="A25" s="441">
        <v>2010404</v>
      </c>
      <c r="B25" s="147" t="s">
        <v>108</v>
      </c>
      <c r="C25" s="442">
        <v>3</v>
      </c>
      <c r="D25" s="442">
        <v>0</v>
      </c>
      <c r="E25" s="442">
        <f t="shared" si="13"/>
        <v>3</v>
      </c>
      <c r="F25" s="442">
        <v>0</v>
      </c>
      <c r="G25" s="442"/>
      <c r="H25" s="442">
        <v>0</v>
      </c>
      <c r="I25" s="442">
        <f t="shared" si="9"/>
        <v>0</v>
      </c>
      <c r="J25" s="442">
        <v>3</v>
      </c>
      <c r="K25" s="442"/>
      <c r="L25" s="442">
        <f t="shared" si="14"/>
        <v>3</v>
      </c>
      <c r="M25" s="447">
        <f t="shared" si="3"/>
        <v>0</v>
      </c>
      <c r="N25" s="449"/>
    </row>
    <row r="26" s="38" customFormat="1" customHeight="1" spans="1:14">
      <c r="A26" s="441">
        <v>2010408</v>
      </c>
      <c r="B26" s="147" t="s">
        <v>109</v>
      </c>
      <c r="C26" s="442"/>
      <c r="D26" s="442">
        <v>2</v>
      </c>
      <c r="E26" s="442">
        <f t="shared" si="13"/>
        <v>2</v>
      </c>
      <c r="F26" s="442"/>
      <c r="G26" s="442"/>
      <c r="H26" s="442"/>
      <c r="I26" s="442">
        <f t="shared" si="9"/>
        <v>-0.0900000000000001</v>
      </c>
      <c r="J26" s="442"/>
      <c r="K26" s="442">
        <v>1.91</v>
      </c>
      <c r="L26" s="442">
        <f t="shared" si="14"/>
        <v>1.91</v>
      </c>
      <c r="M26" s="447">
        <f t="shared" si="3"/>
        <v>-4.5</v>
      </c>
      <c r="N26" s="449"/>
    </row>
    <row r="27" s="38" customFormat="1" ht="32" customHeight="1" spans="1:14">
      <c r="A27" s="441">
        <v>2010499</v>
      </c>
      <c r="B27" s="147" t="s">
        <v>110</v>
      </c>
      <c r="C27" s="442">
        <v>810.99</v>
      </c>
      <c r="D27" s="442">
        <v>2165</v>
      </c>
      <c r="E27" s="442">
        <f t="shared" si="13"/>
        <v>2975.99</v>
      </c>
      <c r="F27" s="442">
        <v>113</v>
      </c>
      <c r="G27" s="442"/>
      <c r="H27" s="442">
        <v>0.7</v>
      </c>
      <c r="I27" s="442">
        <f t="shared" si="9"/>
        <v>0</v>
      </c>
      <c r="J27" s="442">
        <v>924.69</v>
      </c>
      <c r="K27" s="442">
        <v>2165</v>
      </c>
      <c r="L27" s="442">
        <f t="shared" si="14"/>
        <v>3089.69</v>
      </c>
      <c r="M27" s="447">
        <f t="shared" si="3"/>
        <v>3.82057735409058</v>
      </c>
      <c r="N27" s="449" t="s">
        <v>111</v>
      </c>
    </row>
    <row r="28" s="38" customFormat="1" customHeight="1" spans="1:14">
      <c r="A28" s="441">
        <v>20105</v>
      </c>
      <c r="B28" s="147" t="s">
        <v>112</v>
      </c>
      <c r="C28" s="442">
        <f t="shared" ref="C28:G28" si="17">C29+C30+C31+C32+C33+C34</f>
        <v>291.51</v>
      </c>
      <c r="D28" s="442">
        <f t="shared" si="17"/>
        <v>40</v>
      </c>
      <c r="E28" s="442">
        <f t="shared" si="17"/>
        <v>331.51</v>
      </c>
      <c r="F28" s="442">
        <f t="shared" si="17"/>
        <v>-12.97</v>
      </c>
      <c r="G28" s="442">
        <f t="shared" si="17"/>
        <v>0</v>
      </c>
      <c r="H28" s="442">
        <v>44.6</v>
      </c>
      <c r="I28" s="442">
        <f t="shared" si="9"/>
        <v>0</v>
      </c>
      <c r="J28" s="442">
        <f t="shared" ref="J28:L28" si="18">J29+J30+J31+J32+J33+J34</f>
        <v>323.14</v>
      </c>
      <c r="K28" s="442">
        <f t="shared" si="18"/>
        <v>40</v>
      </c>
      <c r="L28" s="442">
        <f t="shared" si="18"/>
        <v>363.14</v>
      </c>
      <c r="M28" s="447">
        <f t="shared" si="3"/>
        <v>9.54119031100119</v>
      </c>
      <c r="N28" s="448"/>
    </row>
    <row r="29" s="38" customFormat="1" ht="30" customHeight="1" spans="1:14">
      <c r="A29" s="441">
        <v>2010501</v>
      </c>
      <c r="B29" s="147" t="s">
        <v>90</v>
      </c>
      <c r="C29" s="442">
        <v>182.15</v>
      </c>
      <c r="D29" s="442">
        <v>0</v>
      </c>
      <c r="E29" s="442">
        <f t="shared" ref="E29:E34" si="19">C29+D29</f>
        <v>182.15</v>
      </c>
      <c r="F29" s="442">
        <v>-0.67</v>
      </c>
      <c r="G29" s="442"/>
      <c r="H29" s="442">
        <v>19.85</v>
      </c>
      <c r="I29" s="442">
        <f t="shared" si="9"/>
        <v>0</v>
      </c>
      <c r="J29" s="442">
        <v>201.33</v>
      </c>
      <c r="K29" s="442"/>
      <c r="L29" s="442">
        <f t="shared" ref="L29:L34" si="20">J29+K29</f>
        <v>201.33</v>
      </c>
      <c r="M29" s="447">
        <f t="shared" si="3"/>
        <v>10.529783145759</v>
      </c>
      <c r="N29" s="449" t="s">
        <v>113</v>
      </c>
    </row>
    <row r="30" s="38" customFormat="1" customHeight="1" spans="1:14">
      <c r="A30" s="441">
        <v>2010502</v>
      </c>
      <c r="B30" s="147" t="s">
        <v>92</v>
      </c>
      <c r="C30" s="442">
        <v>10</v>
      </c>
      <c r="D30" s="442">
        <v>0</v>
      </c>
      <c r="E30" s="442">
        <f t="shared" si="19"/>
        <v>10</v>
      </c>
      <c r="F30" s="442">
        <v>0</v>
      </c>
      <c r="G30" s="442"/>
      <c r="H30" s="442">
        <v>0</v>
      </c>
      <c r="I30" s="442">
        <f t="shared" si="9"/>
        <v>0</v>
      </c>
      <c r="J30" s="442">
        <v>10</v>
      </c>
      <c r="K30" s="442"/>
      <c r="L30" s="442">
        <f t="shared" si="20"/>
        <v>10</v>
      </c>
      <c r="M30" s="447">
        <f t="shared" si="3"/>
        <v>0</v>
      </c>
      <c r="N30" s="448"/>
    </row>
    <row r="31" s="38" customFormat="1" customHeight="1" spans="1:14">
      <c r="A31" s="441">
        <v>2010507</v>
      </c>
      <c r="B31" s="147" t="s">
        <v>114</v>
      </c>
      <c r="C31" s="442">
        <v>26.1</v>
      </c>
      <c r="D31" s="442">
        <v>0</v>
      </c>
      <c r="E31" s="442">
        <f t="shared" si="19"/>
        <v>26.1</v>
      </c>
      <c r="F31" s="442">
        <v>-16.1</v>
      </c>
      <c r="G31" s="442"/>
      <c r="H31" s="442">
        <v>0</v>
      </c>
      <c r="I31" s="442">
        <f t="shared" si="9"/>
        <v>0</v>
      </c>
      <c r="J31" s="442">
        <v>10</v>
      </c>
      <c r="K31" s="442"/>
      <c r="L31" s="442">
        <f t="shared" si="20"/>
        <v>10</v>
      </c>
      <c r="M31" s="447">
        <f t="shared" si="3"/>
        <v>-61.6858237547893</v>
      </c>
      <c r="N31" s="448" t="s">
        <v>115</v>
      </c>
    </row>
    <row r="32" s="38" customFormat="1" customHeight="1" spans="1:14">
      <c r="A32" s="441">
        <v>2010508</v>
      </c>
      <c r="B32" s="147" t="s">
        <v>116</v>
      </c>
      <c r="C32" s="442">
        <v>18.2</v>
      </c>
      <c r="D32" s="442">
        <v>0</v>
      </c>
      <c r="E32" s="442">
        <f t="shared" si="19"/>
        <v>18.2</v>
      </c>
      <c r="F32" s="442">
        <v>3.8</v>
      </c>
      <c r="G32" s="442"/>
      <c r="H32" s="442">
        <v>0</v>
      </c>
      <c r="I32" s="442">
        <f t="shared" si="9"/>
        <v>0</v>
      </c>
      <c r="J32" s="442">
        <v>22</v>
      </c>
      <c r="K32" s="442"/>
      <c r="L32" s="442">
        <f t="shared" si="20"/>
        <v>22</v>
      </c>
      <c r="M32" s="447">
        <f t="shared" si="3"/>
        <v>20.8791208791209</v>
      </c>
      <c r="N32" s="449" t="s">
        <v>117</v>
      </c>
    </row>
    <row r="33" s="38" customFormat="1" customHeight="1" spans="1:14">
      <c r="A33" s="441">
        <v>2010550</v>
      </c>
      <c r="B33" s="147" t="s">
        <v>118</v>
      </c>
      <c r="C33" s="442">
        <v>18.14</v>
      </c>
      <c r="D33" s="442">
        <v>0</v>
      </c>
      <c r="E33" s="442">
        <f t="shared" si="19"/>
        <v>18.14</v>
      </c>
      <c r="F33" s="442">
        <v>0</v>
      </c>
      <c r="G33" s="442">
        <v>0</v>
      </c>
      <c r="H33" s="442">
        <v>24.75</v>
      </c>
      <c r="I33" s="442">
        <f t="shared" si="9"/>
        <v>0</v>
      </c>
      <c r="J33" s="442">
        <v>42.89</v>
      </c>
      <c r="K33" s="442"/>
      <c r="L33" s="442">
        <f t="shared" si="20"/>
        <v>42.89</v>
      </c>
      <c r="M33" s="447">
        <f t="shared" si="3"/>
        <v>136.438809261301</v>
      </c>
      <c r="N33" s="448" t="s">
        <v>119</v>
      </c>
    </row>
    <row r="34" s="38" customFormat="1" ht="34" customHeight="1" spans="1:14">
      <c r="A34" s="441">
        <v>2010599</v>
      </c>
      <c r="B34" s="147" t="s">
        <v>120</v>
      </c>
      <c r="C34" s="442">
        <v>36.92</v>
      </c>
      <c r="D34" s="442">
        <v>40</v>
      </c>
      <c r="E34" s="442">
        <f t="shared" si="19"/>
        <v>76.92</v>
      </c>
      <c r="F34" s="442">
        <v>0</v>
      </c>
      <c r="G34" s="442">
        <v>0</v>
      </c>
      <c r="H34" s="442">
        <v>0</v>
      </c>
      <c r="I34" s="442">
        <f t="shared" si="9"/>
        <v>0</v>
      </c>
      <c r="J34" s="442">
        <v>36.92</v>
      </c>
      <c r="K34" s="442">
        <v>40</v>
      </c>
      <c r="L34" s="442">
        <f t="shared" si="20"/>
        <v>76.92</v>
      </c>
      <c r="M34" s="447">
        <f t="shared" si="3"/>
        <v>0</v>
      </c>
      <c r="N34" s="448">
        <v>0</v>
      </c>
    </row>
    <row r="35" s="38" customFormat="1" customHeight="1" spans="1:14">
      <c r="A35" s="441">
        <v>20106</v>
      </c>
      <c r="B35" s="147" t="s">
        <v>121</v>
      </c>
      <c r="C35" s="442">
        <f t="shared" ref="C35:L35" si="21">C36+C37+C38+C39</f>
        <v>1478.88</v>
      </c>
      <c r="D35" s="442">
        <f t="shared" si="21"/>
        <v>28</v>
      </c>
      <c r="E35" s="442">
        <f t="shared" si="21"/>
        <v>1506.88</v>
      </c>
      <c r="F35" s="442">
        <f t="shared" si="21"/>
        <v>505.99</v>
      </c>
      <c r="G35" s="442">
        <f t="shared" si="21"/>
        <v>0</v>
      </c>
      <c r="H35" s="442">
        <f t="shared" si="21"/>
        <v>0</v>
      </c>
      <c r="I35" s="442">
        <f t="shared" si="21"/>
        <v>5</v>
      </c>
      <c r="J35" s="442">
        <f t="shared" si="21"/>
        <v>1984.87</v>
      </c>
      <c r="K35" s="442">
        <f t="shared" si="21"/>
        <v>33</v>
      </c>
      <c r="L35" s="442">
        <f t="shared" si="21"/>
        <v>2017.87</v>
      </c>
      <c r="M35" s="447">
        <f t="shared" si="3"/>
        <v>33.9104640050966</v>
      </c>
      <c r="N35" s="448"/>
    </row>
    <row r="36" s="38" customFormat="1" customHeight="1" spans="1:14">
      <c r="A36" s="441">
        <v>2010601</v>
      </c>
      <c r="B36" s="147" t="s">
        <v>90</v>
      </c>
      <c r="C36" s="442">
        <v>612.33</v>
      </c>
      <c r="D36" s="442">
        <v>0</v>
      </c>
      <c r="E36" s="442">
        <f t="shared" ref="E36:E39" si="22">C36+D36</f>
        <v>612.33</v>
      </c>
      <c r="F36" s="442">
        <v>-2.51</v>
      </c>
      <c r="G36" s="442">
        <v>0</v>
      </c>
      <c r="H36" s="442">
        <v>0</v>
      </c>
      <c r="I36" s="442">
        <f t="shared" ref="I36:I59" si="23">K36-D36</f>
        <v>0</v>
      </c>
      <c r="J36" s="442">
        <v>609.82</v>
      </c>
      <c r="K36" s="442"/>
      <c r="L36" s="442">
        <f t="shared" ref="L36:L39" si="24">J36+K36</f>
        <v>609.82</v>
      </c>
      <c r="M36" s="447">
        <f t="shared" si="3"/>
        <v>-0.409909689219864</v>
      </c>
      <c r="N36" s="448" t="s">
        <v>104</v>
      </c>
    </row>
    <row r="37" s="38" customFormat="1" customHeight="1" spans="1:14">
      <c r="A37" s="441">
        <v>2010607</v>
      </c>
      <c r="B37" s="147" t="s">
        <v>122</v>
      </c>
      <c r="C37" s="442">
        <v>107</v>
      </c>
      <c r="D37" s="442">
        <v>0</v>
      </c>
      <c r="E37" s="442">
        <f t="shared" si="22"/>
        <v>107</v>
      </c>
      <c r="F37" s="442">
        <v>7</v>
      </c>
      <c r="G37" s="442">
        <v>0</v>
      </c>
      <c r="H37" s="442">
        <v>0</v>
      </c>
      <c r="I37" s="442">
        <f t="shared" si="23"/>
        <v>0</v>
      </c>
      <c r="J37" s="442">
        <v>114</v>
      </c>
      <c r="K37" s="442"/>
      <c r="L37" s="442">
        <f t="shared" si="24"/>
        <v>114</v>
      </c>
      <c r="M37" s="447">
        <f t="shared" si="3"/>
        <v>6.54205607476635</v>
      </c>
      <c r="N37" s="448" t="s">
        <v>123</v>
      </c>
    </row>
    <row r="38" s="38" customFormat="1" customHeight="1" spans="1:14">
      <c r="A38" s="441">
        <v>2010608</v>
      </c>
      <c r="B38" s="441" t="s">
        <v>124</v>
      </c>
      <c r="C38" s="442">
        <v>500</v>
      </c>
      <c r="D38" s="442">
        <v>0</v>
      </c>
      <c r="E38" s="442">
        <f t="shared" si="22"/>
        <v>500</v>
      </c>
      <c r="F38" s="442">
        <v>400</v>
      </c>
      <c r="G38" s="442">
        <v>0</v>
      </c>
      <c r="H38" s="442">
        <v>0</v>
      </c>
      <c r="I38" s="442">
        <f t="shared" si="23"/>
        <v>0</v>
      </c>
      <c r="J38" s="442">
        <v>900</v>
      </c>
      <c r="K38" s="442"/>
      <c r="L38" s="442">
        <f t="shared" si="24"/>
        <v>900</v>
      </c>
      <c r="M38" s="447">
        <f t="shared" si="3"/>
        <v>80</v>
      </c>
      <c r="N38" s="448" t="s">
        <v>125</v>
      </c>
    </row>
    <row r="39" s="38" customFormat="1" ht="30" customHeight="1" spans="1:14">
      <c r="A39" s="441">
        <v>2010699</v>
      </c>
      <c r="B39" s="147" t="s">
        <v>126</v>
      </c>
      <c r="C39" s="442">
        <v>259.55</v>
      </c>
      <c r="D39" s="442">
        <v>28</v>
      </c>
      <c r="E39" s="442">
        <f t="shared" si="22"/>
        <v>287.55</v>
      </c>
      <c r="F39" s="442">
        <v>101.5</v>
      </c>
      <c r="G39" s="442">
        <v>0</v>
      </c>
      <c r="H39" s="442">
        <v>0</v>
      </c>
      <c r="I39" s="442">
        <f t="shared" si="23"/>
        <v>5</v>
      </c>
      <c r="J39" s="442">
        <v>361.05</v>
      </c>
      <c r="K39" s="442">
        <v>33</v>
      </c>
      <c r="L39" s="442">
        <f t="shared" si="24"/>
        <v>394.05</v>
      </c>
      <c r="M39" s="447">
        <f t="shared" si="3"/>
        <v>37.037037037037</v>
      </c>
      <c r="N39" s="448" t="s">
        <v>127</v>
      </c>
    </row>
    <row r="40" s="38" customFormat="1" customHeight="1" spans="1:14">
      <c r="A40" s="441">
        <v>20107</v>
      </c>
      <c r="B40" s="147" t="s">
        <v>128</v>
      </c>
      <c r="C40" s="442">
        <f t="shared" ref="C40:F40" si="25">C41</f>
        <v>5475</v>
      </c>
      <c r="D40" s="442">
        <f t="shared" si="25"/>
        <v>20.7</v>
      </c>
      <c r="E40" s="442">
        <f t="shared" si="25"/>
        <v>5495.7</v>
      </c>
      <c r="F40" s="442">
        <f t="shared" si="25"/>
        <v>250</v>
      </c>
      <c r="G40" s="442"/>
      <c r="H40" s="442">
        <v>0</v>
      </c>
      <c r="I40" s="442">
        <f t="shared" si="23"/>
        <v>0</v>
      </c>
      <c r="J40" s="442">
        <f t="shared" ref="J40:L40" si="26">J41</f>
        <v>5725</v>
      </c>
      <c r="K40" s="442">
        <f t="shared" si="26"/>
        <v>20.7</v>
      </c>
      <c r="L40" s="442">
        <f t="shared" si="26"/>
        <v>5745.7</v>
      </c>
      <c r="M40" s="447">
        <f t="shared" si="3"/>
        <v>4.54901104499882</v>
      </c>
      <c r="N40" s="449"/>
    </row>
    <row r="41" s="38" customFormat="1" customHeight="1" spans="1:14">
      <c r="A41" s="441">
        <v>2010799</v>
      </c>
      <c r="B41" s="147" t="s">
        <v>128</v>
      </c>
      <c r="C41" s="442">
        <v>5475</v>
      </c>
      <c r="D41" s="442">
        <v>20.7</v>
      </c>
      <c r="E41" s="442">
        <f t="shared" ref="E41:E47" si="27">C41+D41</f>
        <v>5495.7</v>
      </c>
      <c r="F41" s="442">
        <v>250</v>
      </c>
      <c r="G41" s="442"/>
      <c r="H41" s="442">
        <v>0</v>
      </c>
      <c r="I41" s="442">
        <f t="shared" si="23"/>
        <v>0</v>
      </c>
      <c r="J41" s="442">
        <v>5725</v>
      </c>
      <c r="K41" s="442">
        <v>20.7</v>
      </c>
      <c r="L41" s="442">
        <f t="shared" ref="L41:L47" si="28">J41+K41</f>
        <v>5745.7</v>
      </c>
      <c r="M41" s="447">
        <f t="shared" si="3"/>
        <v>4.54901104499882</v>
      </c>
      <c r="N41" s="449" t="s">
        <v>129</v>
      </c>
    </row>
    <row r="42" s="38" customFormat="1" customHeight="1" spans="1:14">
      <c r="A42" s="441">
        <v>20108</v>
      </c>
      <c r="B42" s="147" t="s">
        <v>130</v>
      </c>
      <c r="C42" s="442">
        <f t="shared" ref="C42:G42" si="29">C43+C44+C45+C46+C47</f>
        <v>314.63</v>
      </c>
      <c r="D42" s="442">
        <f t="shared" si="29"/>
        <v>0</v>
      </c>
      <c r="E42" s="442">
        <f t="shared" si="29"/>
        <v>314.63</v>
      </c>
      <c r="F42" s="442">
        <f t="shared" si="29"/>
        <v>11.1</v>
      </c>
      <c r="G42" s="442">
        <f t="shared" si="29"/>
        <v>0</v>
      </c>
      <c r="H42" s="442">
        <v>0.28</v>
      </c>
      <c r="I42" s="442">
        <f t="shared" si="23"/>
        <v>0</v>
      </c>
      <c r="J42" s="442">
        <f t="shared" ref="J42:L42" si="30">J43+J44+J45+J46+J47</f>
        <v>326.01</v>
      </c>
      <c r="K42" s="442">
        <f t="shared" si="30"/>
        <v>0</v>
      </c>
      <c r="L42" s="442">
        <f t="shared" si="30"/>
        <v>326.01</v>
      </c>
      <c r="M42" s="447">
        <f t="shared" si="3"/>
        <v>3.61694688999777</v>
      </c>
      <c r="N42" s="448"/>
    </row>
    <row r="43" s="38" customFormat="1" ht="30" customHeight="1" spans="1:14">
      <c r="A43" s="441">
        <v>2010801</v>
      </c>
      <c r="B43" s="147" t="s">
        <v>90</v>
      </c>
      <c r="C43" s="442">
        <v>203.44</v>
      </c>
      <c r="D43" s="442">
        <v>0</v>
      </c>
      <c r="E43" s="442">
        <f t="shared" si="27"/>
        <v>203.44</v>
      </c>
      <c r="F43" s="442">
        <v>-6.9</v>
      </c>
      <c r="G43" s="442"/>
      <c r="H43" s="442">
        <v>0.25</v>
      </c>
      <c r="I43" s="442">
        <f t="shared" si="23"/>
        <v>0</v>
      </c>
      <c r="J43" s="442">
        <v>196.79</v>
      </c>
      <c r="K43" s="442"/>
      <c r="L43" s="442">
        <f t="shared" si="28"/>
        <v>196.79</v>
      </c>
      <c r="M43" s="447">
        <f t="shared" si="3"/>
        <v>-3.26877703499804</v>
      </c>
      <c r="N43" s="449" t="s">
        <v>131</v>
      </c>
    </row>
    <row r="44" s="38" customFormat="1" customHeight="1" spans="1:14">
      <c r="A44" s="441">
        <v>2010804</v>
      </c>
      <c r="B44" s="147" t="s">
        <v>132</v>
      </c>
      <c r="C44" s="442">
        <v>64.59</v>
      </c>
      <c r="D44" s="442">
        <v>0</v>
      </c>
      <c r="E44" s="442">
        <f t="shared" si="27"/>
        <v>64.59</v>
      </c>
      <c r="F44" s="442">
        <v>0</v>
      </c>
      <c r="G44" s="442"/>
      <c r="H44" s="442">
        <v>0</v>
      </c>
      <c r="I44" s="442">
        <f t="shared" si="23"/>
        <v>0</v>
      </c>
      <c r="J44" s="442">
        <v>64.59</v>
      </c>
      <c r="K44" s="442"/>
      <c r="L44" s="442">
        <f t="shared" si="28"/>
        <v>64.59</v>
      </c>
      <c r="M44" s="447">
        <f t="shared" si="3"/>
        <v>0</v>
      </c>
      <c r="N44" s="448"/>
    </row>
    <row r="45" s="38" customFormat="1" customHeight="1" spans="1:14">
      <c r="A45" s="441">
        <v>2010806</v>
      </c>
      <c r="B45" s="147" t="s">
        <v>122</v>
      </c>
      <c r="C45" s="442">
        <v>2</v>
      </c>
      <c r="D45" s="442">
        <v>0</v>
      </c>
      <c r="E45" s="442">
        <f t="shared" si="27"/>
        <v>2</v>
      </c>
      <c r="F45" s="442">
        <v>0</v>
      </c>
      <c r="G45" s="442"/>
      <c r="H45" s="442">
        <v>0</v>
      </c>
      <c r="I45" s="442">
        <f t="shared" si="23"/>
        <v>0</v>
      </c>
      <c r="J45" s="442">
        <v>2</v>
      </c>
      <c r="K45" s="442"/>
      <c r="L45" s="442">
        <f t="shared" si="28"/>
        <v>2</v>
      </c>
      <c r="M45" s="447">
        <f t="shared" si="3"/>
        <v>0</v>
      </c>
      <c r="N45" s="449"/>
    </row>
    <row r="46" s="38" customFormat="1" customHeight="1" spans="1:14">
      <c r="A46" s="441">
        <v>2010850</v>
      </c>
      <c r="B46" s="147" t="s">
        <v>118</v>
      </c>
      <c r="C46" s="442">
        <v>44.6</v>
      </c>
      <c r="D46" s="442">
        <v>0</v>
      </c>
      <c r="E46" s="442">
        <f t="shared" si="27"/>
        <v>44.6</v>
      </c>
      <c r="F46" s="442">
        <v>0</v>
      </c>
      <c r="G46" s="442">
        <v>0</v>
      </c>
      <c r="H46" s="442">
        <v>0.0299999999999996</v>
      </c>
      <c r="I46" s="442">
        <f t="shared" si="23"/>
        <v>0</v>
      </c>
      <c r="J46" s="442">
        <v>44.63</v>
      </c>
      <c r="K46" s="442"/>
      <c r="L46" s="442">
        <f t="shared" si="28"/>
        <v>44.63</v>
      </c>
      <c r="M46" s="447">
        <f t="shared" si="3"/>
        <v>0.0672645739910339</v>
      </c>
      <c r="N46" s="448" t="s">
        <v>119</v>
      </c>
    </row>
    <row r="47" s="38" customFormat="1" customHeight="1" spans="1:14">
      <c r="A47" s="441">
        <v>2010899</v>
      </c>
      <c r="B47" s="147" t="s">
        <v>133</v>
      </c>
      <c r="C47" s="442">
        <v>0</v>
      </c>
      <c r="D47" s="442"/>
      <c r="E47" s="442">
        <f t="shared" si="27"/>
        <v>0</v>
      </c>
      <c r="F47" s="442">
        <v>18</v>
      </c>
      <c r="G47" s="442">
        <v>0</v>
      </c>
      <c r="H47" s="442">
        <v>0</v>
      </c>
      <c r="I47" s="442">
        <f t="shared" si="23"/>
        <v>0</v>
      </c>
      <c r="J47" s="442">
        <v>18</v>
      </c>
      <c r="K47" s="442"/>
      <c r="L47" s="442">
        <f t="shared" si="28"/>
        <v>18</v>
      </c>
      <c r="M47" s="447">
        <v>100</v>
      </c>
      <c r="N47" s="448" t="s">
        <v>134</v>
      </c>
    </row>
    <row r="48" s="38" customFormat="1" customHeight="1" spans="1:14">
      <c r="A48" s="441">
        <v>20111</v>
      </c>
      <c r="B48" s="147" t="s">
        <v>135</v>
      </c>
      <c r="C48" s="442">
        <f t="shared" ref="C48:G48" si="31">C49+C50+C51+C52</f>
        <v>995.59</v>
      </c>
      <c r="D48" s="442">
        <f t="shared" si="31"/>
        <v>0</v>
      </c>
      <c r="E48" s="442">
        <f t="shared" si="31"/>
        <v>995.59</v>
      </c>
      <c r="F48" s="442">
        <f t="shared" si="31"/>
        <v>0</v>
      </c>
      <c r="G48" s="442">
        <f t="shared" si="31"/>
        <v>0</v>
      </c>
      <c r="H48" s="442">
        <v>6.24</v>
      </c>
      <c r="I48" s="442">
        <f t="shared" si="23"/>
        <v>10</v>
      </c>
      <c r="J48" s="442">
        <f t="shared" ref="J48:L48" si="32">J49+J50+J51+J52</f>
        <v>1001.82</v>
      </c>
      <c r="K48" s="442">
        <f t="shared" si="32"/>
        <v>10</v>
      </c>
      <c r="L48" s="442">
        <f t="shared" si="32"/>
        <v>1011.82</v>
      </c>
      <c r="M48" s="447">
        <f t="shared" ref="M48:M70" si="33">(L48-E48)/E48*100</f>
        <v>1.6301891340813</v>
      </c>
      <c r="N48" s="448"/>
    </row>
    <row r="49" s="38" customFormat="1" ht="34" customHeight="1" spans="1:14">
      <c r="A49" s="441">
        <v>2011001</v>
      </c>
      <c r="B49" s="147" t="s">
        <v>90</v>
      </c>
      <c r="C49" s="442">
        <v>874.85</v>
      </c>
      <c r="D49" s="442">
        <v>0</v>
      </c>
      <c r="E49" s="442">
        <f t="shared" ref="E49:E52" si="34">C49+D49</f>
        <v>874.85</v>
      </c>
      <c r="F49" s="442">
        <v>0</v>
      </c>
      <c r="G49" s="442">
        <v>0</v>
      </c>
      <c r="H49" s="442">
        <v>6.24</v>
      </c>
      <c r="I49" s="442">
        <f t="shared" si="23"/>
        <v>0</v>
      </c>
      <c r="J49" s="442">
        <v>881.08</v>
      </c>
      <c r="K49" s="442"/>
      <c r="L49" s="442">
        <f t="shared" ref="L49:L52" si="35">J49+K49</f>
        <v>881.08</v>
      </c>
      <c r="M49" s="447">
        <f t="shared" si="33"/>
        <v>0.712122078070528</v>
      </c>
      <c r="N49" s="448" t="s">
        <v>91</v>
      </c>
    </row>
    <row r="50" s="38" customFormat="1" customHeight="1" spans="1:14">
      <c r="A50" s="441">
        <v>2011104</v>
      </c>
      <c r="B50" s="147" t="s">
        <v>136</v>
      </c>
      <c r="C50" s="442">
        <v>10</v>
      </c>
      <c r="D50" s="442"/>
      <c r="E50" s="442">
        <f t="shared" si="34"/>
        <v>10</v>
      </c>
      <c r="F50" s="442">
        <v>0</v>
      </c>
      <c r="G50" s="442"/>
      <c r="H50" s="442">
        <v>0</v>
      </c>
      <c r="I50" s="442">
        <f t="shared" si="23"/>
        <v>0</v>
      </c>
      <c r="J50" s="442">
        <v>10</v>
      </c>
      <c r="K50" s="442"/>
      <c r="L50" s="442">
        <f t="shared" si="35"/>
        <v>10</v>
      </c>
      <c r="M50" s="447">
        <f t="shared" si="33"/>
        <v>0</v>
      </c>
      <c r="N50" s="448"/>
    </row>
    <row r="51" s="38" customFormat="1" customHeight="1" spans="1:14">
      <c r="A51" s="441">
        <v>2011105</v>
      </c>
      <c r="B51" s="147" t="s">
        <v>137</v>
      </c>
      <c r="C51" s="442">
        <v>19</v>
      </c>
      <c r="D51" s="442"/>
      <c r="E51" s="442">
        <f t="shared" si="34"/>
        <v>19</v>
      </c>
      <c r="F51" s="442">
        <v>0</v>
      </c>
      <c r="G51" s="442"/>
      <c r="H51" s="442">
        <v>0</v>
      </c>
      <c r="I51" s="442">
        <f t="shared" si="23"/>
        <v>0</v>
      </c>
      <c r="J51" s="442">
        <v>19</v>
      </c>
      <c r="K51" s="442"/>
      <c r="L51" s="442">
        <f t="shared" si="35"/>
        <v>19</v>
      </c>
      <c r="M51" s="447">
        <f t="shared" si="33"/>
        <v>0</v>
      </c>
      <c r="N51" s="448"/>
    </row>
    <row r="52" s="38" customFormat="1" ht="33" customHeight="1" spans="1:14">
      <c r="A52" s="441">
        <v>2011199</v>
      </c>
      <c r="B52" s="147" t="s">
        <v>138</v>
      </c>
      <c r="C52" s="442">
        <v>91.74</v>
      </c>
      <c r="D52" s="442">
        <v>0</v>
      </c>
      <c r="E52" s="442">
        <f t="shared" si="34"/>
        <v>91.74</v>
      </c>
      <c r="F52" s="442">
        <v>0</v>
      </c>
      <c r="G52" s="442">
        <v>0</v>
      </c>
      <c r="H52" s="442">
        <v>0</v>
      </c>
      <c r="I52" s="442">
        <f t="shared" si="23"/>
        <v>10</v>
      </c>
      <c r="J52" s="442">
        <v>91.74</v>
      </c>
      <c r="K52" s="442">
        <v>10</v>
      </c>
      <c r="L52" s="442">
        <f t="shared" si="35"/>
        <v>101.74</v>
      </c>
      <c r="M52" s="447">
        <f t="shared" si="33"/>
        <v>10.9003706126008</v>
      </c>
      <c r="N52" s="448">
        <v>0</v>
      </c>
    </row>
    <row r="53" s="38" customFormat="1" customHeight="1" spans="1:14">
      <c r="A53" s="441">
        <v>20113</v>
      </c>
      <c r="B53" s="147" t="s">
        <v>139</v>
      </c>
      <c r="C53" s="442">
        <f t="shared" ref="C53:G53" si="36">C54+C55+C56</f>
        <v>743.55</v>
      </c>
      <c r="D53" s="442">
        <f t="shared" si="36"/>
        <v>0</v>
      </c>
      <c r="E53" s="442">
        <f t="shared" si="36"/>
        <v>743.55</v>
      </c>
      <c r="F53" s="442">
        <f t="shared" si="36"/>
        <v>35.06</v>
      </c>
      <c r="G53" s="442">
        <f t="shared" si="36"/>
        <v>0</v>
      </c>
      <c r="H53" s="442">
        <v>81.87</v>
      </c>
      <c r="I53" s="442">
        <f t="shared" si="23"/>
        <v>0</v>
      </c>
      <c r="J53" s="442">
        <f t="shared" ref="J53:L53" si="37">J54+J55+J56</f>
        <v>860.51</v>
      </c>
      <c r="K53" s="442">
        <f t="shared" si="37"/>
        <v>0</v>
      </c>
      <c r="L53" s="442">
        <f t="shared" si="37"/>
        <v>860.51</v>
      </c>
      <c r="M53" s="447">
        <f t="shared" si="33"/>
        <v>15.7299441866721</v>
      </c>
      <c r="N53" s="448"/>
    </row>
    <row r="54" s="38" customFormat="1" customHeight="1" spans="1:14">
      <c r="A54" s="441">
        <v>2011301</v>
      </c>
      <c r="B54" s="147" t="s">
        <v>90</v>
      </c>
      <c r="C54" s="442">
        <v>328.81</v>
      </c>
      <c r="D54" s="442">
        <v>0</v>
      </c>
      <c r="E54" s="442">
        <f t="shared" ref="E54:E56" si="38">C54+D54</f>
        <v>328.81</v>
      </c>
      <c r="F54" s="442">
        <v>-0.95</v>
      </c>
      <c r="G54" s="442">
        <v>0</v>
      </c>
      <c r="H54" s="442">
        <v>0.09</v>
      </c>
      <c r="I54" s="442">
        <f t="shared" si="23"/>
        <v>0</v>
      </c>
      <c r="J54" s="442">
        <v>327.96</v>
      </c>
      <c r="K54" s="442"/>
      <c r="L54" s="442">
        <f t="shared" ref="L54:L56" si="39">J54+K54</f>
        <v>327.96</v>
      </c>
      <c r="M54" s="447">
        <f t="shared" si="33"/>
        <v>-0.258507952921147</v>
      </c>
      <c r="N54" s="448" t="s">
        <v>104</v>
      </c>
    </row>
    <row r="55" s="38" customFormat="1" customHeight="1" spans="1:14">
      <c r="A55" s="441">
        <v>2011308</v>
      </c>
      <c r="B55" s="147" t="s">
        <v>140</v>
      </c>
      <c r="C55" s="442">
        <v>24</v>
      </c>
      <c r="D55" s="442">
        <v>0</v>
      </c>
      <c r="E55" s="442">
        <f t="shared" si="38"/>
        <v>24</v>
      </c>
      <c r="F55" s="442">
        <v>10</v>
      </c>
      <c r="G55" s="442">
        <v>0</v>
      </c>
      <c r="H55" s="442">
        <v>0</v>
      </c>
      <c r="I55" s="442">
        <f t="shared" si="23"/>
        <v>0</v>
      </c>
      <c r="J55" s="442">
        <v>34</v>
      </c>
      <c r="K55" s="442"/>
      <c r="L55" s="442">
        <f t="shared" si="39"/>
        <v>34</v>
      </c>
      <c r="M55" s="447">
        <f t="shared" si="33"/>
        <v>41.6666666666667</v>
      </c>
      <c r="N55" s="448" t="s">
        <v>141</v>
      </c>
    </row>
    <row r="56" s="38" customFormat="1" customHeight="1" spans="1:14">
      <c r="A56" s="441">
        <v>2011399</v>
      </c>
      <c r="B56" s="147" t="s">
        <v>142</v>
      </c>
      <c r="C56" s="442">
        <v>390.74</v>
      </c>
      <c r="D56" s="442">
        <v>0</v>
      </c>
      <c r="E56" s="442">
        <f t="shared" si="38"/>
        <v>390.74</v>
      </c>
      <c r="F56" s="442">
        <v>26.01</v>
      </c>
      <c r="G56" s="442">
        <v>0</v>
      </c>
      <c r="H56" s="442">
        <v>81.78</v>
      </c>
      <c r="I56" s="442">
        <f t="shared" si="23"/>
        <v>0</v>
      </c>
      <c r="J56" s="442">
        <v>498.55</v>
      </c>
      <c r="K56" s="442"/>
      <c r="L56" s="442">
        <f t="shared" si="39"/>
        <v>498.55</v>
      </c>
      <c r="M56" s="447">
        <f t="shared" si="33"/>
        <v>27.591237139786</v>
      </c>
      <c r="N56" s="448" t="s">
        <v>143</v>
      </c>
    </row>
    <row r="57" s="38" customFormat="1" customHeight="1" spans="1:14">
      <c r="A57" s="441">
        <v>20114</v>
      </c>
      <c r="B57" s="147" t="s">
        <v>144</v>
      </c>
      <c r="C57" s="442">
        <f t="shared" ref="C57:H57" si="40">C59+C58</f>
        <v>54.52</v>
      </c>
      <c r="D57" s="442">
        <f t="shared" si="40"/>
        <v>30</v>
      </c>
      <c r="E57" s="442">
        <f t="shared" si="40"/>
        <v>84.52</v>
      </c>
      <c r="F57" s="442">
        <f t="shared" si="40"/>
        <v>0</v>
      </c>
      <c r="G57" s="442">
        <f t="shared" si="40"/>
        <v>0</v>
      </c>
      <c r="H57" s="442">
        <f t="shared" si="40"/>
        <v>15.7</v>
      </c>
      <c r="I57" s="442">
        <f t="shared" si="23"/>
        <v>21</v>
      </c>
      <c r="J57" s="442">
        <f t="shared" ref="J57:L57" si="41">J59+J58</f>
        <v>70.22</v>
      </c>
      <c r="K57" s="442">
        <f t="shared" si="41"/>
        <v>51</v>
      </c>
      <c r="L57" s="442">
        <f t="shared" si="41"/>
        <v>121.22</v>
      </c>
      <c r="M57" s="447">
        <f t="shared" si="33"/>
        <v>43.421675343114</v>
      </c>
      <c r="N57" s="448"/>
    </row>
    <row r="58" s="38" customFormat="1" customHeight="1" spans="1:14">
      <c r="A58" s="441">
        <v>2011409</v>
      </c>
      <c r="B58" s="147" t="s">
        <v>145</v>
      </c>
      <c r="C58" s="442"/>
      <c r="D58" s="442">
        <v>30</v>
      </c>
      <c r="E58" s="442">
        <f t="shared" ref="E58:E61" si="42">C58+D58</f>
        <v>30</v>
      </c>
      <c r="F58" s="442"/>
      <c r="G58" s="442"/>
      <c r="H58" s="442"/>
      <c r="I58" s="442">
        <f t="shared" si="23"/>
        <v>5</v>
      </c>
      <c r="J58" s="442"/>
      <c r="K58" s="442">
        <v>35</v>
      </c>
      <c r="L58" s="442">
        <f t="shared" ref="L58:L61" si="43">J58+K58</f>
        <v>35</v>
      </c>
      <c r="M58" s="447">
        <f t="shared" si="33"/>
        <v>16.6666666666667</v>
      </c>
      <c r="N58" s="448"/>
    </row>
    <row r="59" s="38" customFormat="1" ht="29" customHeight="1" spans="1:14">
      <c r="A59" s="441">
        <v>2011499</v>
      </c>
      <c r="B59" s="147" t="s">
        <v>146</v>
      </c>
      <c r="C59" s="442">
        <v>54.52</v>
      </c>
      <c r="D59" s="442">
        <v>0</v>
      </c>
      <c r="E59" s="442">
        <f t="shared" si="42"/>
        <v>54.52</v>
      </c>
      <c r="F59" s="442">
        <v>0</v>
      </c>
      <c r="G59" s="442">
        <v>0</v>
      </c>
      <c r="H59" s="442">
        <v>15.7</v>
      </c>
      <c r="I59" s="442">
        <f t="shared" si="23"/>
        <v>16</v>
      </c>
      <c r="J59" s="442">
        <v>70.22</v>
      </c>
      <c r="K59" s="442">
        <v>16</v>
      </c>
      <c r="L59" s="442">
        <f t="shared" si="43"/>
        <v>86.22</v>
      </c>
      <c r="M59" s="447">
        <f t="shared" si="33"/>
        <v>58.1438004402054</v>
      </c>
      <c r="N59" s="448" t="s">
        <v>147</v>
      </c>
    </row>
    <row r="60" s="38" customFormat="1" customHeight="1" spans="1:14">
      <c r="A60" s="441">
        <v>20125</v>
      </c>
      <c r="B60" s="147" t="s">
        <v>148</v>
      </c>
      <c r="C60" s="442">
        <f t="shared" ref="C60:L60" si="44">C61</f>
        <v>40</v>
      </c>
      <c r="D60" s="442">
        <f t="shared" si="44"/>
        <v>0</v>
      </c>
      <c r="E60" s="442">
        <f t="shared" si="44"/>
        <v>40</v>
      </c>
      <c r="F60" s="442">
        <f t="shared" si="44"/>
        <v>0</v>
      </c>
      <c r="G60" s="442">
        <f t="shared" si="44"/>
        <v>0</v>
      </c>
      <c r="H60" s="442">
        <f t="shared" si="44"/>
        <v>-1.02</v>
      </c>
      <c r="I60" s="442">
        <f t="shared" si="44"/>
        <v>0</v>
      </c>
      <c r="J60" s="442">
        <f t="shared" si="44"/>
        <v>38.98</v>
      </c>
      <c r="K60" s="442">
        <f t="shared" si="44"/>
        <v>0</v>
      </c>
      <c r="L60" s="442">
        <f t="shared" si="44"/>
        <v>38.98</v>
      </c>
      <c r="M60" s="447">
        <f t="shared" si="33"/>
        <v>-2.55000000000001</v>
      </c>
      <c r="N60" s="448"/>
    </row>
    <row r="61" s="38" customFormat="1" customHeight="1" spans="1:14">
      <c r="A61" s="441">
        <v>2012504</v>
      </c>
      <c r="B61" s="147" t="s">
        <v>149</v>
      </c>
      <c r="C61" s="442">
        <v>40</v>
      </c>
      <c r="D61" s="442">
        <v>0</v>
      </c>
      <c r="E61" s="442">
        <f t="shared" si="42"/>
        <v>40</v>
      </c>
      <c r="F61" s="442">
        <v>0</v>
      </c>
      <c r="G61" s="442">
        <v>0</v>
      </c>
      <c r="H61" s="442">
        <v>-1.02</v>
      </c>
      <c r="I61" s="442">
        <f t="shared" ref="I61:I78" si="45">K61-D61</f>
        <v>0</v>
      </c>
      <c r="J61" s="442">
        <v>38.98</v>
      </c>
      <c r="K61" s="442"/>
      <c r="L61" s="442">
        <f t="shared" si="43"/>
        <v>38.98</v>
      </c>
      <c r="M61" s="447">
        <f t="shared" si="33"/>
        <v>-2.55000000000001</v>
      </c>
      <c r="N61" s="448" t="s">
        <v>150</v>
      </c>
    </row>
    <row r="62" s="38" customFormat="1" customHeight="1" spans="1:14">
      <c r="A62" s="441">
        <v>20126</v>
      </c>
      <c r="B62" s="147" t="s">
        <v>151</v>
      </c>
      <c r="C62" s="442">
        <f t="shared" ref="C62:F62" si="46">C63</f>
        <v>215.84</v>
      </c>
      <c r="D62" s="442">
        <f t="shared" si="46"/>
        <v>0</v>
      </c>
      <c r="E62" s="442">
        <f t="shared" si="46"/>
        <v>215.84</v>
      </c>
      <c r="F62" s="442">
        <f t="shared" si="46"/>
        <v>0</v>
      </c>
      <c r="G62" s="442"/>
      <c r="H62" s="442">
        <v>0</v>
      </c>
      <c r="I62" s="442">
        <f t="shared" si="45"/>
        <v>0</v>
      </c>
      <c r="J62" s="442">
        <f t="shared" ref="J62:L62" si="47">J63</f>
        <v>215.84</v>
      </c>
      <c r="K62" s="442">
        <f t="shared" si="47"/>
        <v>0</v>
      </c>
      <c r="L62" s="442">
        <f t="shared" si="47"/>
        <v>215.84</v>
      </c>
      <c r="M62" s="447">
        <f t="shared" si="33"/>
        <v>0</v>
      </c>
      <c r="N62" s="449"/>
    </row>
    <row r="63" s="38" customFormat="1" customHeight="1" spans="1:14">
      <c r="A63" s="441">
        <v>2012604</v>
      </c>
      <c r="B63" s="147" t="s">
        <v>152</v>
      </c>
      <c r="C63" s="442">
        <v>215.84</v>
      </c>
      <c r="D63" s="442">
        <v>0</v>
      </c>
      <c r="E63" s="442">
        <f t="shared" ref="E63:E67" si="48">C63+D63</f>
        <v>215.84</v>
      </c>
      <c r="F63" s="442">
        <v>0</v>
      </c>
      <c r="G63" s="442">
        <v>0</v>
      </c>
      <c r="H63" s="442">
        <v>0</v>
      </c>
      <c r="I63" s="442">
        <f t="shared" si="45"/>
        <v>0</v>
      </c>
      <c r="J63" s="442">
        <v>215.84</v>
      </c>
      <c r="K63" s="442"/>
      <c r="L63" s="442">
        <f t="shared" ref="L63:L67" si="49">J63+K63</f>
        <v>215.84</v>
      </c>
      <c r="M63" s="447">
        <f t="shared" si="33"/>
        <v>0</v>
      </c>
      <c r="N63" s="448">
        <v>0</v>
      </c>
    </row>
    <row r="64" s="38" customFormat="1" ht="34" customHeight="1" spans="1:14">
      <c r="A64" s="441">
        <v>20128</v>
      </c>
      <c r="B64" s="147" t="s">
        <v>153</v>
      </c>
      <c r="C64" s="442">
        <f t="shared" ref="C64:F64" si="50">C65+C66+C67</f>
        <v>97.25</v>
      </c>
      <c r="D64" s="442">
        <f t="shared" si="50"/>
        <v>0</v>
      </c>
      <c r="E64" s="442">
        <f t="shared" si="50"/>
        <v>97.25</v>
      </c>
      <c r="F64" s="442">
        <f t="shared" si="50"/>
        <v>-0.45</v>
      </c>
      <c r="G64" s="442"/>
      <c r="H64" s="442">
        <v>1.47</v>
      </c>
      <c r="I64" s="442">
        <f t="shared" si="45"/>
        <v>0</v>
      </c>
      <c r="J64" s="442">
        <f t="shared" ref="J64:L64" si="51">J65+J66+J67</f>
        <v>98.26</v>
      </c>
      <c r="K64" s="442">
        <f t="shared" si="51"/>
        <v>0</v>
      </c>
      <c r="L64" s="442">
        <f t="shared" si="51"/>
        <v>98.26</v>
      </c>
      <c r="M64" s="447">
        <f t="shared" si="33"/>
        <v>1.03856041131106</v>
      </c>
      <c r="N64" s="449"/>
    </row>
    <row r="65" s="38" customFormat="1" ht="32" customHeight="1" spans="1:14">
      <c r="A65" s="441">
        <v>2012801</v>
      </c>
      <c r="B65" s="147" t="s">
        <v>90</v>
      </c>
      <c r="C65" s="442">
        <v>94.25</v>
      </c>
      <c r="D65" s="442">
        <v>0</v>
      </c>
      <c r="E65" s="442">
        <f t="shared" si="48"/>
        <v>94.25</v>
      </c>
      <c r="F65" s="442">
        <v>-0.45</v>
      </c>
      <c r="G65" s="442">
        <v>0</v>
      </c>
      <c r="H65" s="442">
        <v>1.47</v>
      </c>
      <c r="I65" s="442">
        <f t="shared" si="45"/>
        <v>0</v>
      </c>
      <c r="J65" s="442">
        <v>95.26</v>
      </c>
      <c r="K65" s="442"/>
      <c r="L65" s="442">
        <f t="shared" si="49"/>
        <v>95.26</v>
      </c>
      <c r="M65" s="447">
        <f t="shared" si="33"/>
        <v>1.07161803713528</v>
      </c>
      <c r="N65" s="448" t="s">
        <v>91</v>
      </c>
    </row>
    <row r="66" s="38" customFormat="1" customHeight="1" spans="1:14">
      <c r="A66" s="441">
        <v>2012802</v>
      </c>
      <c r="B66" s="147" t="s">
        <v>92</v>
      </c>
      <c r="C66" s="442">
        <v>2</v>
      </c>
      <c r="D66" s="442">
        <v>0</v>
      </c>
      <c r="E66" s="442">
        <f t="shared" si="48"/>
        <v>2</v>
      </c>
      <c r="F66" s="442">
        <v>0</v>
      </c>
      <c r="G66" s="442">
        <v>0</v>
      </c>
      <c r="H66" s="442">
        <v>0</v>
      </c>
      <c r="I66" s="442">
        <f t="shared" si="45"/>
        <v>0</v>
      </c>
      <c r="J66" s="442">
        <v>2</v>
      </c>
      <c r="K66" s="442"/>
      <c r="L66" s="442">
        <f t="shared" si="49"/>
        <v>2</v>
      </c>
      <c r="M66" s="447">
        <f t="shared" si="33"/>
        <v>0</v>
      </c>
      <c r="N66" s="448">
        <v>0</v>
      </c>
    </row>
    <row r="67" s="38" customFormat="1" ht="32" customHeight="1" spans="1:14">
      <c r="A67" s="441">
        <v>2012899</v>
      </c>
      <c r="B67" s="147" t="s">
        <v>154</v>
      </c>
      <c r="C67" s="442">
        <v>1</v>
      </c>
      <c r="D67" s="442">
        <v>0</v>
      </c>
      <c r="E67" s="442">
        <f t="shared" si="48"/>
        <v>1</v>
      </c>
      <c r="F67" s="442">
        <v>0</v>
      </c>
      <c r="G67" s="442">
        <v>0</v>
      </c>
      <c r="H67" s="442">
        <v>0</v>
      </c>
      <c r="I67" s="442">
        <f t="shared" si="45"/>
        <v>0</v>
      </c>
      <c r="J67" s="442">
        <v>1</v>
      </c>
      <c r="K67" s="442"/>
      <c r="L67" s="442">
        <f t="shared" si="49"/>
        <v>1</v>
      </c>
      <c r="M67" s="447">
        <f t="shared" si="33"/>
        <v>0</v>
      </c>
      <c r="N67" s="448">
        <v>0</v>
      </c>
    </row>
    <row r="68" s="38" customFormat="1" customHeight="1" spans="1:14">
      <c r="A68" s="441">
        <v>20129</v>
      </c>
      <c r="B68" s="147" t="s">
        <v>155</v>
      </c>
      <c r="C68" s="442">
        <f t="shared" ref="C68:H68" si="52">C69+C70+C71+C72</f>
        <v>390.89</v>
      </c>
      <c r="D68" s="442">
        <f t="shared" si="52"/>
        <v>6</v>
      </c>
      <c r="E68" s="442">
        <f t="shared" si="52"/>
        <v>396.89</v>
      </c>
      <c r="F68" s="442">
        <f t="shared" si="52"/>
        <v>-0.91</v>
      </c>
      <c r="G68" s="442">
        <f t="shared" si="52"/>
        <v>0</v>
      </c>
      <c r="H68" s="442">
        <f t="shared" si="52"/>
        <v>334.45</v>
      </c>
      <c r="I68" s="442">
        <f t="shared" si="45"/>
        <v>1.6</v>
      </c>
      <c r="J68" s="442">
        <f t="shared" ref="J68:L68" si="53">J69+J70+J71+J72</f>
        <v>724.44</v>
      </c>
      <c r="K68" s="442">
        <f t="shared" si="53"/>
        <v>7.6</v>
      </c>
      <c r="L68" s="442">
        <f t="shared" si="53"/>
        <v>732.04</v>
      </c>
      <c r="M68" s="447">
        <f t="shared" si="33"/>
        <v>84.4440525082517</v>
      </c>
      <c r="N68" s="448"/>
    </row>
    <row r="69" s="38" customFormat="1" ht="30" customHeight="1" spans="1:14">
      <c r="A69" s="441">
        <v>2012901</v>
      </c>
      <c r="B69" s="147" t="s">
        <v>90</v>
      </c>
      <c r="C69" s="442">
        <v>353.09</v>
      </c>
      <c r="D69" s="442">
        <v>0</v>
      </c>
      <c r="E69" s="442">
        <f t="shared" ref="E69:E72" si="54">C69+D69</f>
        <v>353.09</v>
      </c>
      <c r="F69" s="442">
        <v>-1.91</v>
      </c>
      <c r="G69" s="442">
        <v>0</v>
      </c>
      <c r="H69" s="442">
        <v>0.63</v>
      </c>
      <c r="I69" s="442">
        <f t="shared" si="45"/>
        <v>0</v>
      </c>
      <c r="J69" s="442">
        <v>351.82</v>
      </c>
      <c r="K69" s="442"/>
      <c r="L69" s="442">
        <f t="shared" ref="L69:L72" si="55">J69+K69</f>
        <v>351.82</v>
      </c>
      <c r="M69" s="447">
        <f t="shared" si="33"/>
        <v>-0.359681667563506</v>
      </c>
      <c r="N69" s="448" t="s">
        <v>91</v>
      </c>
    </row>
    <row r="70" s="38" customFormat="1" customHeight="1" spans="1:14">
      <c r="A70" s="441">
        <v>2012902</v>
      </c>
      <c r="B70" s="147" t="s">
        <v>92</v>
      </c>
      <c r="C70" s="442">
        <v>37.8</v>
      </c>
      <c r="D70" s="442">
        <v>0</v>
      </c>
      <c r="E70" s="442">
        <f t="shared" si="54"/>
        <v>37.8</v>
      </c>
      <c r="F70" s="442">
        <v>1</v>
      </c>
      <c r="G70" s="442">
        <v>0</v>
      </c>
      <c r="H70" s="442">
        <v>0</v>
      </c>
      <c r="I70" s="442">
        <f t="shared" si="45"/>
        <v>0</v>
      </c>
      <c r="J70" s="442">
        <v>38.8</v>
      </c>
      <c r="K70" s="442"/>
      <c r="L70" s="442">
        <f t="shared" si="55"/>
        <v>38.8</v>
      </c>
      <c r="M70" s="447">
        <f t="shared" si="33"/>
        <v>2.64550264550265</v>
      </c>
      <c r="N70" s="448" t="s">
        <v>156</v>
      </c>
    </row>
    <row r="71" s="38" customFormat="1" customHeight="1" spans="1:14">
      <c r="A71" s="441">
        <v>2012906</v>
      </c>
      <c r="B71" s="147" t="s">
        <v>157</v>
      </c>
      <c r="C71" s="442">
        <v>0</v>
      </c>
      <c r="D71" s="442">
        <v>0</v>
      </c>
      <c r="E71" s="442">
        <f t="shared" si="54"/>
        <v>0</v>
      </c>
      <c r="F71" s="442">
        <v>0</v>
      </c>
      <c r="G71" s="442">
        <v>0</v>
      </c>
      <c r="H71" s="442">
        <v>333.82</v>
      </c>
      <c r="I71" s="442">
        <f t="shared" si="45"/>
        <v>0</v>
      </c>
      <c r="J71" s="442">
        <v>333.82</v>
      </c>
      <c r="K71" s="442"/>
      <c r="L71" s="442">
        <f t="shared" si="55"/>
        <v>333.82</v>
      </c>
      <c r="M71" s="447">
        <v>100</v>
      </c>
      <c r="N71" s="448" t="s">
        <v>158</v>
      </c>
    </row>
    <row r="72" s="38" customFormat="1" ht="33" customHeight="1" spans="1:14">
      <c r="A72" s="441">
        <v>2012999</v>
      </c>
      <c r="B72" s="147" t="s">
        <v>159</v>
      </c>
      <c r="C72" s="442"/>
      <c r="D72" s="442">
        <v>6</v>
      </c>
      <c r="E72" s="442">
        <f t="shared" si="54"/>
        <v>6</v>
      </c>
      <c r="F72" s="442"/>
      <c r="G72" s="442"/>
      <c r="H72" s="442"/>
      <c r="I72" s="442">
        <f t="shared" si="45"/>
        <v>1.6</v>
      </c>
      <c r="J72" s="442"/>
      <c r="K72" s="442">
        <v>7.6</v>
      </c>
      <c r="L72" s="442">
        <f t="shared" si="55"/>
        <v>7.6</v>
      </c>
      <c r="M72" s="447">
        <f t="shared" ref="M72:M88" si="56">(L72-E72)/E72*100</f>
        <v>26.6666666666667</v>
      </c>
      <c r="N72" s="448"/>
    </row>
    <row r="73" s="38" customFormat="1" customHeight="1" spans="1:14">
      <c r="A73" s="441">
        <v>20132</v>
      </c>
      <c r="B73" s="147" t="s">
        <v>160</v>
      </c>
      <c r="C73" s="442">
        <f t="shared" ref="C73:F73" si="57">C74+C75</f>
        <v>4813.88</v>
      </c>
      <c r="D73" s="442">
        <f t="shared" si="57"/>
        <v>98.22</v>
      </c>
      <c r="E73" s="442">
        <f t="shared" si="57"/>
        <v>4912.1</v>
      </c>
      <c r="F73" s="442">
        <f t="shared" si="57"/>
        <v>-484.66</v>
      </c>
      <c r="G73" s="442"/>
      <c r="H73" s="442">
        <v>1.04000000000004</v>
      </c>
      <c r="I73" s="442">
        <f t="shared" si="45"/>
        <v>2078.135</v>
      </c>
      <c r="J73" s="442">
        <f t="shared" ref="J73:L73" si="58">J74+J75</f>
        <v>4319.54</v>
      </c>
      <c r="K73" s="442">
        <f t="shared" si="58"/>
        <v>2176.355</v>
      </c>
      <c r="L73" s="442">
        <f t="shared" si="58"/>
        <v>6495.895</v>
      </c>
      <c r="M73" s="447">
        <f t="shared" si="56"/>
        <v>32.242727143177</v>
      </c>
      <c r="N73" s="449"/>
    </row>
    <row r="74" s="38" customFormat="1" ht="30" customHeight="1" spans="1:14">
      <c r="A74" s="441">
        <v>2013201</v>
      </c>
      <c r="B74" s="147" t="s">
        <v>90</v>
      </c>
      <c r="C74" s="442">
        <v>295.38</v>
      </c>
      <c r="D74" s="442">
        <v>0</v>
      </c>
      <c r="E74" s="442">
        <f t="shared" ref="E74:E78" si="59">C74+D74</f>
        <v>295.38</v>
      </c>
      <c r="F74" s="442">
        <v>-6.84</v>
      </c>
      <c r="G74" s="442">
        <v>0</v>
      </c>
      <c r="H74" s="442">
        <v>1.02</v>
      </c>
      <c r="I74" s="442">
        <f t="shared" si="45"/>
        <v>0</v>
      </c>
      <c r="J74" s="442">
        <v>289.56</v>
      </c>
      <c r="K74" s="442"/>
      <c r="L74" s="442">
        <f t="shared" ref="L74:L78" si="60">J74+K74</f>
        <v>289.56</v>
      </c>
      <c r="M74" s="447">
        <f t="shared" si="56"/>
        <v>-1.97034328661385</v>
      </c>
      <c r="N74" s="448" t="s">
        <v>91</v>
      </c>
    </row>
    <row r="75" s="38" customFormat="1" ht="67" customHeight="1" spans="1:14">
      <c r="A75" s="441">
        <v>2013299</v>
      </c>
      <c r="B75" s="147" t="s">
        <v>161</v>
      </c>
      <c r="C75" s="442">
        <f>4507.78+10.72</f>
        <v>4518.5</v>
      </c>
      <c r="D75" s="442">
        <v>98.22</v>
      </c>
      <c r="E75" s="442">
        <f t="shared" si="59"/>
        <v>4616.72</v>
      </c>
      <c r="F75" s="442">
        <v>-477.82</v>
      </c>
      <c r="G75" s="442">
        <v>0</v>
      </c>
      <c r="H75" s="442">
        <f>0.02-10.72</f>
        <v>-10.7</v>
      </c>
      <c r="I75" s="442">
        <f t="shared" si="45"/>
        <v>2078.135</v>
      </c>
      <c r="J75" s="442">
        <v>4029.98</v>
      </c>
      <c r="K75" s="442">
        <v>2176.355</v>
      </c>
      <c r="L75" s="442">
        <f t="shared" si="60"/>
        <v>6206.335</v>
      </c>
      <c r="M75" s="447">
        <f t="shared" si="56"/>
        <v>34.4316960959296</v>
      </c>
      <c r="N75" s="448" t="s">
        <v>162</v>
      </c>
    </row>
    <row r="76" s="38" customFormat="1" customHeight="1" spans="1:14">
      <c r="A76" s="441">
        <v>20133</v>
      </c>
      <c r="B76" s="147" t="s">
        <v>163</v>
      </c>
      <c r="C76" s="442">
        <f t="shared" ref="C76:F76" si="61">C77+C78</f>
        <v>240.61</v>
      </c>
      <c r="D76" s="442">
        <f t="shared" si="61"/>
        <v>0</v>
      </c>
      <c r="E76" s="442">
        <f t="shared" si="61"/>
        <v>240.61</v>
      </c>
      <c r="F76" s="442">
        <f t="shared" si="61"/>
        <v>-0.74</v>
      </c>
      <c r="G76" s="442"/>
      <c r="H76" s="442">
        <v>2.07</v>
      </c>
      <c r="I76" s="442">
        <f t="shared" si="45"/>
        <v>0</v>
      </c>
      <c r="J76" s="442">
        <f t="shared" ref="J76:L76" si="62">J77+J78</f>
        <v>241.94</v>
      </c>
      <c r="K76" s="442">
        <f t="shared" si="62"/>
        <v>0</v>
      </c>
      <c r="L76" s="442">
        <f t="shared" si="62"/>
        <v>241.94</v>
      </c>
      <c r="M76" s="447">
        <f t="shared" si="56"/>
        <v>0.552761730601382</v>
      </c>
      <c r="N76" s="449"/>
    </row>
    <row r="77" s="38" customFormat="1" customHeight="1" spans="1:14">
      <c r="A77" s="441">
        <v>2013301</v>
      </c>
      <c r="B77" s="147" t="s">
        <v>90</v>
      </c>
      <c r="C77" s="442">
        <v>231.61</v>
      </c>
      <c r="D77" s="442">
        <v>0</v>
      </c>
      <c r="E77" s="442">
        <f t="shared" si="59"/>
        <v>231.61</v>
      </c>
      <c r="F77" s="442">
        <v>-0.74</v>
      </c>
      <c r="G77" s="442">
        <v>0</v>
      </c>
      <c r="H77" s="442">
        <v>2.07</v>
      </c>
      <c r="I77" s="442">
        <f t="shared" si="45"/>
        <v>0</v>
      </c>
      <c r="J77" s="442">
        <v>232.94</v>
      </c>
      <c r="K77" s="442"/>
      <c r="L77" s="442">
        <f t="shared" si="60"/>
        <v>232.94</v>
      </c>
      <c r="M77" s="447">
        <f t="shared" si="56"/>
        <v>0.574241181296137</v>
      </c>
      <c r="N77" s="448" t="s">
        <v>119</v>
      </c>
    </row>
    <row r="78" s="38" customFormat="1" customHeight="1" spans="1:14">
      <c r="A78" s="441">
        <v>2013399</v>
      </c>
      <c r="B78" s="147" t="s">
        <v>164</v>
      </c>
      <c r="C78" s="442">
        <v>9</v>
      </c>
      <c r="D78" s="442">
        <v>0</v>
      </c>
      <c r="E78" s="442">
        <f t="shared" si="59"/>
        <v>9</v>
      </c>
      <c r="F78" s="442">
        <v>0</v>
      </c>
      <c r="G78" s="442">
        <v>0</v>
      </c>
      <c r="H78" s="442">
        <v>0</v>
      </c>
      <c r="I78" s="442">
        <f t="shared" si="45"/>
        <v>0</v>
      </c>
      <c r="J78" s="442">
        <v>9</v>
      </c>
      <c r="K78" s="442"/>
      <c r="L78" s="442">
        <f t="shared" si="60"/>
        <v>9</v>
      </c>
      <c r="M78" s="447">
        <f t="shared" si="56"/>
        <v>0</v>
      </c>
      <c r="N78" s="448">
        <v>0</v>
      </c>
    </row>
    <row r="79" s="38" customFormat="1" customHeight="1" spans="1:14">
      <c r="A79" s="441">
        <v>20134</v>
      </c>
      <c r="B79" s="147" t="s">
        <v>165</v>
      </c>
      <c r="C79" s="442">
        <f t="shared" ref="C79:L79" si="63">C80+C81+C82</f>
        <v>250.71</v>
      </c>
      <c r="D79" s="442">
        <f t="shared" si="63"/>
        <v>0</v>
      </c>
      <c r="E79" s="442">
        <f t="shared" si="63"/>
        <v>250.71</v>
      </c>
      <c r="F79" s="442">
        <f t="shared" si="63"/>
        <v>-2.74</v>
      </c>
      <c r="G79" s="442">
        <f t="shared" si="63"/>
        <v>0</v>
      </c>
      <c r="H79" s="442">
        <f t="shared" si="63"/>
        <v>0</v>
      </c>
      <c r="I79" s="442">
        <f t="shared" si="63"/>
        <v>0</v>
      </c>
      <c r="J79" s="442">
        <f t="shared" si="63"/>
        <v>247.97</v>
      </c>
      <c r="K79" s="442">
        <f t="shared" si="63"/>
        <v>0</v>
      </c>
      <c r="L79" s="442">
        <f t="shared" si="63"/>
        <v>247.97</v>
      </c>
      <c r="M79" s="447">
        <f t="shared" si="56"/>
        <v>-1.09289617486339</v>
      </c>
      <c r="N79" s="449"/>
    </row>
    <row r="80" s="38" customFormat="1" ht="30" customHeight="1" spans="1:14">
      <c r="A80" s="441">
        <v>2013401</v>
      </c>
      <c r="B80" s="147" t="s">
        <v>90</v>
      </c>
      <c r="C80" s="442">
        <v>238.71</v>
      </c>
      <c r="D80" s="442">
        <v>0</v>
      </c>
      <c r="E80" s="442">
        <f t="shared" ref="E80:E82" si="64">C80+D80</f>
        <v>238.71</v>
      </c>
      <c r="F80" s="442">
        <v>-2.74</v>
      </c>
      <c r="G80" s="442"/>
      <c r="H80" s="442">
        <v>0</v>
      </c>
      <c r="I80" s="442">
        <f t="shared" ref="I80:I86" si="65">K80-D80</f>
        <v>0</v>
      </c>
      <c r="J80" s="442">
        <v>235.97</v>
      </c>
      <c r="K80" s="442"/>
      <c r="L80" s="442">
        <f t="shared" ref="L80:L82" si="66">J80+K80</f>
        <v>235.97</v>
      </c>
      <c r="M80" s="447">
        <f t="shared" si="56"/>
        <v>-1.14783628670772</v>
      </c>
      <c r="N80" s="449" t="s">
        <v>131</v>
      </c>
    </row>
    <row r="81" s="38" customFormat="1" customHeight="1" spans="1:14">
      <c r="A81" s="441">
        <v>2013405</v>
      </c>
      <c r="B81" s="147" t="s">
        <v>166</v>
      </c>
      <c r="C81" s="442">
        <v>10</v>
      </c>
      <c r="D81" s="442">
        <v>0</v>
      </c>
      <c r="E81" s="442">
        <f t="shared" si="64"/>
        <v>10</v>
      </c>
      <c r="F81" s="442">
        <v>0</v>
      </c>
      <c r="G81" s="442"/>
      <c r="H81" s="442">
        <v>0</v>
      </c>
      <c r="I81" s="442">
        <f t="shared" si="65"/>
        <v>0</v>
      </c>
      <c r="J81" s="442">
        <v>10</v>
      </c>
      <c r="K81" s="442"/>
      <c r="L81" s="442">
        <f t="shared" si="66"/>
        <v>10</v>
      </c>
      <c r="M81" s="447">
        <f t="shared" si="56"/>
        <v>0</v>
      </c>
      <c r="N81" s="449"/>
    </row>
    <row r="82" s="38" customFormat="1" customHeight="1" spans="1:14">
      <c r="A82" s="441">
        <v>2013499</v>
      </c>
      <c r="B82" s="147" t="s">
        <v>167</v>
      </c>
      <c r="C82" s="442">
        <v>2</v>
      </c>
      <c r="D82" s="442">
        <v>0</v>
      </c>
      <c r="E82" s="442">
        <f t="shared" si="64"/>
        <v>2</v>
      </c>
      <c r="F82" s="442">
        <v>0</v>
      </c>
      <c r="G82" s="442"/>
      <c r="H82" s="442">
        <v>0</v>
      </c>
      <c r="I82" s="442">
        <f t="shared" si="65"/>
        <v>0</v>
      </c>
      <c r="J82" s="442">
        <v>2</v>
      </c>
      <c r="K82" s="442"/>
      <c r="L82" s="442">
        <f t="shared" si="66"/>
        <v>2</v>
      </c>
      <c r="M82" s="447">
        <f t="shared" si="56"/>
        <v>0</v>
      </c>
      <c r="N82" s="448"/>
    </row>
    <row r="83" s="38" customFormat="1" customHeight="1" spans="1:14">
      <c r="A83" s="441">
        <v>20136</v>
      </c>
      <c r="B83" s="147" t="s">
        <v>168</v>
      </c>
      <c r="C83" s="442">
        <f t="shared" ref="C83:F83" si="67">C84+C86+C85</f>
        <v>668.6</v>
      </c>
      <c r="D83" s="442">
        <f t="shared" si="67"/>
        <v>0</v>
      </c>
      <c r="E83" s="442">
        <f t="shared" si="67"/>
        <v>668.6</v>
      </c>
      <c r="F83" s="442">
        <f t="shared" si="67"/>
        <v>8.19</v>
      </c>
      <c r="G83" s="442"/>
      <c r="H83" s="442">
        <v>0.17</v>
      </c>
      <c r="I83" s="442">
        <f t="shared" si="65"/>
        <v>0</v>
      </c>
      <c r="J83" s="442">
        <f t="shared" ref="J83:L83" si="68">J84+J86+J85</f>
        <v>687.47</v>
      </c>
      <c r="K83" s="442">
        <f t="shared" si="68"/>
        <v>0</v>
      </c>
      <c r="L83" s="442">
        <f t="shared" si="68"/>
        <v>687.47</v>
      </c>
      <c r="M83" s="447">
        <f t="shared" si="56"/>
        <v>2.82231528567155</v>
      </c>
      <c r="N83" s="448"/>
    </row>
    <row r="84" s="38" customFormat="1" customHeight="1" spans="1:14">
      <c r="A84" s="441">
        <v>2013601</v>
      </c>
      <c r="B84" s="147" t="s">
        <v>90</v>
      </c>
      <c r="C84" s="442">
        <v>427.53</v>
      </c>
      <c r="D84" s="442">
        <v>0</v>
      </c>
      <c r="E84" s="442">
        <f t="shared" ref="E84:E86" si="69">C84+D84</f>
        <v>427.53</v>
      </c>
      <c r="F84" s="442">
        <v>-2.31</v>
      </c>
      <c r="G84" s="442"/>
      <c r="H84" s="442">
        <v>0</v>
      </c>
      <c r="I84" s="442">
        <f t="shared" si="65"/>
        <v>0</v>
      </c>
      <c r="J84" s="442">
        <v>425.22</v>
      </c>
      <c r="K84" s="442"/>
      <c r="L84" s="442">
        <f t="shared" ref="L84:L86" si="70">J84+K84</f>
        <v>425.22</v>
      </c>
      <c r="M84" s="447">
        <f t="shared" si="56"/>
        <v>-0.540312960493988</v>
      </c>
      <c r="N84" s="449" t="s">
        <v>104</v>
      </c>
    </row>
    <row r="85" s="38" customFormat="1" customHeight="1" spans="1:14">
      <c r="A85" s="441" t="s">
        <v>169</v>
      </c>
      <c r="B85" s="147" t="s">
        <v>118</v>
      </c>
      <c r="C85" s="442">
        <v>40.36</v>
      </c>
      <c r="D85" s="442"/>
      <c r="E85" s="442">
        <f t="shared" si="69"/>
        <v>40.36</v>
      </c>
      <c r="F85" s="442">
        <v>0</v>
      </c>
      <c r="G85" s="442">
        <v>0</v>
      </c>
      <c r="H85" s="442">
        <v>0.17</v>
      </c>
      <c r="I85" s="442">
        <f t="shared" si="65"/>
        <v>0</v>
      </c>
      <c r="J85" s="442">
        <v>40.54</v>
      </c>
      <c r="K85" s="442"/>
      <c r="L85" s="442">
        <f t="shared" si="70"/>
        <v>40.54</v>
      </c>
      <c r="M85" s="447">
        <f t="shared" si="56"/>
        <v>0.445986124876114</v>
      </c>
      <c r="N85" s="448" t="s">
        <v>119</v>
      </c>
    </row>
    <row r="86" s="38" customFormat="1" ht="28" customHeight="1" spans="1:14">
      <c r="A86" s="441">
        <v>2013699</v>
      </c>
      <c r="B86" s="147" t="s">
        <v>168</v>
      </c>
      <c r="C86" s="442">
        <v>200.71</v>
      </c>
      <c r="D86" s="442">
        <v>0</v>
      </c>
      <c r="E86" s="442">
        <f t="shared" si="69"/>
        <v>200.71</v>
      </c>
      <c r="F86" s="442">
        <f>7+3.5</f>
        <v>10.5</v>
      </c>
      <c r="G86" s="442"/>
      <c r="H86" s="442">
        <v>10.5</v>
      </c>
      <c r="I86" s="442">
        <f t="shared" si="65"/>
        <v>0</v>
      </c>
      <c r="J86" s="442">
        <f>207.71+14</f>
        <v>221.71</v>
      </c>
      <c r="K86" s="442"/>
      <c r="L86" s="442">
        <f t="shared" si="70"/>
        <v>221.71</v>
      </c>
      <c r="M86" s="447">
        <f t="shared" si="56"/>
        <v>10.4628568581536</v>
      </c>
      <c r="N86" s="449" t="s">
        <v>170</v>
      </c>
    </row>
    <row r="87" s="38" customFormat="1" customHeight="1" spans="1:14">
      <c r="A87" s="441">
        <v>20138</v>
      </c>
      <c r="B87" s="147" t="s">
        <v>171</v>
      </c>
      <c r="C87" s="442">
        <f t="shared" ref="C87:L87" si="71">C88+C90+C92+C91+C89</f>
        <v>1211.72</v>
      </c>
      <c r="D87" s="442">
        <f t="shared" si="71"/>
        <v>82.39</v>
      </c>
      <c r="E87" s="442">
        <f t="shared" si="71"/>
        <v>1294.11</v>
      </c>
      <c r="F87" s="442">
        <f t="shared" si="71"/>
        <v>17.33</v>
      </c>
      <c r="G87" s="442">
        <f t="shared" si="71"/>
        <v>-8</v>
      </c>
      <c r="H87" s="442">
        <f t="shared" si="71"/>
        <v>35.42</v>
      </c>
      <c r="I87" s="442">
        <f t="shared" si="71"/>
        <v>9.55</v>
      </c>
      <c r="J87" s="442">
        <f t="shared" si="71"/>
        <v>1256.47</v>
      </c>
      <c r="K87" s="442">
        <f t="shared" si="71"/>
        <v>91.94</v>
      </c>
      <c r="L87" s="442">
        <f t="shared" si="71"/>
        <v>1348.41</v>
      </c>
      <c r="M87" s="447">
        <f t="shared" si="56"/>
        <v>4.19593388506388</v>
      </c>
      <c r="N87" s="448"/>
    </row>
    <row r="88" s="38" customFormat="1" ht="30" customHeight="1" spans="1:14">
      <c r="A88" s="441">
        <v>2013801</v>
      </c>
      <c r="B88" s="147" t="s">
        <v>90</v>
      </c>
      <c r="C88" s="442">
        <v>982.92</v>
      </c>
      <c r="D88" s="442">
        <v>0</v>
      </c>
      <c r="E88" s="442">
        <f t="shared" ref="E88:E92" si="72">C88+D88</f>
        <v>982.92</v>
      </c>
      <c r="F88" s="442">
        <v>-2.67</v>
      </c>
      <c r="G88" s="442">
        <v>-8</v>
      </c>
      <c r="H88" s="442">
        <v>0.84</v>
      </c>
      <c r="I88" s="442">
        <f t="shared" ref="I88:I95" si="73">K88-D88</f>
        <v>0</v>
      </c>
      <c r="J88" s="442">
        <v>973.09</v>
      </c>
      <c r="K88" s="442"/>
      <c r="L88" s="442">
        <f t="shared" ref="L88:L92" si="74">J88+K88</f>
        <v>973.09</v>
      </c>
      <c r="M88" s="447">
        <f t="shared" si="56"/>
        <v>-1.00008139014365</v>
      </c>
      <c r="N88" s="449" t="s">
        <v>131</v>
      </c>
    </row>
    <row r="89" s="38" customFormat="1" customHeight="1" spans="1:14">
      <c r="A89" s="441">
        <v>2013815</v>
      </c>
      <c r="B89" s="147" t="s">
        <v>172</v>
      </c>
      <c r="C89" s="442"/>
      <c r="D89" s="442"/>
      <c r="E89" s="442"/>
      <c r="F89" s="442"/>
      <c r="G89" s="442"/>
      <c r="H89" s="442"/>
      <c r="I89" s="442">
        <f t="shared" si="73"/>
        <v>3.41</v>
      </c>
      <c r="J89" s="442"/>
      <c r="K89" s="442">
        <v>3.41</v>
      </c>
      <c r="L89" s="442">
        <f t="shared" si="74"/>
        <v>3.41</v>
      </c>
      <c r="M89" s="447">
        <v>100</v>
      </c>
      <c r="N89" s="448"/>
    </row>
    <row r="90" s="38" customFormat="1" customHeight="1" spans="1:14">
      <c r="A90" s="441">
        <v>2013816</v>
      </c>
      <c r="B90" s="147" t="s">
        <v>173</v>
      </c>
      <c r="C90" s="442">
        <v>115</v>
      </c>
      <c r="D90" s="442">
        <v>32.25</v>
      </c>
      <c r="E90" s="442">
        <f t="shared" si="72"/>
        <v>147.25</v>
      </c>
      <c r="F90" s="442">
        <v>0</v>
      </c>
      <c r="G90" s="442">
        <v>0</v>
      </c>
      <c r="H90" s="442">
        <v>0</v>
      </c>
      <c r="I90" s="442">
        <f t="shared" si="73"/>
        <v>6.14</v>
      </c>
      <c r="J90" s="442">
        <v>115</v>
      </c>
      <c r="K90" s="442">
        <v>38.39</v>
      </c>
      <c r="L90" s="442">
        <f t="shared" si="74"/>
        <v>153.39</v>
      </c>
      <c r="M90" s="447">
        <f t="shared" ref="M90:M107" si="75">(L90-E90)/E90*100</f>
        <v>4.16977928692699</v>
      </c>
      <c r="N90" s="448"/>
    </row>
    <row r="91" s="38" customFormat="1" customHeight="1" spans="1:14">
      <c r="A91" s="441" t="s">
        <v>174</v>
      </c>
      <c r="B91" s="147" t="s">
        <v>118</v>
      </c>
      <c r="C91" s="442">
        <v>9.35</v>
      </c>
      <c r="D91" s="442"/>
      <c r="E91" s="442">
        <f t="shared" si="72"/>
        <v>9.35</v>
      </c>
      <c r="F91" s="442">
        <v>0</v>
      </c>
      <c r="G91" s="442">
        <v>0</v>
      </c>
      <c r="H91" s="442">
        <v>34.58</v>
      </c>
      <c r="I91" s="442">
        <f t="shared" si="73"/>
        <v>0</v>
      </c>
      <c r="J91" s="442">
        <v>43.93</v>
      </c>
      <c r="K91" s="442"/>
      <c r="L91" s="442">
        <f t="shared" si="74"/>
        <v>43.93</v>
      </c>
      <c r="M91" s="447">
        <f t="shared" si="75"/>
        <v>369.839572192513</v>
      </c>
      <c r="N91" s="448" t="s">
        <v>119</v>
      </c>
    </row>
    <row r="92" s="38" customFormat="1" ht="30" customHeight="1" spans="1:14">
      <c r="A92" s="441">
        <v>2013899</v>
      </c>
      <c r="B92" s="147" t="s">
        <v>175</v>
      </c>
      <c r="C92" s="442">
        <v>104.45</v>
      </c>
      <c r="D92" s="442">
        <v>50.14</v>
      </c>
      <c r="E92" s="442">
        <f t="shared" si="72"/>
        <v>154.59</v>
      </c>
      <c r="F92" s="442">
        <v>20</v>
      </c>
      <c r="G92" s="442"/>
      <c r="H92" s="442">
        <v>0</v>
      </c>
      <c r="I92" s="442">
        <f t="shared" si="73"/>
        <v>0</v>
      </c>
      <c r="J92" s="442">
        <v>124.45</v>
      </c>
      <c r="K92" s="442">
        <v>50.14</v>
      </c>
      <c r="L92" s="442">
        <f t="shared" si="74"/>
        <v>174.59</v>
      </c>
      <c r="M92" s="447">
        <f t="shared" si="75"/>
        <v>12.9374474416198</v>
      </c>
      <c r="N92" s="449" t="s">
        <v>176</v>
      </c>
    </row>
    <row r="93" s="38" customFormat="1" ht="31" customHeight="1" spans="1:14">
      <c r="A93" s="441">
        <v>20199</v>
      </c>
      <c r="B93" s="147" t="s">
        <v>177</v>
      </c>
      <c r="C93" s="442">
        <f t="shared" ref="C93:G93" si="76">C94</f>
        <v>900.96</v>
      </c>
      <c r="D93" s="442">
        <f t="shared" si="76"/>
        <v>0</v>
      </c>
      <c r="E93" s="442">
        <f t="shared" si="76"/>
        <v>900.96</v>
      </c>
      <c r="F93" s="442">
        <f t="shared" si="76"/>
        <v>-17.95</v>
      </c>
      <c r="G93" s="442">
        <f t="shared" si="76"/>
        <v>0</v>
      </c>
      <c r="H93" s="442">
        <v>294.61</v>
      </c>
      <c r="I93" s="442">
        <f t="shared" si="73"/>
        <v>0</v>
      </c>
      <c r="J93" s="442">
        <f t="shared" ref="J93:L93" si="77">J94</f>
        <v>1130.65</v>
      </c>
      <c r="K93" s="442">
        <f t="shared" si="77"/>
        <v>0</v>
      </c>
      <c r="L93" s="442">
        <f t="shared" si="77"/>
        <v>1130.65</v>
      </c>
      <c r="M93" s="447">
        <f t="shared" si="75"/>
        <v>25.4939175990055</v>
      </c>
      <c r="N93" s="449"/>
    </row>
    <row r="94" s="38" customFormat="1" ht="45" customHeight="1" spans="1:14">
      <c r="A94" s="441">
        <v>2019999</v>
      </c>
      <c r="B94" s="147" t="s">
        <v>177</v>
      </c>
      <c r="C94" s="442">
        <v>900.96</v>
      </c>
      <c r="D94" s="442">
        <v>0</v>
      </c>
      <c r="E94" s="442">
        <f t="shared" ref="E94:E99" si="78">C94+D94</f>
        <v>900.96</v>
      </c>
      <c r="F94" s="442">
        <v>-17.95</v>
      </c>
      <c r="G94" s="442">
        <v>0</v>
      </c>
      <c r="H94" s="442">
        <f>294.61-(900.96-853.97)</f>
        <v>247.62</v>
      </c>
      <c r="I94" s="442">
        <f t="shared" si="73"/>
        <v>0</v>
      </c>
      <c r="J94" s="442">
        <v>1130.65</v>
      </c>
      <c r="K94" s="442"/>
      <c r="L94" s="442">
        <f t="shared" ref="L94:L99" si="79">J94+K94</f>
        <v>1130.65</v>
      </c>
      <c r="M94" s="447">
        <f t="shared" si="75"/>
        <v>25.4939175990055</v>
      </c>
      <c r="N94" s="449" t="s">
        <v>178</v>
      </c>
    </row>
    <row r="95" s="38" customFormat="1" customHeight="1" spans="1:14">
      <c r="A95" s="441">
        <v>203</v>
      </c>
      <c r="B95" s="147" t="s">
        <v>179</v>
      </c>
      <c r="C95" s="442">
        <f t="shared" ref="C95:G95" si="80">C96+C100</f>
        <v>263.54</v>
      </c>
      <c r="D95" s="442">
        <f t="shared" si="80"/>
        <v>37.8</v>
      </c>
      <c r="E95" s="442">
        <f t="shared" si="80"/>
        <v>301.34</v>
      </c>
      <c r="F95" s="442">
        <f t="shared" si="80"/>
        <v>55.62</v>
      </c>
      <c r="G95" s="442">
        <f t="shared" si="80"/>
        <v>0</v>
      </c>
      <c r="H95" s="442">
        <v>0.01</v>
      </c>
      <c r="I95" s="442">
        <f t="shared" si="73"/>
        <v>2</v>
      </c>
      <c r="J95" s="442">
        <f t="shared" ref="J95:L95" si="81">J96+J100</f>
        <v>319.17</v>
      </c>
      <c r="K95" s="442">
        <f t="shared" si="81"/>
        <v>39.8</v>
      </c>
      <c r="L95" s="442">
        <f t="shared" si="81"/>
        <v>358.97</v>
      </c>
      <c r="M95" s="447">
        <f t="shared" si="75"/>
        <v>19.1245768898918</v>
      </c>
      <c r="N95" s="448">
        <f>N96+N100</f>
        <v>0</v>
      </c>
    </row>
    <row r="96" s="38" customFormat="1" customHeight="1" spans="1:14">
      <c r="A96" s="441">
        <v>20306</v>
      </c>
      <c r="B96" s="147" t="s">
        <v>180</v>
      </c>
      <c r="C96" s="442">
        <f t="shared" ref="C96:L96" si="82">C97+C98+C99</f>
        <v>109.1</v>
      </c>
      <c r="D96" s="442">
        <f t="shared" si="82"/>
        <v>37.8</v>
      </c>
      <c r="E96" s="442">
        <f t="shared" si="82"/>
        <v>146.9</v>
      </c>
      <c r="F96" s="442">
        <f t="shared" si="82"/>
        <v>34.74</v>
      </c>
      <c r="G96" s="442">
        <f t="shared" si="82"/>
        <v>0</v>
      </c>
      <c r="H96" s="442">
        <f t="shared" si="82"/>
        <v>0</v>
      </c>
      <c r="I96" s="442">
        <f t="shared" si="82"/>
        <v>2</v>
      </c>
      <c r="J96" s="442">
        <f t="shared" si="82"/>
        <v>143.84</v>
      </c>
      <c r="K96" s="442">
        <f t="shared" si="82"/>
        <v>39.8</v>
      </c>
      <c r="L96" s="442">
        <f t="shared" si="82"/>
        <v>183.64</v>
      </c>
      <c r="M96" s="447">
        <f t="shared" si="75"/>
        <v>25.0102110279101</v>
      </c>
      <c r="N96" s="448"/>
    </row>
    <row r="97" s="38" customFormat="1" customHeight="1" spans="1:14">
      <c r="A97" s="441">
        <v>2030601</v>
      </c>
      <c r="B97" s="147" t="s">
        <v>181</v>
      </c>
      <c r="C97" s="442">
        <v>51.1</v>
      </c>
      <c r="D97" s="442">
        <v>37.8</v>
      </c>
      <c r="E97" s="442">
        <f t="shared" si="78"/>
        <v>88.9</v>
      </c>
      <c r="F97" s="442">
        <v>10</v>
      </c>
      <c r="G97" s="442">
        <v>0</v>
      </c>
      <c r="H97" s="442">
        <v>0</v>
      </c>
      <c r="I97" s="442">
        <f t="shared" ref="I97:I125" si="83">K97-D97</f>
        <v>0</v>
      </c>
      <c r="J97" s="442">
        <v>61.1</v>
      </c>
      <c r="K97" s="442">
        <v>37.8</v>
      </c>
      <c r="L97" s="442">
        <f t="shared" si="79"/>
        <v>98.9</v>
      </c>
      <c r="M97" s="447">
        <f t="shared" si="75"/>
        <v>11.2485939257593</v>
      </c>
      <c r="N97" s="448" t="s">
        <v>182</v>
      </c>
    </row>
    <row r="98" s="38" customFormat="1" ht="33" customHeight="1" spans="1:14">
      <c r="A98" s="441">
        <v>2030603</v>
      </c>
      <c r="B98" s="147" t="s">
        <v>183</v>
      </c>
      <c r="C98" s="442">
        <v>16</v>
      </c>
      <c r="D98" s="442">
        <v>0</v>
      </c>
      <c r="E98" s="442">
        <f t="shared" si="78"/>
        <v>16</v>
      </c>
      <c r="F98" s="442">
        <v>2.74</v>
      </c>
      <c r="G98" s="442"/>
      <c r="H98" s="442">
        <v>0</v>
      </c>
      <c r="I98" s="442">
        <f t="shared" si="83"/>
        <v>2</v>
      </c>
      <c r="J98" s="442">
        <v>18.74</v>
      </c>
      <c r="K98" s="442">
        <v>2</v>
      </c>
      <c r="L98" s="442">
        <f t="shared" si="79"/>
        <v>20.74</v>
      </c>
      <c r="M98" s="447">
        <f t="shared" si="75"/>
        <v>29.625</v>
      </c>
      <c r="N98" s="449" t="s">
        <v>184</v>
      </c>
    </row>
    <row r="99" s="38" customFormat="1" customHeight="1" spans="1:14">
      <c r="A99" s="441">
        <v>2030607</v>
      </c>
      <c r="B99" s="147" t="s">
        <v>185</v>
      </c>
      <c r="C99" s="442">
        <v>42</v>
      </c>
      <c r="D99" s="442">
        <v>0</v>
      </c>
      <c r="E99" s="442">
        <f t="shared" si="78"/>
        <v>42</v>
      </c>
      <c r="F99" s="442">
        <v>22</v>
      </c>
      <c r="G99" s="442">
        <v>0</v>
      </c>
      <c r="H99" s="442">
        <v>0</v>
      </c>
      <c r="I99" s="442">
        <f t="shared" si="83"/>
        <v>0</v>
      </c>
      <c r="J99" s="442">
        <v>64</v>
      </c>
      <c r="K99" s="442"/>
      <c r="L99" s="442">
        <f t="shared" si="79"/>
        <v>64</v>
      </c>
      <c r="M99" s="447">
        <f t="shared" si="75"/>
        <v>52.3809523809524</v>
      </c>
      <c r="N99" s="448" t="s">
        <v>186</v>
      </c>
    </row>
    <row r="100" s="38" customFormat="1" customHeight="1" spans="1:14">
      <c r="A100" s="441">
        <v>20399</v>
      </c>
      <c r="B100" s="147" t="s">
        <v>187</v>
      </c>
      <c r="C100" s="442">
        <f t="shared" ref="C100:F100" si="84">C101</f>
        <v>154.44</v>
      </c>
      <c r="D100" s="442">
        <f t="shared" si="84"/>
        <v>0</v>
      </c>
      <c r="E100" s="442">
        <f t="shared" si="84"/>
        <v>154.44</v>
      </c>
      <c r="F100" s="442">
        <f t="shared" si="84"/>
        <v>20.88</v>
      </c>
      <c r="G100" s="442"/>
      <c r="H100" s="442">
        <v>0.01</v>
      </c>
      <c r="I100" s="442">
        <f t="shared" si="83"/>
        <v>0</v>
      </c>
      <c r="J100" s="442">
        <f t="shared" ref="J100:L100" si="85">J101</f>
        <v>175.33</v>
      </c>
      <c r="K100" s="442">
        <f t="shared" si="85"/>
        <v>0</v>
      </c>
      <c r="L100" s="442">
        <f t="shared" si="85"/>
        <v>175.33</v>
      </c>
      <c r="M100" s="447">
        <f t="shared" si="75"/>
        <v>13.5262885262885</v>
      </c>
      <c r="N100" s="449"/>
    </row>
    <row r="101" s="38" customFormat="1" ht="45" customHeight="1" spans="1:14">
      <c r="A101" s="441" t="s">
        <v>188</v>
      </c>
      <c r="B101" s="147" t="s">
        <v>187</v>
      </c>
      <c r="C101" s="442">
        <v>154.44</v>
      </c>
      <c r="D101" s="442"/>
      <c r="E101" s="442">
        <f t="shared" ref="E101:E106" si="86">C101+D101</f>
        <v>154.44</v>
      </c>
      <c r="F101" s="442">
        <v>20.88</v>
      </c>
      <c r="G101" s="442"/>
      <c r="H101" s="442">
        <v>0.01</v>
      </c>
      <c r="I101" s="442">
        <f t="shared" si="83"/>
        <v>0</v>
      </c>
      <c r="J101" s="442">
        <v>175.33</v>
      </c>
      <c r="K101" s="442"/>
      <c r="L101" s="442">
        <f>K101+J101</f>
        <v>175.33</v>
      </c>
      <c r="M101" s="447">
        <f t="shared" si="75"/>
        <v>13.5262885262885</v>
      </c>
      <c r="N101" s="448" t="s">
        <v>189</v>
      </c>
    </row>
    <row r="102" s="38" customFormat="1" customHeight="1" spans="1:14">
      <c r="A102" s="441">
        <v>204</v>
      </c>
      <c r="B102" s="147" t="s">
        <v>190</v>
      </c>
      <c r="C102" s="442">
        <f t="shared" ref="C102:G102" si="87">C103+C107+C110+C113+C123</f>
        <v>3613.5</v>
      </c>
      <c r="D102" s="442">
        <f t="shared" si="87"/>
        <v>315.65</v>
      </c>
      <c r="E102" s="442">
        <f t="shared" si="87"/>
        <v>3929.15</v>
      </c>
      <c r="F102" s="442">
        <f t="shared" si="87"/>
        <v>-224.66</v>
      </c>
      <c r="G102" s="442">
        <f t="shared" si="87"/>
        <v>0</v>
      </c>
      <c r="H102" s="442">
        <v>79.99</v>
      </c>
      <c r="I102" s="442">
        <f t="shared" si="83"/>
        <v>142</v>
      </c>
      <c r="J102" s="442">
        <f t="shared" ref="J102:L102" si="88">J103+J107+J110+J113+J123</f>
        <v>3468.84</v>
      </c>
      <c r="K102" s="442">
        <f t="shared" si="88"/>
        <v>457.65</v>
      </c>
      <c r="L102" s="442">
        <f t="shared" si="88"/>
        <v>3926.49</v>
      </c>
      <c r="M102" s="447">
        <f t="shared" si="75"/>
        <v>-0.067699120674963</v>
      </c>
      <c r="N102" s="448">
        <f>N103+N107+N110+N113+N123</f>
        <v>0</v>
      </c>
    </row>
    <row r="103" s="38" customFormat="1" customHeight="1" spans="1:14">
      <c r="A103" s="441">
        <v>20402</v>
      </c>
      <c r="B103" s="147" t="s">
        <v>191</v>
      </c>
      <c r="C103" s="442">
        <f t="shared" ref="C103:G103" si="89">C106+C104+C105</f>
        <v>2464.53</v>
      </c>
      <c r="D103" s="442">
        <f t="shared" si="89"/>
        <v>178.65</v>
      </c>
      <c r="E103" s="442">
        <f t="shared" si="89"/>
        <v>2643.18</v>
      </c>
      <c r="F103" s="442">
        <f t="shared" si="89"/>
        <v>-217.04</v>
      </c>
      <c r="G103" s="442">
        <f t="shared" si="89"/>
        <v>0</v>
      </c>
      <c r="H103" s="442">
        <v>-90</v>
      </c>
      <c r="I103" s="442">
        <f t="shared" si="83"/>
        <v>0</v>
      </c>
      <c r="J103" s="442">
        <f t="shared" ref="J103:L103" si="90">J106+J104+J105</f>
        <v>2157.49</v>
      </c>
      <c r="K103" s="442">
        <f t="shared" si="90"/>
        <v>178.65</v>
      </c>
      <c r="L103" s="442">
        <f t="shared" si="90"/>
        <v>2336.14</v>
      </c>
      <c r="M103" s="447">
        <f t="shared" si="75"/>
        <v>-11.6163106561036</v>
      </c>
      <c r="N103" s="448"/>
    </row>
    <row r="104" s="38" customFormat="1" customHeight="1" spans="1:14">
      <c r="A104" s="441">
        <v>2040201</v>
      </c>
      <c r="B104" s="147" t="s">
        <v>90</v>
      </c>
      <c r="C104" s="442">
        <v>0.89</v>
      </c>
      <c r="D104" s="442">
        <v>128.65</v>
      </c>
      <c r="E104" s="442">
        <f t="shared" si="86"/>
        <v>129.54</v>
      </c>
      <c r="F104" s="442">
        <v>0</v>
      </c>
      <c r="G104" s="442">
        <v>0</v>
      </c>
      <c r="H104" s="442">
        <v>0</v>
      </c>
      <c r="I104" s="442">
        <f t="shared" si="83"/>
        <v>0</v>
      </c>
      <c r="J104" s="442">
        <v>0.89</v>
      </c>
      <c r="K104" s="442">
        <v>128.65</v>
      </c>
      <c r="L104" s="442">
        <f t="shared" ref="L104:L106" si="91">J104+K104</f>
        <v>129.54</v>
      </c>
      <c r="M104" s="447">
        <f t="shared" si="75"/>
        <v>0</v>
      </c>
      <c r="N104" s="448">
        <v>0</v>
      </c>
    </row>
    <row r="105" s="38" customFormat="1" customHeight="1" spans="1:14">
      <c r="A105" s="441">
        <v>2040202</v>
      </c>
      <c r="B105" s="147" t="s">
        <v>92</v>
      </c>
      <c r="C105" s="442">
        <v>10</v>
      </c>
      <c r="D105" s="442">
        <v>0</v>
      </c>
      <c r="E105" s="442">
        <f t="shared" si="86"/>
        <v>10</v>
      </c>
      <c r="F105" s="442">
        <v>0</v>
      </c>
      <c r="G105" s="442">
        <v>0</v>
      </c>
      <c r="H105" s="442">
        <v>0</v>
      </c>
      <c r="I105" s="442">
        <f t="shared" si="83"/>
        <v>0</v>
      </c>
      <c r="J105" s="442">
        <v>10</v>
      </c>
      <c r="K105" s="442"/>
      <c r="L105" s="442">
        <f t="shared" si="91"/>
        <v>10</v>
      </c>
      <c r="M105" s="447">
        <f t="shared" si="75"/>
        <v>0</v>
      </c>
      <c r="N105" s="448">
        <v>0</v>
      </c>
    </row>
    <row r="106" s="38" customFormat="1" ht="75" customHeight="1" spans="1:14">
      <c r="A106" s="441">
        <v>2040299</v>
      </c>
      <c r="B106" s="147" t="s">
        <v>192</v>
      </c>
      <c r="C106" s="442">
        <v>2453.64</v>
      </c>
      <c r="D106" s="442">
        <v>50</v>
      </c>
      <c r="E106" s="442">
        <f t="shared" si="86"/>
        <v>2503.64</v>
      </c>
      <c r="F106" s="442">
        <v>-217.04</v>
      </c>
      <c r="G106" s="442">
        <v>0</v>
      </c>
      <c r="H106" s="442">
        <v>-90</v>
      </c>
      <c r="I106" s="442">
        <f t="shared" si="83"/>
        <v>0</v>
      </c>
      <c r="J106" s="442">
        <v>2146.6</v>
      </c>
      <c r="K106" s="442">
        <v>50</v>
      </c>
      <c r="L106" s="442">
        <f t="shared" si="91"/>
        <v>2196.6</v>
      </c>
      <c r="M106" s="447">
        <f t="shared" si="75"/>
        <v>-12.2637439887524</v>
      </c>
      <c r="N106" s="448" t="s">
        <v>193</v>
      </c>
    </row>
    <row r="107" s="38" customFormat="1" customHeight="1" spans="1:14">
      <c r="A107" s="441">
        <v>20404</v>
      </c>
      <c r="B107" s="147" t="s">
        <v>194</v>
      </c>
      <c r="C107" s="442">
        <f t="shared" ref="C107:F107" si="92">C108+C109</f>
        <v>54.78</v>
      </c>
      <c r="D107" s="442">
        <f t="shared" si="92"/>
        <v>0</v>
      </c>
      <c r="E107" s="442">
        <f t="shared" si="92"/>
        <v>54.78</v>
      </c>
      <c r="F107" s="442">
        <f t="shared" si="92"/>
        <v>0</v>
      </c>
      <c r="G107" s="442"/>
      <c r="H107" s="442">
        <v>69.81</v>
      </c>
      <c r="I107" s="442">
        <f t="shared" si="83"/>
        <v>0</v>
      </c>
      <c r="J107" s="442">
        <f t="shared" ref="J107:L107" si="93">J108+J109</f>
        <v>124.59</v>
      </c>
      <c r="K107" s="442">
        <f t="shared" si="93"/>
        <v>0</v>
      </c>
      <c r="L107" s="442">
        <f t="shared" si="93"/>
        <v>124.59</v>
      </c>
      <c r="M107" s="447">
        <f t="shared" si="75"/>
        <v>127.437020810515</v>
      </c>
      <c r="N107" s="449"/>
    </row>
    <row r="108" s="38" customFormat="1" customHeight="1" spans="1:14">
      <c r="A108" s="441">
        <v>2040401</v>
      </c>
      <c r="B108" s="147" t="s">
        <v>90</v>
      </c>
      <c r="C108" s="442">
        <v>0</v>
      </c>
      <c r="D108" s="442">
        <v>0</v>
      </c>
      <c r="E108" s="442">
        <f t="shared" ref="E108:E112" si="94">C108+D108</f>
        <v>0</v>
      </c>
      <c r="F108" s="442">
        <v>0</v>
      </c>
      <c r="G108" s="442">
        <v>0</v>
      </c>
      <c r="H108" s="442">
        <v>69.81</v>
      </c>
      <c r="I108" s="442">
        <f t="shared" si="83"/>
        <v>0</v>
      </c>
      <c r="J108" s="442">
        <v>69.81</v>
      </c>
      <c r="K108" s="442"/>
      <c r="L108" s="442">
        <f t="shared" ref="L108:L112" si="95">J108+K108</f>
        <v>69.81</v>
      </c>
      <c r="M108" s="447">
        <v>100</v>
      </c>
      <c r="N108" s="448" t="s">
        <v>119</v>
      </c>
    </row>
    <row r="109" s="38" customFormat="1" customHeight="1" spans="1:14">
      <c r="A109" s="441">
        <v>2040499</v>
      </c>
      <c r="B109" s="147" t="s">
        <v>195</v>
      </c>
      <c r="C109" s="442">
        <v>54.78</v>
      </c>
      <c r="D109" s="442">
        <v>0</v>
      </c>
      <c r="E109" s="442">
        <f t="shared" si="94"/>
        <v>54.78</v>
      </c>
      <c r="F109" s="442">
        <v>0</v>
      </c>
      <c r="G109" s="442"/>
      <c r="H109" s="442">
        <v>0</v>
      </c>
      <c r="I109" s="442">
        <f t="shared" si="83"/>
        <v>0</v>
      </c>
      <c r="J109" s="442">
        <v>54.78</v>
      </c>
      <c r="K109" s="442"/>
      <c r="L109" s="442">
        <f t="shared" si="95"/>
        <v>54.78</v>
      </c>
      <c r="M109" s="447">
        <f t="shared" ref="M109:M120" si="96">(L109-E109)/E109*100</f>
        <v>0</v>
      </c>
      <c r="N109" s="448"/>
    </row>
    <row r="110" s="38" customFormat="1" customHeight="1" spans="1:14">
      <c r="A110" s="441">
        <v>20405</v>
      </c>
      <c r="B110" s="147" t="s">
        <v>196</v>
      </c>
      <c r="C110" s="442">
        <f t="shared" ref="C110:F110" si="97">C111+C112</f>
        <v>146.58</v>
      </c>
      <c r="D110" s="442">
        <f t="shared" si="97"/>
        <v>0</v>
      </c>
      <c r="E110" s="442">
        <f t="shared" si="97"/>
        <v>146.58</v>
      </c>
      <c r="F110" s="442">
        <f t="shared" si="97"/>
        <v>10</v>
      </c>
      <c r="G110" s="442"/>
      <c r="H110" s="442">
        <v>96.51</v>
      </c>
      <c r="I110" s="442">
        <f t="shared" si="83"/>
        <v>0</v>
      </c>
      <c r="J110" s="442">
        <f t="shared" ref="J110:L110" si="98">J111+J112</f>
        <v>253.1</v>
      </c>
      <c r="K110" s="442">
        <f t="shared" si="98"/>
        <v>0</v>
      </c>
      <c r="L110" s="442">
        <f t="shared" si="98"/>
        <v>253.1</v>
      </c>
      <c r="M110" s="447">
        <f t="shared" si="96"/>
        <v>72.6702142174922</v>
      </c>
      <c r="N110" s="449"/>
    </row>
    <row r="111" s="38" customFormat="1" customHeight="1" spans="1:14">
      <c r="A111" s="441">
        <v>2040501</v>
      </c>
      <c r="B111" s="147" t="s">
        <v>90</v>
      </c>
      <c r="C111" s="442">
        <v>0</v>
      </c>
      <c r="D111" s="442">
        <v>0</v>
      </c>
      <c r="E111" s="442">
        <f t="shared" si="94"/>
        <v>0</v>
      </c>
      <c r="F111" s="442">
        <v>0</v>
      </c>
      <c r="G111" s="442">
        <v>0</v>
      </c>
      <c r="H111" s="442">
        <v>96.51</v>
      </c>
      <c r="I111" s="442">
        <f t="shared" si="83"/>
        <v>0</v>
      </c>
      <c r="J111" s="442">
        <v>96.51</v>
      </c>
      <c r="K111" s="442"/>
      <c r="L111" s="442">
        <f t="shared" si="95"/>
        <v>96.51</v>
      </c>
      <c r="M111" s="447">
        <v>100</v>
      </c>
      <c r="N111" s="448" t="s">
        <v>119</v>
      </c>
    </row>
    <row r="112" s="38" customFormat="1" ht="31" customHeight="1" spans="1:14">
      <c r="A112" s="441">
        <v>2040599</v>
      </c>
      <c r="B112" s="147" t="s">
        <v>197</v>
      </c>
      <c r="C112" s="442">
        <v>146.58</v>
      </c>
      <c r="D112" s="442">
        <v>0</v>
      </c>
      <c r="E112" s="442">
        <f t="shared" si="94"/>
        <v>146.58</v>
      </c>
      <c r="F112" s="442">
        <v>10</v>
      </c>
      <c r="G112" s="442"/>
      <c r="H112" s="442">
        <v>0</v>
      </c>
      <c r="I112" s="442">
        <f t="shared" si="83"/>
        <v>0</v>
      </c>
      <c r="J112" s="442">
        <v>156.59</v>
      </c>
      <c r="K112" s="442"/>
      <c r="L112" s="442">
        <f t="shared" si="95"/>
        <v>156.59</v>
      </c>
      <c r="M112" s="447">
        <f t="shared" si="96"/>
        <v>6.82903533906399</v>
      </c>
      <c r="N112" s="448" t="s">
        <v>198</v>
      </c>
    </row>
    <row r="113" s="38" customFormat="1" customHeight="1" spans="1:14">
      <c r="A113" s="441">
        <v>20406</v>
      </c>
      <c r="B113" s="147" t="s">
        <v>199</v>
      </c>
      <c r="C113" s="442">
        <f t="shared" ref="C113:H113" si="99">C114+C115+C116+C117+C118+C119+C120+C122+C121</f>
        <v>927.61</v>
      </c>
      <c r="D113" s="442">
        <f t="shared" si="99"/>
        <v>137</v>
      </c>
      <c r="E113" s="442">
        <f t="shared" si="99"/>
        <v>1064.61</v>
      </c>
      <c r="F113" s="442">
        <f t="shared" si="99"/>
        <v>-2.62</v>
      </c>
      <c r="G113" s="442">
        <f t="shared" si="99"/>
        <v>0</v>
      </c>
      <c r="H113" s="442">
        <f t="shared" si="99"/>
        <v>3.67</v>
      </c>
      <c r="I113" s="442">
        <f t="shared" si="83"/>
        <v>86</v>
      </c>
      <c r="J113" s="442">
        <f t="shared" ref="J113:L113" si="100">J114+J115+J116+J117+J118+J119+J120+J122+J121</f>
        <v>928.66</v>
      </c>
      <c r="K113" s="442">
        <f t="shared" si="100"/>
        <v>223</v>
      </c>
      <c r="L113" s="442">
        <f t="shared" si="100"/>
        <v>1151.66</v>
      </c>
      <c r="M113" s="447">
        <f t="shared" si="96"/>
        <v>8.17670320586881</v>
      </c>
      <c r="N113" s="449"/>
    </row>
    <row r="114" s="38" customFormat="1" customHeight="1" spans="1:14">
      <c r="A114" s="441">
        <v>2040601</v>
      </c>
      <c r="B114" s="147" t="s">
        <v>90</v>
      </c>
      <c r="C114" s="442">
        <v>590.46</v>
      </c>
      <c r="D114" s="442">
        <v>0</v>
      </c>
      <c r="E114" s="442">
        <f t="shared" ref="E114:E120" si="101">C114+D114</f>
        <v>590.46</v>
      </c>
      <c r="F114" s="442">
        <v>-1.54</v>
      </c>
      <c r="G114" s="442">
        <v>0</v>
      </c>
      <c r="H114" s="442">
        <v>3.67</v>
      </c>
      <c r="I114" s="442">
        <f t="shared" si="83"/>
        <v>0</v>
      </c>
      <c r="J114" s="442">
        <v>592.6</v>
      </c>
      <c r="K114" s="442"/>
      <c r="L114" s="442">
        <f t="shared" ref="L114:L122" si="102">J114+K114</f>
        <v>592.6</v>
      </c>
      <c r="M114" s="447">
        <f t="shared" si="96"/>
        <v>0.36242929241608</v>
      </c>
      <c r="N114" s="448" t="s">
        <v>119</v>
      </c>
    </row>
    <row r="115" s="38" customFormat="1" customHeight="1" spans="1:14">
      <c r="A115" s="441">
        <v>2040602</v>
      </c>
      <c r="B115" s="147" t="s">
        <v>92</v>
      </c>
      <c r="C115" s="442">
        <v>71.2</v>
      </c>
      <c r="D115" s="442">
        <v>0</v>
      </c>
      <c r="E115" s="442">
        <f t="shared" si="101"/>
        <v>71.2</v>
      </c>
      <c r="F115" s="442">
        <v>0</v>
      </c>
      <c r="G115" s="442"/>
      <c r="H115" s="442">
        <v>0</v>
      </c>
      <c r="I115" s="442">
        <f t="shared" si="83"/>
        <v>0</v>
      </c>
      <c r="J115" s="442">
        <v>71.2</v>
      </c>
      <c r="K115" s="442"/>
      <c r="L115" s="442">
        <f t="shared" si="102"/>
        <v>71.2</v>
      </c>
      <c r="M115" s="447">
        <f t="shared" si="96"/>
        <v>0</v>
      </c>
      <c r="N115" s="449"/>
    </row>
    <row r="116" s="38" customFormat="1" customHeight="1" spans="1:14">
      <c r="A116" s="441">
        <v>2040604</v>
      </c>
      <c r="B116" s="147" t="s">
        <v>200</v>
      </c>
      <c r="C116" s="442">
        <v>30.07</v>
      </c>
      <c r="D116" s="442">
        <v>56</v>
      </c>
      <c r="E116" s="442">
        <f t="shared" si="101"/>
        <v>86.07</v>
      </c>
      <c r="F116" s="442">
        <v>0</v>
      </c>
      <c r="G116" s="442">
        <v>0</v>
      </c>
      <c r="H116" s="442">
        <v>0</v>
      </c>
      <c r="I116" s="442">
        <f t="shared" si="83"/>
        <v>2</v>
      </c>
      <c r="J116" s="442">
        <v>30.07</v>
      </c>
      <c r="K116" s="442">
        <v>58</v>
      </c>
      <c r="L116" s="442">
        <f t="shared" si="102"/>
        <v>88.07</v>
      </c>
      <c r="M116" s="447">
        <f t="shared" si="96"/>
        <v>2.32369001975137</v>
      </c>
      <c r="N116" s="448">
        <v>0</v>
      </c>
    </row>
    <row r="117" s="38" customFormat="1" customHeight="1" spans="1:14">
      <c r="A117" s="441">
        <v>2040605</v>
      </c>
      <c r="B117" s="147" t="s">
        <v>201</v>
      </c>
      <c r="C117" s="442">
        <v>15</v>
      </c>
      <c r="D117" s="442">
        <v>7</v>
      </c>
      <c r="E117" s="442">
        <f t="shared" si="101"/>
        <v>22</v>
      </c>
      <c r="F117" s="442">
        <v>0</v>
      </c>
      <c r="G117" s="442"/>
      <c r="H117" s="442">
        <v>0</v>
      </c>
      <c r="I117" s="442">
        <f t="shared" si="83"/>
        <v>0</v>
      </c>
      <c r="J117" s="442">
        <v>15</v>
      </c>
      <c r="K117" s="442">
        <v>7</v>
      </c>
      <c r="L117" s="442">
        <f t="shared" si="102"/>
        <v>22</v>
      </c>
      <c r="M117" s="447">
        <f t="shared" si="96"/>
        <v>0</v>
      </c>
      <c r="N117" s="449"/>
    </row>
    <row r="118" s="38" customFormat="1" customHeight="1" spans="1:14">
      <c r="A118" s="441">
        <v>2040606</v>
      </c>
      <c r="B118" s="147" t="s">
        <v>202</v>
      </c>
      <c r="C118" s="442">
        <v>5</v>
      </c>
      <c r="D118" s="442">
        <v>0</v>
      </c>
      <c r="E118" s="442">
        <f t="shared" si="101"/>
        <v>5</v>
      </c>
      <c r="F118" s="442">
        <v>0</v>
      </c>
      <c r="G118" s="442"/>
      <c r="H118" s="442">
        <v>0</v>
      </c>
      <c r="I118" s="442">
        <f t="shared" si="83"/>
        <v>0</v>
      </c>
      <c r="J118" s="442">
        <v>5</v>
      </c>
      <c r="K118" s="442"/>
      <c r="L118" s="442">
        <f t="shared" si="102"/>
        <v>5</v>
      </c>
      <c r="M118" s="447">
        <f t="shared" si="96"/>
        <v>0</v>
      </c>
      <c r="N118" s="448"/>
    </row>
    <row r="119" s="38" customFormat="1" ht="30" customHeight="1" spans="1:14">
      <c r="A119" s="441">
        <v>2040607</v>
      </c>
      <c r="B119" s="147" t="s">
        <v>203</v>
      </c>
      <c r="C119" s="442">
        <v>98.24</v>
      </c>
      <c r="D119" s="442">
        <v>64</v>
      </c>
      <c r="E119" s="442">
        <f t="shared" si="101"/>
        <v>162.24</v>
      </c>
      <c r="F119" s="442">
        <v>-1.08</v>
      </c>
      <c r="G119" s="442"/>
      <c r="H119" s="442">
        <v>0</v>
      </c>
      <c r="I119" s="442">
        <f t="shared" si="83"/>
        <v>0</v>
      </c>
      <c r="J119" s="442">
        <v>97.15</v>
      </c>
      <c r="K119" s="442">
        <v>64</v>
      </c>
      <c r="L119" s="442">
        <f t="shared" si="102"/>
        <v>161.15</v>
      </c>
      <c r="M119" s="447">
        <f t="shared" si="96"/>
        <v>-0.671844181459568</v>
      </c>
      <c r="N119" s="449" t="s">
        <v>131</v>
      </c>
    </row>
    <row r="120" s="38" customFormat="1" customHeight="1" spans="1:14">
      <c r="A120" s="441">
        <v>2040610</v>
      </c>
      <c r="B120" s="147" t="s">
        <v>204</v>
      </c>
      <c r="C120" s="442">
        <v>76.37</v>
      </c>
      <c r="D120" s="442">
        <v>10</v>
      </c>
      <c r="E120" s="442">
        <f t="shared" si="101"/>
        <v>86.37</v>
      </c>
      <c r="F120" s="442">
        <v>0</v>
      </c>
      <c r="G120" s="442">
        <v>0</v>
      </c>
      <c r="H120" s="442">
        <v>0</v>
      </c>
      <c r="I120" s="442">
        <f t="shared" si="83"/>
        <v>0</v>
      </c>
      <c r="J120" s="442">
        <v>76.37</v>
      </c>
      <c r="K120" s="442">
        <v>10</v>
      </c>
      <c r="L120" s="442">
        <f t="shared" si="102"/>
        <v>86.37</v>
      </c>
      <c r="M120" s="447">
        <f t="shared" si="96"/>
        <v>0</v>
      </c>
      <c r="N120" s="448">
        <v>0</v>
      </c>
    </row>
    <row r="121" s="38" customFormat="1" customHeight="1" spans="1:14">
      <c r="A121" s="441">
        <v>2040613</v>
      </c>
      <c r="B121" s="147" t="s">
        <v>122</v>
      </c>
      <c r="C121" s="442"/>
      <c r="D121" s="442"/>
      <c r="E121" s="442"/>
      <c r="F121" s="442"/>
      <c r="G121" s="442"/>
      <c r="H121" s="442"/>
      <c r="I121" s="442">
        <f t="shared" si="83"/>
        <v>11</v>
      </c>
      <c r="J121" s="442"/>
      <c r="K121" s="442">
        <v>11</v>
      </c>
      <c r="L121" s="442">
        <f t="shared" si="102"/>
        <v>11</v>
      </c>
      <c r="M121" s="447">
        <v>100</v>
      </c>
      <c r="N121" s="448"/>
    </row>
    <row r="122" s="38" customFormat="1" customHeight="1" spans="1:14">
      <c r="A122" s="441">
        <v>2040699</v>
      </c>
      <c r="B122" s="147" t="s">
        <v>205</v>
      </c>
      <c r="C122" s="442">
        <v>41.27</v>
      </c>
      <c r="D122" s="442">
        <v>0</v>
      </c>
      <c r="E122" s="442">
        <f t="shared" ref="E122:E127" si="103">C122+D122</f>
        <v>41.27</v>
      </c>
      <c r="F122" s="442">
        <v>0</v>
      </c>
      <c r="G122" s="442">
        <v>0</v>
      </c>
      <c r="H122" s="442">
        <v>0</v>
      </c>
      <c r="I122" s="442">
        <f t="shared" si="83"/>
        <v>73</v>
      </c>
      <c r="J122" s="442">
        <v>41.27</v>
      </c>
      <c r="K122" s="442">
        <v>73</v>
      </c>
      <c r="L122" s="442">
        <f t="shared" si="102"/>
        <v>114.27</v>
      </c>
      <c r="M122" s="447">
        <f t="shared" ref="M122:M148" si="104">(L122-E122)/E122*100</f>
        <v>176.883935061788</v>
      </c>
      <c r="N122" s="448">
        <v>0</v>
      </c>
    </row>
    <row r="123" s="38" customFormat="1" customHeight="1" spans="1:14">
      <c r="A123" s="441">
        <v>20499</v>
      </c>
      <c r="B123" s="147" t="s">
        <v>206</v>
      </c>
      <c r="C123" s="442">
        <f t="shared" ref="C123:F123" si="105">C124</f>
        <v>20</v>
      </c>
      <c r="D123" s="442">
        <f t="shared" si="105"/>
        <v>0</v>
      </c>
      <c r="E123" s="442">
        <f t="shared" si="105"/>
        <v>20</v>
      </c>
      <c r="F123" s="442">
        <f t="shared" si="105"/>
        <v>-15</v>
      </c>
      <c r="G123" s="442"/>
      <c r="H123" s="442">
        <v>0</v>
      </c>
      <c r="I123" s="442">
        <f t="shared" si="83"/>
        <v>56</v>
      </c>
      <c r="J123" s="442">
        <f t="shared" ref="J123:L123" si="106">J124</f>
        <v>5</v>
      </c>
      <c r="K123" s="442">
        <f t="shared" si="106"/>
        <v>56</v>
      </c>
      <c r="L123" s="442">
        <f t="shared" si="106"/>
        <v>61</v>
      </c>
      <c r="M123" s="447">
        <f t="shared" si="104"/>
        <v>205</v>
      </c>
      <c r="N123" s="449"/>
    </row>
    <row r="124" s="38" customFormat="1" customHeight="1" spans="1:14">
      <c r="A124" s="441">
        <v>2049999</v>
      </c>
      <c r="B124" s="147" t="s">
        <v>206</v>
      </c>
      <c r="C124" s="442">
        <v>20</v>
      </c>
      <c r="D124" s="442">
        <v>0</v>
      </c>
      <c r="E124" s="442">
        <f t="shared" si="103"/>
        <v>20</v>
      </c>
      <c r="F124" s="442">
        <v>-15</v>
      </c>
      <c r="G124" s="442">
        <v>0</v>
      </c>
      <c r="H124" s="442">
        <v>0</v>
      </c>
      <c r="I124" s="442">
        <f t="shared" si="83"/>
        <v>56</v>
      </c>
      <c r="J124" s="442">
        <v>5</v>
      </c>
      <c r="K124" s="442">
        <v>56</v>
      </c>
      <c r="L124" s="442">
        <f t="shared" ref="L124:L133" si="107">J124+K124</f>
        <v>61</v>
      </c>
      <c r="M124" s="447">
        <f t="shared" si="104"/>
        <v>205</v>
      </c>
      <c r="N124" s="449" t="s">
        <v>207</v>
      </c>
    </row>
    <row r="125" s="38" customFormat="1" customHeight="1" spans="1:14">
      <c r="A125" s="441">
        <v>205</v>
      </c>
      <c r="B125" s="147" t="s">
        <v>208</v>
      </c>
      <c r="C125" s="442">
        <f t="shared" ref="C125:G125" si="108">C126+C128+C134+C138+C141+C144+C146</f>
        <v>57759.05</v>
      </c>
      <c r="D125" s="442">
        <f t="shared" si="108"/>
        <v>14205.1013</v>
      </c>
      <c r="E125" s="442">
        <f t="shared" si="108"/>
        <v>71964.1513</v>
      </c>
      <c r="F125" s="442">
        <f t="shared" si="108"/>
        <v>193.26</v>
      </c>
      <c r="G125" s="442">
        <f t="shared" si="108"/>
        <v>0</v>
      </c>
      <c r="H125" s="442">
        <v>1856.91</v>
      </c>
      <c r="I125" s="442">
        <f t="shared" si="83"/>
        <v>857.890300000001</v>
      </c>
      <c r="J125" s="442">
        <f t="shared" ref="J125:L125" si="109">J126+J128+J134+J138+J141+J144+J146</f>
        <v>59724.22</v>
      </c>
      <c r="K125" s="442">
        <f t="shared" si="109"/>
        <v>15062.9916</v>
      </c>
      <c r="L125" s="442">
        <f t="shared" si="109"/>
        <v>74787.2116</v>
      </c>
      <c r="M125" s="447">
        <f t="shared" si="104"/>
        <v>3.9228702749948</v>
      </c>
      <c r="N125" s="448"/>
    </row>
    <row r="126" s="38" customFormat="1" customHeight="1" spans="1:14">
      <c r="A126" s="441">
        <v>20501</v>
      </c>
      <c r="B126" s="147" t="s">
        <v>209</v>
      </c>
      <c r="C126" s="442">
        <f t="shared" ref="C126:L126" si="110">C127</f>
        <v>956.65</v>
      </c>
      <c r="D126" s="442">
        <f t="shared" si="110"/>
        <v>0</v>
      </c>
      <c r="E126" s="442">
        <f t="shared" si="110"/>
        <v>956.65</v>
      </c>
      <c r="F126" s="442">
        <f t="shared" si="110"/>
        <v>-0.95</v>
      </c>
      <c r="G126" s="442">
        <f t="shared" si="110"/>
        <v>0</v>
      </c>
      <c r="H126" s="442">
        <f t="shared" si="110"/>
        <v>3.4</v>
      </c>
      <c r="I126" s="442">
        <f t="shared" si="110"/>
        <v>0</v>
      </c>
      <c r="J126" s="442">
        <f t="shared" si="110"/>
        <v>959.1</v>
      </c>
      <c r="K126" s="442">
        <f t="shared" si="110"/>
        <v>0</v>
      </c>
      <c r="L126" s="442">
        <f t="shared" si="110"/>
        <v>959.1</v>
      </c>
      <c r="M126" s="447">
        <f t="shared" si="104"/>
        <v>0.256102022683327</v>
      </c>
      <c r="N126" s="449"/>
    </row>
    <row r="127" s="38" customFormat="1" ht="35" customHeight="1" spans="1:14">
      <c r="A127" s="441">
        <v>2050101</v>
      </c>
      <c r="B127" s="147" t="s">
        <v>90</v>
      </c>
      <c r="C127" s="442">
        <v>956.65</v>
      </c>
      <c r="D127" s="442">
        <v>0</v>
      </c>
      <c r="E127" s="442">
        <f t="shared" si="103"/>
        <v>956.65</v>
      </c>
      <c r="F127" s="442">
        <v>-0.95</v>
      </c>
      <c r="G127" s="442">
        <v>0</v>
      </c>
      <c r="H127" s="442">
        <v>3.4</v>
      </c>
      <c r="I127" s="442">
        <f t="shared" ref="I127:I140" si="111">K127-D127</f>
        <v>0</v>
      </c>
      <c r="J127" s="442">
        <v>959.1</v>
      </c>
      <c r="K127" s="442"/>
      <c r="L127" s="442">
        <f t="shared" si="107"/>
        <v>959.1</v>
      </c>
      <c r="M127" s="447">
        <f t="shared" si="104"/>
        <v>0.256102022683327</v>
      </c>
      <c r="N127" s="448" t="s">
        <v>91</v>
      </c>
    </row>
    <row r="128" s="38" customFormat="1" customHeight="1" spans="1:14">
      <c r="A128" s="441">
        <v>20502</v>
      </c>
      <c r="B128" s="147" t="s">
        <v>210</v>
      </c>
      <c r="C128" s="442">
        <f t="shared" ref="C128:L128" si="112">C129+C130+C131+C132+C133</f>
        <v>47468.02</v>
      </c>
      <c r="D128" s="442">
        <f t="shared" si="112"/>
        <v>6881.1011</v>
      </c>
      <c r="E128" s="442">
        <f t="shared" si="112"/>
        <v>54349.1211</v>
      </c>
      <c r="F128" s="442">
        <f t="shared" si="112"/>
        <v>189.4</v>
      </c>
      <c r="G128" s="442">
        <f t="shared" si="112"/>
        <v>0</v>
      </c>
      <c r="H128" s="442">
        <f t="shared" si="112"/>
        <v>1747.99</v>
      </c>
      <c r="I128" s="442">
        <f t="shared" si="112"/>
        <v>218.26</v>
      </c>
      <c r="J128" s="442">
        <f t="shared" si="112"/>
        <v>49405.41</v>
      </c>
      <c r="K128" s="442">
        <f t="shared" si="112"/>
        <v>7099.3611</v>
      </c>
      <c r="L128" s="442">
        <f t="shared" si="112"/>
        <v>56504.7711</v>
      </c>
      <c r="M128" s="447">
        <f t="shared" si="104"/>
        <v>3.96630149001619</v>
      </c>
      <c r="N128" s="449"/>
    </row>
    <row r="129" s="38" customFormat="1" ht="30" customHeight="1" spans="1:14">
      <c r="A129" s="441">
        <v>2050201</v>
      </c>
      <c r="B129" s="147" t="s">
        <v>211</v>
      </c>
      <c r="C129" s="442">
        <v>1082.13</v>
      </c>
      <c r="D129" s="442">
        <v>302.5775</v>
      </c>
      <c r="E129" s="442">
        <f t="shared" ref="E129:E133" si="113">C129+D129</f>
        <v>1384.7075</v>
      </c>
      <c r="F129" s="442">
        <v>49</v>
      </c>
      <c r="G129" s="442">
        <v>0</v>
      </c>
      <c r="H129" s="442">
        <v>40.92</v>
      </c>
      <c r="I129" s="442">
        <f t="shared" si="111"/>
        <v>0</v>
      </c>
      <c r="J129" s="442">
        <v>1172.05</v>
      </c>
      <c r="K129" s="442">
        <v>302.5775</v>
      </c>
      <c r="L129" s="442">
        <f t="shared" si="107"/>
        <v>1474.6275</v>
      </c>
      <c r="M129" s="447">
        <f t="shared" si="104"/>
        <v>6.49379020479055</v>
      </c>
      <c r="N129" s="448" t="s">
        <v>212</v>
      </c>
    </row>
    <row r="130" s="38" customFormat="1" ht="63" customHeight="1" spans="1:14">
      <c r="A130" s="441">
        <v>2050202</v>
      </c>
      <c r="B130" s="147" t="s">
        <v>213</v>
      </c>
      <c r="C130" s="442">
        <f>21170.32+50</f>
        <v>21220.32</v>
      </c>
      <c r="D130" s="442">
        <v>2613.5065</v>
      </c>
      <c r="E130" s="442">
        <f t="shared" si="113"/>
        <v>23833.8265</v>
      </c>
      <c r="F130" s="442">
        <v>-28.71</v>
      </c>
      <c r="G130" s="442">
        <v>0</v>
      </c>
      <c r="H130" s="442">
        <f>1279.49-50</f>
        <v>1229.49</v>
      </c>
      <c r="I130" s="442">
        <f t="shared" si="111"/>
        <v>83.3004860000001</v>
      </c>
      <c r="J130" s="442">
        <v>22421.07</v>
      </c>
      <c r="K130" s="442">
        <v>2696.806986</v>
      </c>
      <c r="L130" s="442">
        <f t="shared" si="107"/>
        <v>25117.876986</v>
      </c>
      <c r="M130" s="447">
        <f t="shared" si="104"/>
        <v>5.38751293670783</v>
      </c>
      <c r="N130" s="448" t="s">
        <v>214</v>
      </c>
    </row>
    <row r="131" s="38" customFormat="1" ht="30" customHeight="1" spans="1:14">
      <c r="A131" s="441">
        <v>2050203</v>
      </c>
      <c r="B131" s="147" t="s">
        <v>215</v>
      </c>
      <c r="C131" s="442">
        <v>12131.93</v>
      </c>
      <c r="D131" s="442">
        <v>1845.4715</v>
      </c>
      <c r="E131" s="442">
        <f t="shared" si="113"/>
        <v>13977.4015</v>
      </c>
      <c r="F131" s="442">
        <v>0.47</v>
      </c>
      <c r="G131" s="442">
        <v>0</v>
      </c>
      <c r="H131" s="442">
        <v>379.27</v>
      </c>
      <c r="I131" s="442">
        <f t="shared" si="111"/>
        <v>-16.3004860000001</v>
      </c>
      <c r="J131" s="442">
        <v>12511.71</v>
      </c>
      <c r="K131" s="442">
        <v>1829.171014</v>
      </c>
      <c r="L131" s="442">
        <f t="shared" si="107"/>
        <v>14340.881014</v>
      </c>
      <c r="M131" s="447">
        <f t="shared" si="104"/>
        <v>2.6004798817577</v>
      </c>
      <c r="N131" s="448" t="s">
        <v>216</v>
      </c>
    </row>
    <row r="132" s="38" customFormat="1" ht="30" customHeight="1" spans="1:14">
      <c r="A132" s="441">
        <v>2050204</v>
      </c>
      <c r="B132" s="147" t="s">
        <v>217</v>
      </c>
      <c r="C132" s="442">
        <v>6874.05</v>
      </c>
      <c r="D132" s="442">
        <v>441.3856</v>
      </c>
      <c r="E132" s="442">
        <f t="shared" si="113"/>
        <v>7315.4356</v>
      </c>
      <c r="F132" s="442">
        <v>-0.06</v>
      </c>
      <c r="G132" s="442">
        <v>0</v>
      </c>
      <c r="H132" s="442">
        <v>168.71</v>
      </c>
      <c r="I132" s="442">
        <f t="shared" si="111"/>
        <v>0</v>
      </c>
      <c r="J132" s="442">
        <v>7042.71</v>
      </c>
      <c r="K132" s="442">
        <v>441.3856</v>
      </c>
      <c r="L132" s="442">
        <f t="shared" si="107"/>
        <v>7484.0956</v>
      </c>
      <c r="M132" s="447">
        <f t="shared" si="104"/>
        <v>2.30553598202682</v>
      </c>
      <c r="N132" s="448" t="s">
        <v>216</v>
      </c>
    </row>
    <row r="133" s="38" customFormat="1" ht="91" customHeight="1" spans="1:14">
      <c r="A133" s="441">
        <v>2050299</v>
      </c>
      <c r="B133" s="147" t="s">
        <v>218</v>
      </c>
      <c r="C133" s="442">
        <f>6124.59+35</f>
        <v>6159.59</v>
      </c>
      <c r="D133" s="442">
        <v>1678.16</v>
      </c>
      <c r="E133" s="442">
        <f t="shared" si="113"/>
        <v>7837.75</v>
      </c>
      <c r="F133" s="442">
        <v>168.7</v>
      </c>
      <c r="G133" s="442">
        <v>0</v>
      </c>
      <c r="H133" s="442">
        <f>-35.4-35</f>
        <v>-70.4</v>
      </c>
      <c r="I133" s="442">
        <f t="shared" si="111"/>
        <v>151.26</v>
      </c>
      <c r="J133" s="442">
        <v>6257.87</v>
      </c>
      <c r="K133" s="442">
        <v>1829.42</v>
      </c>
      <c r="L133" s="442">
        <f t="shared" si="107"/>
        <v>8087.29</v>
      </c>
      <c r="M133" s="447">
        <f t="shared" si="104"/>
        <v>3.18382188765909</v>
      </c>
      <c r="N133" s="448" t="s">
        <v>219</v>
      </c>
    </row>
    <row r="134" s="38" customFormat="1" customHeight="1" spans="1:14">
      <c r="A134" s="441">
        <v>20503</v>
      </c>
      <c r="B134" s="147" t="s">
        <v>220</v>
      </c>
      <c r="C134" s="442">
        <f t="shared" ref="C134:G134" si="114">C135+C136+C137</f>
        <v>7655.24</v>
      </c>
      <c r="D134" s="442">
        <f t="shared" si="114"/>
        <v>7196.5625</v>
      </c>
      <c r="E134" s="442">
        <f t="shared" si="114"/>
        <v>14851.8025</v>
      </c>
      <c r="F134" s="442">
        <f t="shared" si="114"/>
        <v>-0.03</v>
      </c>
      <c r="G134" s="442">
        <f t="shared" si="114"/>
        <v>0</v>
      </c>
      <c r="H134" s="442">
        <v>20.52</v>
      </c>
      <c r="I134" s="442">
        <f t="shared" si="111"/>
        <v>-6880</v>
      </c>
      <c r="J134" s="442">
        <f t="shared" ref="J134:L134" si="115">J135+J136+J137</f>
        <v>8044.84</v>
      </c>
      <c r="K134" s="442">
        <f t="shared" si="115"/>
        <v>316.5625</v>
      </c>
      <c r="L134" s="442">
        <f t="shared" si="115"/>
        <v>8361.4025</v>
      </c>
      <c r="M134" s="447">
        <f t="shared" si="104"/>
        <v>-43.7010928471477</v>
      </c>
      <c r="N134" s="448"/>
    </row>
    <row r="135" s="38" customFormat="1" customHeight="1" spans="1:14">
      <c r="A135" s="441">
        <v>2050302</v>
      </c>
      <c r="B135" s="147" t="s">
        <v>221</v>
      </c>
      <c r="C135" s="442">
        <f>1061.95-369.12</f>
        <v>692.83</v>
      </c>
      <c r="D135" s="442">
        <v>196.5625</v>
      </c>
      <c r="E135" s="442">
        <f t="shared" ref="E135:E137" si="116">C135+D135</f>
        <v>889.3925</v>
      </c>
      <c r="F135" s="442">
        <v>-0.03</v>
      </c>
      <c r="G135" s="442">
        <v>0</v>
      </c>
      <c r="H135" s="442">
        <f>20.52+369.12</f>
        <v>389.64</v>
      </c>
      <c r="I135" s="442">
        <f t="shared" si="111"/>
        <v>120</v>
      </c>
      <c r="J135" s="442">
        <v>1082.43</v>
      </c>
      <c r="K135" s="442">
        <v>316.5625</v>
      </c>
      <c r="L135" s="442">
        <f t="shared" ref="L135:L137" si="117">J135+K135</f>
        <v>1398.9925</v>
      </c>
      <c r="M135" s="447">
        <f t="shared" si="104"/>
        <v>57.2975373639872</v>
      </c>
      <c r="N135" s="449" t="s">
        <v>222</v>
      </c>
    </row>
    <row r="136" s="38" customFormat="1" customHeight="1" spans="1:14">
      <c r="A136" s="441">
        <v>2050303</v>
      </c>
      <c r="B136" s="147" t="s">
        <v>223</v>
      </c>
      <c r="C136" s="442">
        <v>0.78</v>
      </c>
      <c r="D136" s="442">
        <v>0</v>
      </c>
      <c r="E136" s="442">
        <f t="shared" si="116"/>
        <v>0.78</v>
      </c>
      <c r="F136" s="442">
        <v>0</v>
      </c>
      <c r="G136" s="442">
        <v>0</v>
      </c>
      <c r="H136" s="442">
        <v>0</v>
      </c>
      <c r="I136" s="442">
        <f t="shared" si="111"/>
        <v>0</v>
      </c>
      <c r="J136" s="442">
        <v>0.78</v>
      </c>
      <c r="K136" s="442"/>
      <c r="L136" s="442">
        <f t="shared" si="117"/>
        <v>0.78</v>
      </c>
      <c r="M136" s="447">
        <f t="shared" si="104"/>
        <v>0</v>
      </c>
      <c r="N136" s="448">
        <v>0</v>
      </c>
    </row>
    <row r="137" s="38" customFormat="1" customHeight="1" spans="1:14">
      <c r="A137" s="441">
        <v>2050305</v>
      </c>
      <c r="B137" s="147" t="s">
        <v>224</v>
      </c>
      <c r="C137" s="442">
        <v>6961.63</v>
      </c>
      <c r="D137" s="442">
        <v>7000</v>
      </c>
      <c r="E137" s="442">
        <f t="shared" si="116"/>
        <v>13961.63</v>
      </c>
      <c r="F137" s="442">
        <v>0</v>
      </c>
      <c r="G137" s="442">
        <v>0</v>
      </c>
      <c r="H137" s="442">
        <v>0</v>
      </c>
      <c r="I137" s="442">
        <f t="shared" si="111"/>
        <v>-7000</v>
      </c>
      <c r="J137" s="442">
        <v>6961.63</v>
      </c>
      <c r="K137" s="442"/>
      <c r="L137" s="442">
        <f t="shared" si="117"/>
        <v>6961.63</v>
      </c>
      <c r="M137" s="447">
        <f t="shared" si="104"/>
        <v>-50.1374123222002</v>
      </c>
      <c r="N137" s="448">
        <v>0</v>
      </c>
    </row>
    <row r="138" s="38" customFormat="1" customHeight="1" spans="1:14">
      <c r="A138" s="441">
        <v>20507</v>
      </c>
      <c r="B138" s="147" t="s">
        <v>225</v>
      </c>
      <c r="C138" s="442">
        <f t="shared" ref="C138:F138" si="118">C139+C140</f>
        <v>72.11</v>
      </c>
      <c r="D138" s="442">
        <f t="shared" si="118"/>
        <v>127.4377</v>
      </c>
      <c r="E138" s="442">
        <f t="shared" si="118"/>
        <v>199.5477</v>
      </c>
      <c r="F138" s="442">
        <f t="shared" si="118"/>
        <v>0</v>
      </c>
      <c r="G138" s="442"/>
      <c r="H138" s="442">
        <v>0</v>
      </c>
      <c r="I138" s="442">
        <f t="shared" si="111"/>
        <v>15.0723</v>
      </c>
      <c r="J138" s="442">
        <f t="shared" ref="J138:L138" si="119">J139+J140</f>
        <v>72.11</v>
      </c>
      <c r="K138" s="442">
        <f t="shared" si="119"/>
        <v>142.51</v>
      </c>
      <c r="L138" s="442">
        <f t="shared" si="119"/>
        <v>214.62</v>
      </c>
      <c r="M138" s="447">
        <f t="shared" si="104"/>
        <v>7.55323163333879</v>
      </c>
      <c r="N138" s="449"/>
    </row>
    <row r="139" s="38" customFormat="1" customHeight="1" spans="1:14">
      <c r="A139" s="441">
        <v>2050701</v>
      </c>
      <c r="B139" s="147" t="s">
        <v>226</v>
      </c>
      <c r="C139" s="442">
        <v>15.76</v>
      </c>
      <c r="D139" s="442">
        <v>127.4377</v>
      </c>
      <c r="E139" s="442">
        <f t="shared" ref="E139:E143" si="120">C139+D139</f>
        <v>143.1977</v>
      </c>
      <c r="F139" s="442">
        <v>0</v>
      </c>
      <c r="G139" s="442">
        <v>0</v>
      </c>
      <c r="H139" s="442">
        <v>0</v>
      </c>
      <c r="I139" s="442">
        <f t="shared" si="111"/>
        <v>15.0723</v>
      </c>
      <c r="J139" s="442">
        <v>15.76</v>
      </c>
      <c r="K139" s="442">
        <v>142.51</v>
      </c>
      <c r="L139" s="442">
        <f t="shared" ref="L139:L143" si="121">J139+K139</f>
        <v>158.27</v>
      </c>
      <c r="M139" s="447">
        <f t="shared" si="104"/>
        <v>10.5255182171222</v>
      </c>
      <c r="N139" s="448">
        <v>0</v>
      </c>
    </row>
    <row r="140" s="38" customFormat="1" customHeight="1" spans="1:14">
      <c r="A140" s="441">
        <v>2050799</v>
      </c>
      <c r="B140" s="147" t="s">
        <v>227</v>
      </c>
      <c r="C140" s="442">
        <v>56.35</v>
      </c>
      <c r="D140" s="442">
        <v>0</v>
      </c>
      <c r="E140" s="442">
        <f t="shared" si="120"/>
        <v>56.35</v>
      </c>
      <c r="F140" s="442">
        <v>0</v>
      </c>
      <c r="G140" s="442">
        <v>0</v>
      </c>
      <c r="H140" s="442">
        <v>0</v>
      </c>
      <c r="I140" s="442">
        <f t="shared" si="111"/>
        <v>0</v>
      </c>
      <c r="J140" s="442">
        <v>56.35</v>
      </c>
      <c r="K140" s="442"/>
      <c r="L140" s="442">
        <f t="shared" si="121"/>
        <v>56.35</v>
      </c>
      <c r="M140" s="447">
        <f t="shared" si="104"/>
        <v>0</v>
      </c>
      <c r="N140" s="448">
        <v>0</v>
      </c>
    </row>
    <row r="141" s="38" customFormat="1" customHeight="1" spans="1:14">
      <c r="A141" s="441">
        <v>20508</v>
      </c>
      <c r="B141" s="147" t="s">
        <v>228</v>
      </c>
      <c r="C141" s="442">
        <f t="shared" ref="C141:L141" si="122">C142+C143</f>
        <v>35.23</v>
      </c>
      <c r="D141" s="442">
        <f t="shared" si="122"/>
        <v>0</v>
      </c>
      <c r="E141" s="442">
        <f t="shared" si="122"/>
        <v>35.23</v>
      </c>
      <c r="F141" s="442">
        <f t="shared" si="122"/>
        <v>0</v>
      </c>
      <c r="G141" s="442">
        <f t="shared" si="122"/>
        <v>0</v>
      </c>
      <c r="H141" s="442">
        <f t="shared" si="122"/>
        <v>0</v>
      </c>
      <c r="I141" s="442">
        <f t="shared" si="122"/>
        <v>30</v>
      </c>
      <c r="J141" s="442">
        <f t="shared" si="122"/>
        <v>35.23</v>
      </c>
      <c r="K141" s="442">
        <f t="shared" si="122"/>
        <v>30</v>
      </c>
      <c r="L141" s="442">
        <f t="shared" si="122"/>
        <v>65.23</v>
      </c>
      <c r="M141" s="447">
        <f t="shared" si="104"/>
        <v>85.1546977008232</v>
      </c>
      <c r="N141" s="448"/>
    </row>
    <row r="142" s="38" customFormat="1" customHeight="1" spans="1:14">
      <c r="A142" s="441">
        <v>2050801</v>
      </c>
      <c r="B142" s="147" t="s">
        <v>229</v>
      </c>
      <c r="C142" s="442">
        <v>25.23</v>
      </c>
      <c r="D142" s="442">
        <v>0</v>
      </c>
      <c r="E142" s="442">
        <f t="shared" si="120"/>
        <v>25.23</v>
      </c>
      <c r="F142" s="442">
        <v>0</v>
      </c>
      <c r="G142" s="442">
        <v>0</v>
      </c>
      <c r="H142" s="442">
        <v>0</v>
      </c>
      <c r="I142" s="442">
        <f t="shared" ref="I142:I147" si="123">K142-D142</f>
        <v>30</v>
      </c>
      <c r="J142" s="442">
        <v>25.23</v>
      </c>
      <c r="K142" s="442">
        <v>30</v>
      </c>
      <c r="L142" s="442">
        <f t="shared" si="121"/>
        <v>55.23</v>
      </c>
      <c r="M142" s="447">
        <f t="shared" si="104"/>
        <v>118.906064209275</v>
      </c>
      <c r="N142" s="448">
        <v>0</v>
      </c>
    </row>
    <row r="143" s="38" customFormat="1" customHeight="1" spans="1:14">
      <c r="A143" s="441">
        <v>2050802</v>
      </c>
      <c r="B143" s="147" t="s">
        <v>230</v>
      </c>
      <c r="C143" s="442">
        <v>10</v>
      </c>
      <c r="D143" s="442">
        <v>0</v>
      </c>
      <c r="E143" s="442">
        <f t="shared" si="120"/>
        <v>10</v>
      </c>
      <c r="F143" s="442">
        <v>0</v>
      </c>
      <c r="G143" s="442">
        <v>0</v>
      </c>
      <c r="H143" s="442">
        <v>0</v>
      </c>
      <c r="I143" s="442">
        <f t="shared" si="123"/>
        <v>0</v>
      </c>
      <c r="J143" s="442">
        <v>10</v>
      </c>
      <c r="K143" s="442"/>
      <c r="L143" s="442">
        <f t="shared" si="121"/>
        <v>10</v>
      </c>
      <c r="M143" s="447">
        <f t="shared" si="104"/>
        <v>0</v>
      </c>
      <c r="N143" s="448">
        <v>0</v>
      </c>
    </row>
    <row r="144" s="38" customFormat="1" ht="30" customHeight="1" spans="1:14">
      <c r="A144" s="441">
        <v>20509</v>
      </c>
      <c r="B144" s="147" t="s">
        <v>231</v>
      </c>
      <c r="C144" s="442">
        <f t="shared" ref="C144:G144" si="124">C145</f>
        <v>1144.77</v>
      </c>
      <c r="D144" s="442">
        <f t="shared" si="124"/>
        <v>0</v>
      </c>
      <c r="E144" s="442">
        <f t="shared" si="124"/>
        <v>1144.77</v>
      </c>
      <c r="F144" s="442">
        <f t="shared" si="124"/>
        <v>4.84</v>
      </c>
      <c r="G144" s="442">
        <f t="shared" si="124"/>
        <v>0</v>
      </c>
      <c r="H144" s="442">
        <v>0</v>
      </c>
      <c r="I144" s="442">
        <f t="shared" si="123"/>
        <v>82.514</v>
      </c>
      <c r="J144" s="442">
        <f t="shared" ref="J144:L144" si="125">J145</f>
        <v>1207.53</v>
      </c>
      <c r="K144" s="442">
        <f t="shared" si="125"/>
        <v>82.514</v>
      </c>
      <c r="L144" s="442">
        <f t="shared" si="125"/>
        <v>1290.044</v>
      </c>
      <c r="M144" s="447">
        <f t="shared" si="104"/>
        <v>12.690234719638</v>
      </c>
      <c r="N144" s="449"/>
    </row>
    <row r="145" s="38" customFormat="1" ht="36" customHeight="1" spans="1:14">
      <c r="A145" s="441">
        <v>2050999</v>
      </c>
      <c r="B145" s="147" t="s">
        <v>232</v>
      </c>
      <c r="C145" s="442">
        <f>1155.66-10.89</f>
        <v>1144.77</v>
      </c>
      <c r="D145" s="442">
        <v>0</v>
      </c>
      <c r="E145" s="442">
        <f t="shared" ref="E145:E150" si="126">C145+D145</f>
        <v>1144.77</v>
      </c>
      <c r="F145" s="442">
        <v>4.84</v>
      </c>
      <c r="G145" s="442">
        <v>0</v>
      </c>
      <c r="H145" s="442">
        <v>10.89</v>
      </c>
      <c r="I145" s="442">
        <f t="shared" si="123"/>
        <v>82.514</v>
      </c>
      <c r="J145" s="442">
        <v>1207.53</v>
      </c>
      <c r="K145" s="442">
        <v>82.514</v>
      </c>
      <c r="L145" s="442">
        <f t="shared" ref="L145:L150" si="127">J145+K145</f>
        <v>1290.044</v>
      </c>
      <c r="M145" s="447">
        <f t="shared" si="104"/>
        <v>12.690234719638</v>
      </c>
      <c r="N145" s="448" t="s">
        <v>233</v>
      </c>
    </row>
    <row r="146" s="38" customFormat="1" customHeight="1" spans="1:14">
      <c r="A146" s="441">
        <v>20599</v>
      </c>
      <c r="B146" s="147" t="s">
        <v>234</v>
      </c>
      <c r="C146" s="442">
        <f t="shared" ref="C146:F146" si="128">C147</f>
        <v>427.03</v>
      </c>
      <c r="D146" s="442">
        <f t="shared" si="128"/>
        <v>0</v>
      </c>
      <c r="E146" s="442">
        <f t="shared" si="128"/>
        <v>427.03</v>
      </c>
      <c r="F146" s="442">
        <f t="shared" si="128"/>
        <v>0</v>
      </c>
      <c r="G146" s="442"/>
      <c r="H146" s="442">
        <v>0</v>
      </c>
      <c r="I146" s="442">
        <f t="shared" si="123"/>
        <v>7392.044</v>
      </c>
      <c r="J146" s="442">
        <f t="shared" ref="J146:L146" si="129">J147</f>
        <v>0</v>
      </c>
      <c r="K146" s="442">
        <f t="shared" si="129"/>
        <v>7392.044</v>
      </c>
      <c r="L146" s="442">
        <f t="shared" si="129"/>
        <v>7392.044</v>
      </c>
      <c r="M146" s="447">
        <f t="shared" si="104"/>
        <v>1631.03622696298</v>
      </c>
      <c r="N146" s="449"/>
    </row>
    <row r="147" s="38" customFormat="1" customHeight="1" spans="1:14">
      <c r="A147" s="441">
        <v>2059999</v>
      </c>
      <c r="B147" s="147" t="s">
        <v>234</v>
      </c>
      <c r="C147" s="442">
        <f>47.03+380</f>
        <v>427.03</v>
      </c>
      <c r="D147" s="442">
        <v>0</v>
      </c>
      <c r="E147" s="442">
        <f t="shared" si="126"/>
        <v>427.03</v>
      </c>
      <c r="F147" s="442"/>
      <c r="G147" s="442"/>
      <c r="H147" s="442">
        <v>-380</v>
      </c>
      <c r="I147" s="442">
        <f t="shared" si="123"/>
        <v>7392.044</v>
      </c>
      <c r="J147" s="442"/>
      <c r="K147" s="442">
        <v>7392.044</v>
      </c>
      <c r="L147" s="442">
        <f t="shared" si="127"/>
        <v>7392.044</v>
      </c>
      <c r="M147" s="447">
        <f t="shared" si="104"/>
        <v>1631.03622696298</v>
      </c>
      <c r="N147" s="448"/>
    </row>
    <row r="148" s="38" customFormat="1" customHeight="1" spans="1:14">
      <c r="A148" s="441">
        <v>206</v>
      </c>
      <c r="B148" s="147" t="s">
        <v>235</v>
      </c>
      <c r="C148" s="442">
        <f t="shared" ref="C148:L148" si="130">+C153+C155+C149+C151</f>
        <v>193</v>
      </c>
      <c r="D148" s="442">
        <f t="shared" si="130"/>
        <v>44</v>
      </c>
      <c r="E148" s="442">
        <f t="shared" si="130"/>
        <v>237</v>
      </c>
      <c r="F148" s="442">
        <f t="shared" si="130"/>
        <v>-100</v>
      </c>
      <c r="G148" s="442">
        <f t="shared" si="130"/>
        <v>0</v>
      </c>
      <c r="H148" s="442">
        <f t="shared" si="130"/>
        <v>0</v>
      </c>
      <c r="I148" s="442">
        <f t="shared" si="130"/>
        <v>915.45</v>
      </c>
      <c r="J148" s="442">
        <f t="shared" si="130"/>
        <v>93</v>
      </c>
      <c r="K148" s="442">
        <f t="shared" si="130"/>
        <v>959.45</v>
      </c>
      <c r="L148" s="442">
        <f t="shared" si="130"/>
        <v>1052.45</v>
      </c>
      <c r="M148" s="447">
        <f t="shared" si="104"/>
        <v>344.071729957806</v>
      </c>
      <c r="N148" s="448"/>
    </row>
    <row r="149" s="38" customFormat="1" customHeight="1" spans="1:14">
      <c r="A149" s="441">
        <v>20604</v>
      </c>
      <c r="B149" s="147" t="s">
        <v>236</v>
      </c>
      <c r="C149" s="442">
        <f t="shared" ref="C149:F149" si="131">C150</f>
        <v>0</v>
      </c>
      <c r="D149" s="442">
        <f t="shared" si="131"/>
        <v>0</v>
      </c>
      <c r="E149" s="442">
        <f t="shared" si="131"/>
        <v>0</v>
      </c>
      <c r="F149" s="442">
        <f t="shared" si="131"/>
        <v>0</v>
      </c>
      <c r="G149" s="442"/>
      <c r="H149" s="442">
        <v>0</v>
      </c>
      <c r="I149" s="442">
        <f t="shared" ref="I149:I167" si="132">K149-D149</f>
        <v>915.45</v>
      </c>
      <c r="J149" s="442">
        <f t="shared" ref="J149:L149" si="133">J150</f>
        <v>0</v>
      </c>
      <c r="K149" s="442">
        <f t="shared" si="133"/>
        <v>915.45</v>
      </c>
      <c r="L149" s="442">
        <f t="shared" si="133"/>
        <v>915.45</v>
      </c>
      <c r="M149" s="447">
        <v>100</v>
      </c>
      <c r="N149" s="449"/>
    </row>
    <row r="150" s="38" customFormat="1" ht="33" customHeight="1" spans="1:14">
      <c r="A150" s="441">
        <v>2060499</v>
      </c>
      <c r="B150" s="147" t="s">
        <v>237</v>
      </c>
      <c r="C150" s="442"/>
      <c r="D150" s="442"/>
      <c r="E150" s="442">
        <f t="shared" si="126"/>
        <v>0</v>
      </c>
      <c r="F150" s="442"/>
      <c r="G150" s="442"/>
      <c r="H150" s="442">
        <v>0</v>
      </c>
      <c r="I150" s="442">
        <f t="shared" si="132"/>
        <v>915.45</v>
      </c>
      <c r="J150" s="442"/>
      <c r="K150" s="442">
        <v>915.45</v>
      </c>
      <c r="L150" s="442">
        <f t="shared" si="127"/>
        <v>915.45</v>
      </c>
      <c r="M150" s="447">
        <v>100</v>
      </c>
      <c r="N150" s="448"/>
    </row>
    <row r="151" s="38" customFormat="1" customHeight="1" spans="1:14">
      <c r="A151" s="441">
        <v>20606</v>
      </c>
      <c r="B151" s="147" t="s">
        <v>238</v>
      </c>
      <c r="C151" s="442"/>
      <c r="D151" s="442">
        <f t="shared" ref="D151:H151" si="134">D152</f>
        <v>24</v>
      </c>
      <c r="E151" s="442">
        <f t="shared" si="134"/>
        <v>24</v>
      </c>
      <c r="F151" s="442">
        <f t="shared" si="134"/>
        <v>0</v>
      </c>
      <c r="G151" s="442">
        <f t="shared" si="134"/>
        <v>0</v>
      </c>
      <c r="H151" s="442">
        <f t="shared" si="134"/>
        <v>0</v>
      </c>
      <c r="I151" s="442">
        <f t="shared" si="132"/>
        <v>0</v>
      </c>
      <c r="J151" s="442">
        <f t="shared" ref="J151:L151" si="135">J152</f>
        <v>0</v>
      </c>
      <c r="K151" s="442">
        <f t="shared" si="135"/>
        <v>24</v>
      </c>
      <c r="L151" s="442">
        <f t="shared" si="135"/>
        <v>24</v>
      </c>
      <c r="M151" s="447">
        <f t="shared" ref="M151:M169" si="136">(L151-E151)/E151*100</f>
        <v>0</v>
      </c>
      <c r="N151" s="449"/>
    </row>
    <row r="152" s="38" customFormat="1" customHeight="1" spans="1:14">
      <c r="A152" s="441">
        <v>2060602</v>
      </c>
      <c r="B152" s="147" t="s">
        <v>239</v>
      </c>
      <c r="C152" s="442"/>
      <c r="D152" s="442">
        <v>24</v>
      </c>
      <c r="E152" s="442">
        <f t="shared" ref="E152:E156" si="137">C152+D152</f>
        <v>24</v>
      </c>
      <c r="F152" s="442"/>
      <c r="G152" s="442"/>
      <c r="H152" s="442"/>
      <c r="I152" s="442">
        <f t="shared" si="132"/>
        <v>0</v>
      </c>
      <c r="J152" s="442"/>
      <c r="K152" s="442">
        <v>24</v>
      </c>
      <c r="L152" s="442">
        <f t="shared" ref="L152:L156" si="138">J152+K152</f>
        <v>24</v>
      </c>
      <c r="M152" s="447">
        <f t="shared" si="136"/>
        <v>0</v>
      </c>
      <c r="N152" s="448"/>
    </row>
    <row r="153" s="38" customFormat="1" customHeight="1" spans="1:14">
      <c r="A153" s="441">
        <v>20607</v>
      </c>
      <c r="B153" s="147" t="s">
        <v>240</v>
      </c>
      <c r="C153" s="442">
        <f t="shared" ref="C153:F153" si="139">C154</f>
        <v>3</v>
      </c>
      <c r="D153" s="442">
        <f t="shared" si="139"/>
        <v>0</v>
      </c>
      <c r="E153" s="442">
        <f t="shared" si="139"/>
        <v>3</v>
      </c>
      <c r="F153" s="442">
        <f t="shared" si="139"/>
        <v>0</v>
      </c>
      <c r="G153" s="442"/>
      <c r="H153" s="442">
        <v>0</v>
      </c>
      <c r="I153" s="442">
        <f t="shared" si="132"/>
        <v>0</v>
      </c>
      <c r="J153" s="442">
        <f t="shared" ref="J153:L153" si="140">J154</f>
        <v>3</v>
      </c>
      <c r="K153" s="442">
        <f t="shared" si="140"/>
        <v>0</v>
      </c>
      <c r="L153" s="442">
        <f t="shared" si="140"/>
        <v>3</v>
      </c>
      <c r="M153" s="447">
        <f t="shared" si="136"/>
        <v>0</v>
      </c>
      <c r="N153" s="449"/>
    </row>
    <row r="154" s="38" customFormat="1" ht="31" customHeight="1" spans="1:14">
      <c r="A154" s="441">
        <v>2060799</v>
      </c>
      <c r="B154" s="147" t="s">
        <v>241</v>
      </c>
      <c r="C154" s="442">
        <v>3</v>
      </c>
      <c r="D154" s="442">
        <v>0</v>
      </c>
      <c r="E154" s="442">
        <f t="shared" si="137"/>
        <v>3</v>
      </c>
      <c r="F154" s="442">
        <v>0</v>
      </c>
      <c r="G154" s="442"/>
      <c r="H154" s="442">
        <v>0</v>
      </c>
      <c r="I154" s="442">
        <f t="shared" si="132"/>
        <v>0</v>
      </c>
      <c r="J154" s="442">
        <v>3</v>
      </c>
      <c r="K154" s="442"/>
      <c r="L154" s="442">
        <f t="shared" si="138"/>
        <v>3</v>
      </c>
      <c r="M154" s="447">
        <f t="shared" si="136"/>
        <v>0</v>
      </c>
      <c r="N154" s="449"/>
    </row>
    <row r="155" s="38" customFormat="1" customHeight="1" spans="1:14">
      <c r="A155" s="441">
        <v>20699</v>
      </c>
      <c r="B155" s="147" t="s">
        <v>242</v>
      </c>
      <c r="C155" s="442">
        <f t="shared" ref="C155:F155" si="141">C156</f>
        <v>190</v>
      </c>
      <c r="D155" s="442">
        <f t="shared" si="141"/>
        <v>20</v>
      </c>
      <c r="E155" s="442">
        <f t="shared" si="141"/>
        <v>210</v>
      </c>
      <c r="F155" s="442">
        <f t="shared" si="141"/>
        <v>-100</v>
      </c>
      <c r="G155" s="442"/>
      <c r="H155" s="442">
        <v>0</v>
      </c>
      <c r="I155" s="442">
        <f t="shared" si="132"/>
        <v>0</v>
      </c>
      <c r="J155" s="442">
        <f t="shared" ref="J155:L155" si="142">J156</f>
        <v>90</v>
      </c>
      <c r="K155" s="442">
        <f t="shared" si="142"/>
        <v>20</v>
      </c>
      <c r="L155" s="442">
        <f t="shared" si="142"/>
        <v>110</v>
      </c>
      <c r="M155" s="447">
        <f t="shared" si="136"/>
        <v>-47.6190476190476</v>
      </c>
      <c r="N155" s="449"/>
    </row>
    <row r="156" s="38" customFormat="1" ht="31" customHeight="1" spans="1:14">
      <c r="A156" s="441">
        <v>2069999</v>
      </c>
      <c r="B156" s="147" t="s">
        <v>242</v>
      </c>
      <c r="C156" s="442">
        <v>190</v>
      </c>
      <c r="D156" s="442">
        <v>20</v>
      </c>
      <c r="E156" s="442">
        <f t="shared" si="137"/>
        <v>210</v>
      </c>
      <c r="F156" s="442">
        <v>-100</v>
      </c>
      <c r="G156" s="442">
        <v>0</v>
      </c>
      <c r="H156" s="442">
        <v>0</v>
      </c>
      <c r="I156" s="442">
        <f t="shared" si="132"/>
        <v>0</v>
      </c>
      <c r="J156" s="442">
        <v>90</v>
      </c>
      <c r="K156" s="442">
        <v>20</v>
      </c>
      <c r="L156" s="442">
        <f t="shared" si="138"/>
        <v>110</v>
      </c>
      <c r="M156" s="447">
        <f t="shared" si="136"/>
        <v>-47.6190476190476</v>
      </c>
      <c r="N156" s="448" t="s">
        <v>243</v>
      </c>
    </row>
    <row r="157" s="38" customFormat="1" ht="32" customHeight="1" spans="1:14">
      <c r="A157" s="441">
        <v>207</v>
      </c>
      <c r="B157" s="147" t="s">
        <v>244</v>
      </c>
      <c r="C157" s="442">
        <f t="shared" ref="C157:G157" si="143">C158+C165+C168+C172</f>
        <v>3964.34</v>
      </c>
      <c r="D157" s="442">
        <f t="shared" si="143"/>
        <v>143.5</v>
      </c>
      <c r="E157" s="442">
        <f t="shared" si="143"/>
        <v>4107.84</v>
      </c>
      <c r="F157" s="442">
        <f t="shared" si="143"/>
        <v>-457.04</v>
      </c>
      <c r="G157" s="442">
        <f t="shared" si="143"/>
        <v>0</v>
      </c>
      <c r="H157" s="442">
        <v>47.17</v>
      </c>
      <c r="I157" s="442">
        <f t="shared" si="132"/>
        <v>576.1</v>
      </c>
      <c r="J157" s="442">
        <f t="shared" ref="J157:L157" si="144">J158+J165+J168+J172</f>
        <v>3554.46</v>
      </c>
      <c r="K157" s="442">
        <f t="shared" si="144"/>
        <v>719.6</v>
      </c>
      <c r="L157" s="442">
        <f t="shared" si="144"/>
        <v>4274.06</v>
      </c>
      <c r="M157" s="447">
        <f t="shared" si="136"/>
        <v>4.04640881825972</v>
      </c>
      <c r="N157" s="448"/>
    </row>
    <row r="158" s="38" customFormat="1" customHeight="1" spans="1:14">
      <c r="A158" s="441">
        <v>20701</v>
      </c>
      <c r="B158" s="147" t="s">
        <v>245</v>
      </c>
      <c r="C158" s="442">
        <f t="shared" ref="C158:F158" si="145">C159+C160+C161+C162+C163+C164</f>
        <v>1939.87</v>
      </c>
      <c r="D158" s="442">
        <f t="shared" si="145"/>
        <v>22.5</v>
      </c>
      <c r="E158" s="442">
        <f t="shared" si="145"/>
        <v>1962.37</v>
      </c>
      <c r="F158" s="442">
        <f t="shared" si="145"/>
        <v>-5.93</v>
      </c>
      <c r="G158" s="442"/>
      <c r="H158" s="442">
        <v>3.07</v>
      </c>
      <c r="I158" s="442">
        <f t="shared" si="132"/>
        <v>348.575</v>
      </c>
      <c r="J158" s="442">
        <f t="shared" ref="J158:L158" si="146">J159+J160+J161+J162+J163+J164</f>
        <v>1937</v>
      </c>
      <c r="K158" s="442">
        <f t="shared" si="146"/>
        <v>371.075</v>
      </c>
      <c r="L158" s="442">
        <f t="shared" si="146"/>
        <v>2308.075</v>
      </c>
      <c r="M158" s="447">
        <f t="shared" si="136"/>
        <v>17.6167083679429</v>
      </c>
      <c r="N158" s="449"/>
    </row>
    <row r="159" s="38" customFormat="1" ht="30" customHeight="1" spans="1:14">
      <c r="A159" s="441">
        <v>2070101</v>
      </c>
      <c r="B159" s="147" t="s">
        <v>90</v>
      </c>
      <c r="C159" s="442">
        <v>176.1</v>
      </c>
      <c r="D159" s="442">
        <v>0</v>
      </c>
      <c r="E159" s="442">
        <f t="shared" ref="E159:E164" si="147">C159+D159</f>
        <v>176.1</v>
      </c>
      <c r="F159" s="442">
        <v>-3.18</v>
      </c>
      <c r="G159" s="442"/>
      <c r="H159" s="442">
        <v>0</v>
      </c>
      <c r="I159" s="442">
        <f t="shared" si="132"/>
        <v>0</v>
      </c>
      <c r="J159" s="442">
        <v>172.93</v>
      </c>
      <c r="K159" s="442"/>
      <c r="L159" s="442">
        <f t="shared" ref="L159:L164" si="148">J159+K159</f>
        <v>172.93</v>
      </c>
      <c r="M159" s="447">
        <f t="shared" si="136"/>
        <v>-1.80011357183418</v>
      </c>
      <c r="N159" s="449" t="s">
        <v>131</v>
      </c>
    </row>
    <row r="160" s="38" customFormat="1" customHeight="1" spans="1:14">
      <c r="A160" s="441">
        <v>2070104</v>
      </c>
      <c r="B160" s="147" t="s">
        <v>246</v>
      </c>
      <c r="C160" s="442">
        <v>41.95</v>
      </c>
      <c r="D160" s="442">
        <v>0</v>
      </c>
      <c r="E160" s="442">
        <f t="shared" si="147"/>
        <v>41.95</v>
      </c>
      <c r="F160" s="442">
        <v>-0.04</v>
      </c>
      <c r="G160" s="442">
        <v>0</v>
      </c>
      <c r="H160" s="442">
        <v>0</v>
      </c>
      <c r="I160" s="442">
        <f t="shared" si="132"/>
        <v>0</v>
      </c>
      <c r="J160" s="442">
        <v>41.9</v>
      </c>
      <c r="K160" s="442"/>
      <c r="L160" s="442">
        <f t="shared" si="148"/>
        <v>41.9</v>
      </c>
      <c r="M160" s="447">
        <f t="shared" si="136"/>
        <v>-0.119189511323014</v>
      </c>
      <c r="N160" s="448" t="s">
        <v>247</v>
      </c>
    </row>
    <row r="161" s="38" customFormat="1" customHeight="1" spans="1:14">
      <c r="A161" s="441">
        <v>2070109</v>
      </c>
      <c r="B161" s="147" t="s">
        <v>248</v>
      </c>
      <c r="C161" s="442">
        <v>187.39</v>
      </c>
      <c r="D161" s="442">
        <v>0</v>
      </c>
      <c r="E161" s="442">
        <f t="shared" si="147"/>
        <v>187.39</v>
      </c>
      <c r="F161" s="442">
        <v>-2.71</v>
      </c>
      <c r="G161" s="442">
        <v>0</v>
      </c>
      <c r="H161" s="442">
        <v>3.07</v>
      </c>
      <c r="I161" s="442">
        <f t="shared" si="132"/>
        <v>0</v>
      </c>
      <c r="J161" s="442">
        <v>187.74</v>
      </c>
      <c r="K161" s="442"/>
      <c r="L161" s="442">
        <f t="shared" si="148"/>
        <v>187.74</v>
      </c>
      <c r="M161" s="447">
        <f t="shared" si="136"/>
        <v>0.186776242062022</v>
      </c>
      <c r="N161" s="448" t="s">
        <v>119</v>
      </c>
    </row>
    <row r="162" s="38" customFormat="1" customHeight="1" spans="1:14">
      <c r="A162" s="441">
        <v>2070112</v>
      </c>
      <c r="B162" s="147" t="s">
        <v>249</v>
      </c>
      <c r="C162" s="442">
        <v>2</v>
      </c>
      <c r="D162" s="442">
        <v>0</v>
      </c>
      <c r="E162" s="442">
        <f t="shared" si="147"/>
        <v>2</v>
      </c>
      <c r="F162" s="442">
        <v>0</v>
      </c>
      <c r="G162" s="442"/>
      <c r="H162" s="442">
        <v>0</v>
      </c>
      <c r="I162" s="442">
        <f t="shared" si="132"/>
        <v>0</v>
      </c>
      <c r="J162" s="442">
        <v>2</v>
      </c>
      <c r="K162" s="442"/>
      <c r="L162" s="442">
        <f t="shared" si="148"/>
        <v>2</v>
      </c>
      <c r="M162" s="447">
        <f t="shared" si="136"/>
        <v>0</v>
      </c>
      <c r="N162" s="449"/>
    </row>
    <row r="163" s="38" customFormat="1" customHeight="1" spans="1:14">
      <c r="A163" s="441">
        <v>2070113</v>
      </c>
      <c r="B163" s="147" t="s">
        <v>250</v>
      </c>
      <c r="C163" s="442">
        <v>6</v>
      </c>
      <c r="D163" s="442">
        <v>0</v>
      </c>
      <c r="E163" s="442">
        <f t="shared" si="147"/>
        <v>6</v>
      </c>
      <c r="F163" s="442">
        <v>0</v>
      </c>
      <c r="G163" s="442"/>
      <c r="H163" s="442">
        <v>0</v>
      </c>
      <c r="I163" s="442">
        <f t="shared" si="132"/>
        <v>0</v>
      </c>
      <c r="J163" s="442">
        <v>6</v>
      </c>
      <c r="K163" s="442"/>
      <c r="L163" s="442">
        <f t="shared" si="148"/>
        <v>6</v>
      </c>
      <c r="M163" s="447">
        <f t="shared" si="136"/>
        <v>0</v>
      </c>
      <c r="N163" s="448"/>
    </row>
    <row r="164" s="38" customFormat="1" customHeight="1" spans="1:14">
      <c r="A164" s="441">
        <v>2070199</v>
      </c>
      <c r="B164" s="147" t="s">
        <v>251</v>
      </c>
      <c r="C164" s="442">
        <v>1526.43</v>
      </c>
      <c r="D164" s="442">
        <v>22.5</v>
      </c>
      <c r="E164" s="442">
        <f t="shared" si="147"/>
        <v>1548.93</v>
      </c>
      <c r="F164" s="442">
        <v>0</v>
      </c>
      <c r="G164" s="442">
        <v>0</v>
      </c>
      <c r="H164" s="442">
        <v>0</v>
      </c>
      <c r="I164" s="442">
        <f t="shared" si="132"/>
        <v>348.575</v>
      </c>
      <c r="J164" s="442">
        <v>1526.43</v>
      </c>
      <c r="K164" s="442">
        <v>371.075</v>
      </c>
      <c r="L164" s="442">
        <f t="shared" si="148"/>
        <v>1897.505</v>
      </c>
      <c r="M164" s="447">
        <f t="shared" si="136"/>
        <v>22.5042448658106</v>
      </c>
      <c r="N164" s="448">
        <v>0</v>
      </c>
    </row>
    <row r="165" s="38" customFormat="1" customHeight="1" spans="1:14">
      <c r="A165" s="441">
        <v>20702</v>
      </c>
      <c r="B165" s="147" t="s">
        <v>252</v>
      </c>
      <c r="C165" s="442">
        <f t="shared" ref="C165:F165" si="149">C166+C167</f>
        <v>59.39</v>
      </c>
      <c r="D165" s="442">
        <f t="shared" si="149"/>
        <v>0</v>
      </c>
      <c r="E165" s="442">
        <f t="shared" si="149"/>
        <v>59.39</v>
      </c>
      <c r="F165" s="442">
        <f t="shared" si="149"/>
        <v>-0.94</v>
      </c>
      <c r="G165" s="442"/>
      <c r="H165" s="442">
        <v>0</v>
      </c>
      <c r="I165" s="442">
        <f t="shared" si="132"/>
        <v>39.525</v>
      </c>
      <c r="J165" s="442">
        <f t="shared" ref="J165:L165" si="150">J166+J167</f>
        <v>58.45</v>
      </c>
      <c r="K165" s="442">
        <f t="shared" si="150"/>
        <v>39.525</v>
      </c>
      <c r="L165" s="442">
        <f t="shared" si="150"/>
        <v>97.975</v>
      </c>
      <c r="M165" s="447">
        <f t="shared" si="136"/>
        <v>64.9688499747432</v>
      </c>
      <c r="N165" s="448"/>
    </row>
    <row r="166" s="38" customFormat="1" customHeight="1" spans="1:14">
      <c r="A166" s="441">
        <v>2070204</v>
      </c>
      <c r="B166" s="147" t="s">
        <v>253</v>
      </c>
      <c r="C166" s="442">
        <v>14.44</v>
      </c>
      <c r="D166" s="442">
        <v>0</v>
      </c>
      <c r="E166" s="442">
        <f t="shared" ref="E166:E169" si="151">C166+D166</f>
        <v>14.44</v>
      </c>
      <c r="F166" s="442">
        <v>0</v>
      </c>
      <c r="G166" s="442">
        <v>0</v>
      </c>
      <c r="H166" s="442">
        <v>0</v>
      </c>
      <c r="I166" s="442">
        <f t="shared" si="132"/>
        <v>0</v>
      </c>
      <c r="J166" s="442">
        <v>14.44</v>
      </c>
      <c r="K166" s="442"/>
      <c r="L166" s="442">
        <f t="shared" ref="L166:L171" si="152">J166+K166</f>
        <v>14.44</v>
      </c>
      <c r="M166" s="447">
        <f t="shared" si="136"/>
        <v>0</v>
      </c>
      <c r="N166" s="448">
        <v>0</v>
      </c>
    </row>
    <row r="167" s="38" customFormat="1" customHeight="1" spans="1:14">
      <c r="A167" s="441">
        <v>2070205</v>
      </c>
      <c r="B167" s="147" t="s">
        <v>254</v>
      </c>
      <c r="C167" s="442">
        <v>44.95</v>
      </c>
      <c r="D167" s="442">
        <v>0</v>
      </c>
      <c r="E167" s="442">
        <f t="shared" si="151"/>
        <v>44.95</v>
      </c>
      <c r="F167" s="442">
        <v>-0.94</v>
      </c>
      <c r="G167" s="442">
        <v>0</v>
      </c>
      <c r="H167" s="442">
        <v>0</v>
      </c>
      <c r="I167" s="442">
        <f t="shared" si="132"/>
        <v>39.525</v>
      </c>
      <c r="J167" s="442">
        <v>44.01</v>
      </c>
      <c r="K167" s="442">
        <v>39.525</v>
      </c>
      <c r="L167" s="442">
        <f t="shared" si="152"/>
        <v>83.535</v>
      </c>
      <c r="M167" s="447">
        <f t="shared" si="136"/>
        <v>85.8398220244716</v>
      </c>
      <c r="N167" s="448" t="s">
        <v>247</v>
      </c>
    </row>
    <row r="168" s="38" customFormat="1" customHeight="1" spans="1:14">
      <c r="A168" s="441">
        <v>20703</v>
      </c>
      <c r="B168" s="147" t="s">
        <v>255</v>
      </c>
      <c r="C168" s="442">
        <f t="shared" ref="C168:L168" si="153">+C171+C169+C170</f>
        <v>5</v>
      </c>
      <c r="D168" s="442">
        <f t="shared" si="153"/>
        <v>121</v>
      </c>
      <c r="E168" s="442">
        <f t="shared" si="153"/>
        <v>126</v>
      </c>
      <c r="F168" s="442">
        <f t="shared" si="153"/>
        <v>0</v>
      </c>
      <c r="G168" s="442">
        <f t="shared" si="153"/>
        <v>0</v>
      </c>
      <c r="H168" s="442">
        <f t="shared" si="153"/>
        <v>0</v>
      </c>
      <c r="I168" s="442">
        <f t="shared" si="153"/>
        <v>-106</v>
      </c>
      <c r="J168" s="442">
        <f t="shared" si="153"/>
        <v>5</v>
      </c>
      <c r="K168" s="442">
        <f t="shared" si="153"/>
        <v>15</v>
      </c>
      <c r="L168" s="442">
        <f t="shared" si="153"/>
        <v>20</v>
      </c>
      <c r="M168" s="447">
        <f t="shared" si="136"/>
        <v>-84.1269841269841</v>
      </c>
      <c r="N168" s="448"/>
    </row>
    <row r="169" s="38" customFormat="1" customHeight="1" spans="1:14">
      <c r="A169" s="441">
        <v>2070305</v>
      </c>
      <c r="B169" s="147" t="s">
        <v>256</v>
      </c>
      <c r="C169" s="442"/>
      <c r="D169" s="442">
        <v>121</v>
      </c>
      <c r="E169" s="442">
        <f t="shared" si="151"/>
        <v>121</v>
      </c>
      <c r="F169" s="442"/>
      <c r="G169" s="442"/>
      <c r="H169" s="442"/>
      <c r="I169" s="442">
        <f t="shared" ref="I169:I200" si="154">K169-D169</f>
        <v>-121</v>
      </c>
      <c r="J169" s="442"/>
      <c r="K169" s="442">
        <v>0</v>
      </c>
      <c r="L169" s="442">
        <f t="shared" si="152"/>
        <v>0</v>
      </c>
      <c r="M169" s="447">
        <f t="shared" si="136"/>
        <v>-100</v>
      </c>
      <c r="N169" s="448"/>
    </row>
    <row r="170" s="38" customFormat="1" customHeight="1" spans="1:14">
      <c r="A170" s="441">
        <v>2070307</v>
      </c>
      <c r="B170" s="147" t="s">
        <v>257</v>
      </c>
      <c r="C170" s="442"/>
      <c r="D170" s="442"/>
      <c r="E170" s="442"/>
      <c r="F170" s="442"/>
      <c r="G170" s="442"/>
      <c r="H170" s="442"/>
      <c r="I170" s="442">
        <f t="shared" si="154"/>
        <v>15</v>
      </c>
      <c r="J170" s="442"/>
      <c r="K170" s="442">
        <v>15</v>
      </c>
      <c r="L170" s="442">
        <f t="shared" si="152"/>
        <v>15</v>
      </c>
      <c r="M170" s="447">
        <v>100</v>
      </c>
      <c r="N170" s="448"/>
    </row>
    <row r="171" s="38" customFormat="1" customHeight="1" spans="1:14">
      <c r="A171" s="441">
        <v>2070399</v>
      </c>
      <c r="B171" s="147" t="s">
        <v>258</v>
      </c>
      <c r="C171" s="442">
        <v>5</v>
      </c>
      <c r="D171" s="442">
        <v>0</v>
      </c>
      <c r="E171" s="442">
        <f t="shared" ref="E171:E179" si="155">C171+D171</f>
        <v>5</v>
      </c>
      <c r="F171" s="442">
        <v>0</v>
      </c>
      <c r="G171" s="442">
        <v>0</v>
      </c>
      <c r="H171" s="442">
        <v>0</v>
      </c>
      <c r="I171" s="442">
        <f t="shared" si="154"/>
        <v>0</v>
      </c>
      <c r="J171" s="442">
        <v>5</v>
      </c>
      <c r="K171" s="442"/>
      <c r="L171" s="442">
        <f t="shared" si="152"/>
        <v>5</v>
      </c>
      <c r="M171" s="447">
        <f t="shared" ref="M171:M234" si="156">(L171-E171)/E171*100</f>
        <v>0</v>
      </c>
      <c r="N171" s="448">
        <v>0</v>
      </c>
    </row>
    <row r="172" s="38" customFormat="1" ht="30" customHeight="1" spans="1:14">
      <c r="A172" s="441">
        <v>20799</v>
      </c>
      <c r="B172" s="147" t="s">
        <v>259</v>
      </c>
      <c r="C172" s="442">
        <f t="shared" ref="C172:F172" si="157">C173</f>
        <v>1960.08</v>
      </c>
      <c r="D172" s="442">
        <f t="shared" si="157"/>
        <v>0</v>
      </c>
      <c r="E172" s="442">
        <f t="shared" si="157"/>
        <v>1960.08</v>
      </c>
      <c r="F172" s="442">
        <f t="shared" si="157"/>
        <v>-450.17</v>
      </c>
      <c r="G172" s="442"/>
      <c r="H172" s="442">
        <v>44.1</v>
      </c>
      <c r="I172" s="442">
        <f t="shared" si="154"/>
        <v>294</v>
      </c>
      <c r="J172" s="442">
        <f t="shared" ref="J172:L172" si="158">J173</f>
        <v>1554.01</v>
      </c>
      <c r="K172" s="442">
        <f t="shared" si="158"/>
        <v>294</v>
      </c>
      <c r="L172" s="442">
        <f t="shared" si="158"/>
        <v>1848.01</v>
      </c>
      <c r="M172" s="447">
        <f t="shared" si="156"/>
        <v>-5.71762377045835</v>
      </c>
      <c r="N172" s="449"/>
    </row>
    <row r="173" s="38" customFormat="1" ht="30" customHeight="1" spans="1:14">
      <c r="A173" s="441">
        <v>2079999</v>
      </c>
      <c r="B173" s="147" t="s">
        <v>259</v>
      </c>
      <c r="C173" s="442">
        <v>1960.08</v>
      </c>
      <c r="D173" s="442">
        <v>0</v>
      </c>
      <c r="E173" s="442">
        <f t="shared" si="155"/>
        <v>1960.08</v>
      </c>
      <c r="F173" s="442">
        <v>-450.17</v>
      </c>
      <c r="G173" s="442">
        <v>0</v>
      </c>
      <c r="H173" s="442">
        <v>44.1</v>
      </c>
      <c r="I173" s="442">
        <f t="shared" si="154"/>
        <v>294</v>
      </c>
      <c r="J173" s="442">
        <v>1554.01</v>
      </c>
      <c r="K173" s="442">
        <v>294</v>
      </c>
      <c r="L173" s="442">
        <f t="shared" ref="L173:L179" si="159">J173+K173</f>
        <v>1848.01</v>
      </c>
      <c r="M173" s="447">
        <f t="shared" si="156"/>
        <v>-5.71762377045835</v>
      </c>
      <c r="N173" s="448" t="s">
        <v>260</v>
      </c>
    </row>
    <row r="174" s="38" customFormat="1" customHeight="1" spans="1:14">
      <c r="A174" s="441">
        <v>208</v>
      </c>
      <c r="B174" s="147" t="s">
        <v>261</v>
      </c>
      <c r="C174" s="442">
        <f t="shared" ref="C174:G174" si="160">C175+C180+C186+C193+C196+C201+C206+C212+C218+C221+C224+C227+C230+C233+C236+C244+C242</f>
        <v>30262.4</v>
      </c>
      <c r="D174" s="442">
        <f t="shared" si="160"/>
        <v>14899.52</v>
      </c>
      <c r="E174" s="442">
        <f t="shared" si="160"/>
        <v>45161.92</v>
      </c>
      <c r="F174" s="442">
        <f t="shared" si="160"/>
        <v>-62.32</v>
      </c>
      <c r="G174" s="442">
        <f t="shared" si="160"/>
        <v>0</v>
      </c>
      <c r="H174" s="442">
        <v>855.37</v>
      </c>
      <c r="I174" s="442">
        <f t="shared" si="154"/>
        <v>488.309999999998</v>
      </c>
      <c r="J174" s="442">
        <f t="shared" ref="J174:L174" si="161">J175+J180+J186+J193+J196+J201+J206+J212+J218+J221+J224+J227+J230+J233+J236+J244+J242</f>
        <v>31055.1</v>
      </c>
      <c r="K174" s="442">
        <f t="shared" si="161"/>
        <v>15387.83</v>
      </c>
      <c r="L174" s="442">
        <f t="shared" si="161"/>
        <v>46442.93</v>
      </c>
      <c r="M174" s="447">
        <f t="shared" si="156"/>
        <v>2.83648259418555</v>
      </c>
      <c r="N174" s="448">
        <f>N175+N180+N186+N193+N196+N201+N206+N212+N218+N221+N224+N227+N230+N233+N236+N244+N242</f>
        <v>0</v>
      </c>
    </row>
    <row r="175" s="38" customFormat="1" ht="35" customHeight="1" spans="1:14">
      <c r="A175" s="441">
        <v>20801</v>
      </c>
      <c r="B175" s="147" t="s">
        <v>262</v>
      </c>
      <c r="C175" s="442">
        <f t="shared" ref="C175:F175" si="162">C176+C177+C178+C179</f>
        <v>596.69</v>
      </c>
      <c r="D175" s="442">
        <f t="shared" si="162"/>
        <v>274.44</v>
      </c>
      <c r="E175" s="442">
        <f t="shared" si="162"/>
        <v>871.13</v>
      </c>
      <c r="F175" s="442">
        <f t="shared" si="162"/>
        <v>11.85</v>
      </c>
      <c r="G175" s="442"/>
      <c r="H175" s="442">
        <v>0.26</v>
      </c>
      <c r="I175" s="442">
        <f t="shared" si="154"/>
        <v>0</v>
      </c>
      <c r="J175" s="442">
        <f t="shared" ref="J175:L175" si="163">J176+J177+J178+J179</f>
        <v>608.8</v>
      </c>
      <c r="K175" s="442">
        <f t="shared" si="163"/>
        <v>274.44</v>
      </c>
      <c r="L175" s="442">
        <f t="shared" si="163"/>
        <v>883.24</v>
      </c>
      <c r="M175" s="447">
        <f t="shared" si="156"/>
        <v>1.39014842790399</v>
      </c>
      <c r="N175" s="449"/>
    </row>
    <row r="176" s="38" customFormat="1" customHeight="1" spans="1:14">
      <c r="A176" s="441">
        <v>2080101</v>
      </c>
      <c r="B176" s="147" t="s">
        <v>90</v>
      </c>
      <c r="C176" s="442">
        <v>301.07</v>
      </c>
      <c r="D176" s="442">
        <v>0</v>
      </c>
      <c r="E176" s="442">
        <f t="shared" si="155"/>
        <v>301.07</v>
      </c>
      <c r="F176" s="442">
        <v>0.19</v>
      </c>
      <c r="G176" s="442">
        <v>0</v>
      </c>
      <c r="H176" s="442">
        <v>0</v>
      </c>
      <c r="I176" s="442">
        <f t="shared" si="154"/>
        <v>0</v>
      </c>
      <c r="J176" s="442">
        <v>301.27</v>
      </c>
      <c r="K176" s="442"/>
      <c r="L176" s="442">
        <f t="shared" si="159"/>
        <v>301.27</v>
      </c>
      <c r="M176" s="447">
        <f t="shared" si="156"/>
        <v>0.0664297339489118</v>
      </c>
      <c r="N176" s="448" t="s">
        <v>247</v>
      </c>
    </row>
    <row r="177" s="38" customFormat="1" customHeight="1" spans="1:14">
      <c r="A177" s="441">
        <v>2080102</v>
      </c>
      <c r="B177" s="147" t="s">
        <v>92</v>
      </c>
      <c r="C177" s="442">
        <v>29</v>
      </c>
      <c r="D177" s="442">
        <v>0</v>
      </c>
      <c r="E177" s="442">
        <f t="shared" si="155"/>
        <v>29</v>
      </c>
      <c r="F177" s="442">
        <v>0</v>
      </c>
      <c r="G177" s="442"/>
      <c r="H177" s="442">
        <v>0</v>
      </c>
      <c r="I177" s="442">
        <f t="shared" si="154"/>
        <v>0</v>
      </c>
      <c r="J177" s="442">
        <v>29</v>
      </c>
      <c r="K177" s="442"/>
      <c r="L177" s="442">
        <f t="shared" si="159"/>
        <v>29</v>
      </c>
      <c r="M177" s="447">
        <f t="shared" si="156"/>
        <v>0</v>
      </c>
      <c r="N177" s="449"/>
    </row>
    <row r="178" s="38" customFormat="1" ht="33" customHeight="1" spans="1:14">
      <c r="A178" s="441">
        <v>2080111</v>
      </c>
      <c r="B178" s="147" t="s">
        <v>263</v>
      </c>
      <c r="C178" s="442">
        <v>174.17</v>
      </c>
      <c r="D178" s="442">
        <v>0</v>
      </c>
      <c r="E178" s="442">
        <f t="shared" si="155"/>
        <v>174.17</v>
      </c>
      <c r="F178" s="442">
        <v>4.66</v>
      </c>
      <c r="G178" s="442"/>
      <c r="H178" s="442">
        <v>0.26</v>
      </c>
      <c r="I178" s="442">
        <f t="shared" si="154"/>
        <v>0</v>
      </c>
      <c r="J178" s="442">
        <v>179.08</v>
      </c>
      <c r="K178" s="442"/>
      <c r="L178" s="442">
        <f t="shared" si="159"/>
        <v>179.08</v>
      </c>
      <c r="M178" s="447">
        <f t="shared" si="156"/>
        <v>2.81908480220476</v>
      </c>
      <c r="N178" s="449" t="s">
        <v>264</v>
      </c>
    </row>
    <row r="179" s="38" customFormat="1" ht="33" customHeight="1" spans="1:14">
      <c r="A179" s="441">
        <v>2080199</v>
      </c>
      <c r="B179" s="147" t="s">
        <v>265</v>
      </c>
      <c r="C179" s="442">
        <v>92.45</v>
      </c>
      <c r="D179" s="442">
        <v>274.44</v>
      </c>
      <c r="E179" s="442">
        <f t="shared" si="155"/>
        <v>366.89</v>
      </c>
      <c r="F179" s="442">
        <v>7</v>
      </c>
      <c r="G179" s="442"/>
      <c r="H179" s="442">
        <v>0</v>
      </c>
      <c r="I179" s="442">
        <f t="shared" si="154"/>
        <v>0</v>
      </c>
      <c r="J179" s="442">
        <v>99.45</v>
      </c>
      <c r="K179" s="442">
        <v>274.44</v>
      </c>
      <c r="L179" s="442">
        <f t="shared" si="159"/>
        <v>373.89</v>
      </c>
      <c r="M179" s="447">
        <f t="shared" si="156"/>
        <v>1.90792880699937</v>
      </c>
      <c r="N179" s="449" t="s">
        <v>266</v>
      </c>
    </row>
    <row r="180" s="38" customFormat="1" customHeight="1" spans="1:14">
      <c r="A180" s="441">
        <v>20802</v>
      </c>
      <c r="B180" s="147" t="s">
        <v>267</v>
      </c>
      <c r="C180" s="442">
        <f t="shared" ref="C180:F180" si="164">C181+C182+C183+C184+C185</f>
        <v>677.63</v>
      </c>
      <c r="D180" s="442">
        <f t="shared" si="164"/>
        <v>304.44</v>
      </c>
      <c r="E180" s="442">
        <f t="shared" si="164"/>
        <v>982.07</v>
      </c>
      <c r="F180" s="442">
        <f t="shared" si="164"/>
        <v>-0.74</v>
      </c>
      <c r="G180" s="442"/>
      <c r="H180" s="442">
        <v>1.29</v>
      </c>
      <c r="I180" s="442">
        <f t="shared" si="154"/>
        <v>0</v>
      </c>
      <c r="J180" s="442">
        <f t="shared" ref="J180:L180" si="165">J181+J182+J183+J184+J185</f>
        <v>678.17</v>
      </c>
      <c r="K180" s="442">
        <f t="shared" si="165"/>
        <v>304.44</v>
      </c>
      <c r="L180" s="442">
        <f t="shared" si="165"/>
        <v>982.61</v>
      </c>
      <c r="M180" s="447">
        <f t="shared" si="156"/>
        <v>0.0549858971356384</v>
      </c>
      <c r="N180" s="449"/>
    </row>
    <row r="181" s="38" customFormat="1" ht="33" customHeight="1" spans="1:14">
      <c r="A181" s="441">
        <v>2080201</v>
      </c>
      <c r="B181" s="147" t="s">
        <v>90</v>
      </c>
      <c r="C181" s="442">
        <v>216.84</v>
      </c>
      <c r="D181" s="442">
        <v>0</v>
      </c>
      <c r="E181" s="442">
        <f t="shared" ref="E181:E185" si="166">C181+D181</f>
        <v>216.84</v>
      </c>
      <c r="F181" s="442">
        <v>-0.74</v>
      </c>
      <c r="G181" s="442">
        <v>0</v>
      </c>
      <c r="H181" s="442">
        <v>1.29</v>
      </c>
      <c r="I181" s="442">
        <f t="shared" si="154"/>
        <v>0</v>
      </c>
      <c r="J181" s="442">
        <v>217.38</v>
      </c>
      <c r="K181" s="442"/>
      <c r="L181" s="442">
        <f t="shared" ref="L181:L185" si="167">J181+K181</f>
        <v>217.38</v>
      </c>
      <c r="M181" s="447">
        <f t="shared" si="156"/>
        <v>0.249031543995569</v>
      </c>
      <c r="N181" s="448" t="s">
        <v>113</v>
      </c>
    </row>
    <row r="182" s="38" customFormat="1" customHeight="1" spans="1:14">
      <c r="A182" s="441">
        <v>2080206</v>
      </c>
      <c r="B182" s="147" t="s">
        <v>268</v>
      </c>
      <c r="C182" s="442">
        <v>4</v>
      </c>
      <c r="D182" s="442">
        <v>0</v>
      </c>
      <c r="E182" s="442">
        <f t="shared" si="166"/>
        <v>4</v>
      </c>
      <c r="F182" s="442">
        <v>0</v>
      </c>
      <c r="G182" s="442"/>
      <c r="H182" s="442">
        <v>0</v>
      </c>
      <c r="I182" s="442">
        <f t="shared" si="154"/>
        <v>0</v>
      </c>
      <c r="J182" s="442">
        <v>4</v>
      </c>
      <c r="K182" s="442"/>
      <c r="L182" s="442">
        <f t="shared" si="167"/>
        <v>4</v>
      </c>
      <c r="M182" s="447">
        <f t="shared" si="156"/>
        <v>0</v>
      </c>
      <c r="N182" s="449"/>
    </row>
    <row r="183" s="38" customFormat="1" customHeight="1" spans="1:14">
      <c r="A183" s="441">
        <v>2080207</v>
      </c>
      <c r="B183" s="147" t="s">
        <v>269</v>
      </c>
      <c r="C183" s="442">
        <v>1</v>
      </c>
      <c r="D183" s="442">
        <v>0.24</v>
      </c>
      <c r="E183" s="442">
        <f t="shared" si="166"/>
        <v>1.24</v>
      </c>
      <c r="F183" s="442">
        <v>0</v>
      </c>
      <c r="G183" s="442"/>
      <c r="H183" s="442">
        <v>0</v>
      </c>
      <c r="I183" s="442">
        <f t="shared" si="154"/>
        <v>0</v>
      </c>
      <c r="J183" s="442">
        <v>1</v>
      </c>
      <c r="K183" s="442">
        <v>0.24</v>
      </c>
      <c r="L183" s="442">
        <f t="shared" si="167"/>
        <v>1.24</v>
      </c>
      <c r="M183" s="447">
        <f t="shared" si="156"/>
        <v>0</v>
      </c>
      <c r="N183" s="449"/>
    </row>
    <row r="184" s="38" customFormat="1" ht="30" customHeight="1" spans="1:14">
      <c r="A184" s="441">
        <v>2080208</v>
      </c>
      <c r="B184" s="147" t="s">
        <v>270</v>
      </c>
      <c r="C184" s="442">
        <v>339.24</v>
      </c>
      <c r="D184" s="442">
        <v>70.2</v>
      </c>
      <c r="E184" s="442">
        <f t="shared" si="166"/>
        <v>409.44</v>
      </c>
      <c r="F184" s="442">
        <v>0</v>
      </c>
      <c r="G184" s="442">
        <v>0</v>
      </c>
      <c r="H184" s="442">
        <v>0</v>
      </c>
      <c r="I184" s="442">
        <f t="shared" si="154"/>
        <v>0</v>
      </c>
      <c r="J184" s="442">
        <v>339.24</v>
      </c>
      <c r="K184" s="442">
        <v>70.2</v>
      </c>
      <c r="L184" s="442">
        <f t="shared" si="167"/>
        <v>409.44</v>
      </c>
      <c r="M184" s="447">
        <f t="shared" si="156"/>
        <v>0</v>
      </c>
      <c r="N184" s="448">
        <v>0</v>
      </c>
    </row>
    <row r="185" s="38" customFormat="1" ht="30" customHeight="1" spans="1:14">
      <c r="A185" s="441">
        <v>2080299</v>
      </c>
      <c r="B185" s="147" t="s">
        <v>271</v>
      </c>
      <c r="C185" s="442">
        <v>116.55</v>
      </c>
      <c r="D185" s="442">
        <v>234</v>
      </c>
      <c r="E185" s="442">
        <f t="shared" si="166"/>
        <v>350.55</v>
      </c>
      <c r="F185" s="442">
        <v>0</v>
      </c>
      <c r="G185" s="442">
        <v>0</v>
      </c>
      <c r="H185" s="442">
        <v>0</v>
      </c>
      <c r="I185" s="442">
        <f t="shared" si="154"/>
        <v>0</v>
      </c>
      <c r="J185" s="442">
        <v>116.55</v>
      </c>
      <c r="K185" s="442">
        <v>234</v>
      </c>
      <c r="L185" s="442">
        <f t="shared" si="167"/>
        <v>350.55</v>
      </c>
      <c r="M185" s="447">
        <f t="shared" si="156"/>
        <v>0</v>
      </c>
      <c r="N185" s="448">
        <v>0</v>
      </c>
    </row>
    <row r="186" s="38" customFormat="1" ht="30" customHeight="1" spans="1:14">
      <c r="A186" s="441">
        <v>20805</v>
      </c>
      <c r="B186" s="147" t="s">
        <v>272</v>
      </c>
      <c r="C186" s="442">
        <f t="shared" ref="C186:F186" si="168">C187+C188+C189+C190+C191+C192</f>
        <v>22082.27</v>
      </c>
      <c r="D186" s="442">
        <f t="shared" si="168"/>
        <v>0</v>
      </c>
      <c r="E186" s="442">
        <f t="shared" si="168"/>
        <v>22082.27</v>
      </c>
      <c r="F186" s="442">
        <f t="shared" si="168"/>
        <v>1.54</v>
      </c>
      <c r="G186" s="442"/>
      <c r="H186" s="442">
        <v>827.78</v>
      </c>
      <c r="I186" s="442">
        <f t="shared" si="154"/>
        <v>0</v>
      </c>
      <c r="J186" s="442">
        <f t="shared" ref="J186:L186" si="169">J187+J188+J189+J190+J191+J192</f>
        <v>22911.59</v>
      </c>
      <c r="K186" s="442">
        <f t="shared" si="169"/>
        <v>0</v>
      </c>
      <c r="L186" s="442">
        <f t="shared" si="169"/>
        <v>22911.59</v>
      </c>
      <c r="M186" s="447">
        <f t="shared" si="156"/>
        <v>3.75559215606004</v>
      </c>
      <c r="N186" s="449"/>
    </row>
    <row r="187" s="38" customFormat="1" customHeight="1" spans="1:14">
      <c r="A187" s="441">
        <v>2080501</v>
      </c>
      <c r="B187" s="147" t="s">
        <v>273</v>
      </c>
      <c r="C187" s="442">
        <v>1055.22</v>
      </c>
      <c r="D187" s="442">
        <v>0</v>
      </c>
      <c r="E187" s="442">
        <f t="shared" ref="E187:E192" si="170">C187+D187</f>
        <v>1055.22</v>
      </c>
      <c r="F187" s="442">
        <v>-0.62</v>
      </c>
      <c r="G187" s="442">
        <v>0</v>
      </c>
      <c r="H187" s="442">
        <v>520.1</v>
      </c>
      <c r="I187" s="442">
        <f t="shared" si="154"/>
        <v>0</v>
      </c>
      <c r="J187" s="442">
        <v>1574.69</v>
      </c>
      <c r="K187" s="442"/>
      <c r="L187" s="442">
        <f t="shared" ref="L187:L192" si="171">J187+K187</f>
        <v>1574.69</v>
      </c>
      <c r="M187" s="447">
        <f t="shared" si="156"/>
        <v>49.2285968802714</v>
      </c>
      <c r="N187" s="448" t="s">
        <v>119</v>
      </c>
    </row>
    <row r="188" s="38" customFormat="1" customHeight="1" spans="1:14">
      <c r="A188" s="441">
        <v>2080502</v>
      </c>
      <c r="B188" s="147" t="s">
        <v>274</v>
      </c>
      <c r="C188" s="442">
        <v>391.14</v>
      </c>
      <c r="D188" s="442">
        <v>0</v>
      </c>
      <c r="E188" s="442">
        <f t="shared" si="170"/>
        <v>391.14</v>
      </c>
      <c r="F188" s="442">
        <v>-4</v>
      </c>
      <c r="G188" s="442">
        <v>0</v>
      </c>
      <c r="H188" s="442">
        <v>292.59</v>
      </c>
      <c r="I188" s="442">
        <f t="shared" si="154"/>
        <v>0</v>
      </c>
      <c r="J188" s="442">
        <v>679.72</v>
      </c>
      <c r="K188" s="442"/>
      <c r="L188" s="442">
        <f t="shared" si="171"/>
        <v>679.72</v>
      </c>
      <c r="M188" s="447">
        <f t="shared" si="156"/>
        <v>73.7792094902081</v>
      </c>
      <c r="N188" s="448" t="s">
        <v>119</v>
      </c>
    </row>
    <row r="189" s="38" customFormat="1" customHeight="1" spans="1:14">
      <c r="A189" s="441">
        <v>2080503</v>
      </c>
      <c r="B189" s="147" t="s">
        <v>275</v>
      </c>
      <c r="C189" s="442">
        <v>66.66</v>
      </c>
      <c r="D189" s="442">
        <v>0</v>
      </c>
      <c r="E189" s="442">
        <f t="shared" si="170"/>
        <v>66.66</v>
      </c>
      <c r="F189" s="442">
        <v>2</v>
      </c>
      <c r="G189" s="442">
        <v>0</v>
      </c>
      <c r="H189" s="442">
        <v>15.13</v>
      </c>
      <c r="I189" s="442">
        <f t="shared" si="154"/>
        <v>0</v>
      </c>
      <c r="J189" s="442">
        <v>83.79</v>
      </c>
      <c r="K189" s="442"/>
      <c r="L189" s="442">
        <f t="shared" si="171"/>
        <v>83.79</v>
      </c>
      <c r="M189" s="447">
        <f t="shared" si="156"/>
        <v>25.6975697569757</v>
      </c>
      <c r="N189" s="448" t="s">
        <v>143</v>
      </c>
    </row>
    <row r="190" s="38" customFormat="1" ht="30" customHeight="1" spans="1:14">
      <c r="A190" s="441">
        <v>2080505</v>
      </c>
      <c r="B190" s="147" t="s">
        <v>276</v>
      </c>
      <c r="C190" s="442">
        <v>2058.99</v>
      </c>
      <c r="D190" s="442">
        <v>0</v>
      </c>
      <c r="E190" s="442">
        <f t="shared" si="170"/>
        <v>2058.99</v>
      </c>
      <c r="F190" s="442">
        <v>2.77</v>
      </c>
      <c r="G190" s="442">
        <v>0</v>
      </c>
      <c r="H190" s="442">
        <v>-0.0400000000000063</v>
      </c>
      <c r="I190" s="442">
        <f t="shared" si="154"/>
        <v>0</v>
      </c>
      <c r="J190" s="442">
        <v>2061.79</v>
      </c>
      <c r="K190" s="442"/>
      <c r="L190" s="442">
        <f t="shared" si="171"/>
        <v>2061.79</v>
      </c>
      <c r="M190" s="447">
        <f t="shared" si="156"/>
        <v>0.13598900431766</v>
      </c>
      <c r="N190" s="448" t="s">
        <v>143</v>
      </c>
    </row>
    <row r="191" s="38" customFormat="1" ht="30" customHeight="1" spans="1:14">
      <c r="A191" s="441">
        <v>2080506</v>
      </c>
      <c r="B191" s="147" t="s">
        <v>277</v>
      </c>
      <c r="C191" s="442">
        <v>7029.26</v>
      </c>
      <c r="D191" s="442">
        <v>0</v>
      </c>
      <c r="E191" s="442">
        <f t="shared" si="170"/>
        <v>7029.26</v>
      </c>
      <c r="F191" s="442">
        <v>1.39</v>
      </c>
      <c r="G191" s="442">
        <v>0</v>
      </c>
      <c r="H191" s="442">
        <v>0</v>
      </c>
      <c r="I191" s="442">
        <f t="shared" si="154"/>
        <v>0</v>
      </c>
      <c r="J191" s="442">
        <v>7030.6</v>
      </c>
      <c r="K191" s="442"/>
      <c r="L191" s="442">
        <f t="shared" si="171"/>
        <v>7030.6</v>
      </c>
      <c r="M191" s="447">
        <f t="shared" si="156"/>
        <v>0.0190631730793874</v>
      </c>
      <c r="N191" s="448" t="s">
        <v>143</v>
      </c>
    </row>
    <row r="192" s="38" customFormat="1" ht="30" customHeight="1" spans="1:14">
      <c r="A192" s="441">
        <v>2080507</v>
      </c>
      <c r="B192" s="147" t="s">
        <v>278</v>
      </c>
      <c r="C192" s="442">
        <v>11481</v>
      </c>
      <c r="D192" s="442">
        <v>0</v>
      </c>
      <c r="E192" s="442">
        <f t="shared" si="170"/>
        <v>11481</v>
      </c>
      <c r="F192" s="442">
        <v>0</v>
      </c>
      <c r="G192" s="442">
        <v>0</v>
      </c>
      <c r="H192" s="442">
        <v>0</v>
      </c>
      <c r="I192" s="442">
        <f t="shared" si="154"/>
        <v>0</v>
      </c>
      <c r="J192" s="442">
        <v>11481</v>
      </c>
      <c r="K192" s="442"/>
      <c r="L192" s="442">
        <f t="shared" si="171"/>
        <v>11481</v>
      </c>
      <c r="M192" s="447">
        <f t="shared" si="156"/>
        <v>0</v>
      </c>
      <c r="N192" s="448">
        <v>0</v>
      </c>
    </row>
    <row r="193" s="38" customFormat="1" customHeight="1" spans="1:14">
      <c r="A193" s="441">
        <v>20807</v>
      </c>
      <c r="B193" s="147" t="s">
        <v>279</v>
      </c>
      <c r="C193" s="442">
        <f t="shared" ref="C193:H193" si="172">C194+C195</f>
        <v>25</v>
      </c>
      <c r="D193" s="442">
        <f t="shared" si="172"/>
        <v>285</v>
      </c>
      <c r="E193" s="442">
        <f t="shared" si="172"/>
        <v>310</v>
      </c>
      <c r="F193" s="442">
        <f t="shared" si="172"/>
        <v>42</v>
      </c>
      <c r="G193" s="442">
        <f t="shared" si="172"/>
        <v>0</v>
      </c>
      <c r="H193" s="442">
        <f t="shared" si="172"/>
        <v>0</v>
      </c>
      <c r="I193" s="442">
        <f t="shared" si="154"/>
        <v>157</v>
      </c>
      <c r="J193" s="442">
        <f t="shared" ref="J193:L193" si="173">J194+J195</f>
        <v>67</v>
      </c>
      <c r="K193" s="442">
        <f t="shared" si="173"/>
        <v>442</v>
      </c>
      <c r="L193" s="442">
        <f t="shared" si="173"/>
        <v>509</v>
      </c>
      <c r="M193" s="447">
        <f t="shared" si="156"/>
        <v>64.1935483870968</v>
      </c>
      <c r="N193" s="449"/>
    </row>
    <row r="194" s="38" customFormat="1" customHeight="1" spans="1:14">
      <c r="A194" s="441">
        <v>2080701</v>
      </c>
      <c r="B194" s="147" t="s">
        <v>280</v>
      </c>
      <c r="C194" s="442"/>
      <c r="D194" s="442">
        <v>285</v>
      </c>
      <c r="E194" s="442">
        <f t="shared" ref="E194:E200" si="174">C194+D194</f>
        <v>285</v>
      </c>
      <c r="F194" s="442"/>
      <c r="G194" s="442"/>
      <c r="H194" s="442"/>
      <c r="I194" s="442">
        <f t="shared" si="154"/>
        <v>0</v>
      </c>
      <c r="J194" s="442"/>
      <c r="K194" s="442">
        <v>285</v>
      </c>
      <c r="L194" s="442">
        <f t="shared" ref="L194:L200" si="175">J194+K194</f>
        <v>285</v>
      </c>
      <c r="M194" s="447">
        <f t="shared" si="156"/>
        <v>0</v>
      </c>
      <c r="N194" s="449"/>
    </row>
    <row r="195" s="38" customFormat="1" customHeight="1" spans="1:14">
      <c r="A195" s="441">
        <v>2080799</v>
      </c>
      <c r="B195" s="147" t="s">
        <v>281</v>
      </c>
      <c r="C195" s="442">
        <v>25</v>
      </c>
      <c r="D195" s="442">
        <v>0</v>
      </c>
      <c r="E195" s="442">
        <f t="shared" si="174"/>
        <v>25</v>
      </c>
      <c r="F195" s="442">
        <v>42</v>
      </c>
      <c r="G195" s="442"/>
      <c r="H195" s="442">
        <v>0</v>
      </c>
      <c r="I195" s="442">
        <f t="shared" si="154"/>
        <v>157</v>
      </c>
      <c r="J195" s="442">
        <v>67</v>
      </c>
      <c r="K195" s="442">
        <v>157</v>
      </c>
      <c r="L195" s="442">
        <f t="shared" si="175"/>
        <v>224</v>
      </c>
      <c r="M195" s="447">
        <f t="shared" si="156"/>
        <v>796</v>
      </c>
      <c r="N195" s="449" t="s">
        <v>282</v>
      </c>
    </row>
    <row r="196" s="38" customFormat="1" customHeight="1" spans="1:14">
      <c r="A196" s="441">
        <v>20808</v>
      </c>
      <c r="B196" s="147" t="s">
        <v>283</v>
      </c>
      <c r="C196" s="442">
        <f t="shared" ref="C196:G196" si="176">C197+C198+C199+C200</f>
        <v>1011.43</v>
      </c>
      <c r="D196" s="442">
        <f t="shared" si="176"/>
        <v>1014.21</v>
      </c>
      <c r="E196" s="442">
        <f t="shared" si="176"/>
        <v>2025.64</v>
      </c>
      <c r="F196" s="442">
        <f t="shared" si="176"/>
        <v>-153.63</v>
      </c>
      <c r="G196" s="442">
        <f t="shared" si="176"/>
        <v>0</v>
      </c>
      <c r="H196" s="442">
        <v>13.93</v>
      </c>
      <c r="I196" s="442">
        <f t="shared" si="154"/>
        <v>0</v>
      </c>
      <c r="J196" s="442">
        <f t="shared" ref="J196:L196" si="177">J197+J198+J199+J200</f>
        <v>871.73</v>
      </c>
      <c r="K196" s="442">
        <f t="shared" si="177"/>
        <v>1014.21</v>
      </c>
      <c r="L196" s="442">
        <f t="shared" si="177"/>
        <v>1885.94</v>
      </c>
      <c r="M196" s="447">
        <f t="shared" si="156"/>
        <v>-6.89658577042318</v>
      </c>
      <c r="N196" s="448"/>
    </row>
    <row r="197" s="38" customFormat="1" customHeight="1" spans="1:14">
      <c r="A197" s="441">
        <v>2080801</v>
      </c>
      <c r="B197" s="147" t="s">
        <v>284</v>
      </c>
      <c r="C197" s="442">
        <v>487.53</v>
      </c>
      <c r="D197" s="442">
        <v>0</v>
      </c>
      <c r="E197" s="442">
        <f t="shared" si="174"/>
        <v>487.53</v>
      </c>
      <c r="F197" s="442">
        <v>0</v>
      </c>
      <c r="G197" s="442">
        <v>0</v>
      </c>
      <c r="H197" s="442">
        <v>16.61</v>
      </c>
      <c r="I197" s="442">
        <f t="shared" si="154"/>
        <v>0</v>
      </c>
      <c r="J197" s="442">
        <v>504.14</v>
      </c>
      <c r="K197" s="442"/>
      <c r="L197" s="442">
        <f t="shared" si="175"/>
        <v>504.14</v>
      </c>
      <c r="M197" s="447">
        <f t="shared" si="156"/>
        <v>3.4069698274978</v>
      </c>
      <c r="N197" s="448" t="s">
        <v>285</v>
      </c>
    </row>
    <row r="198" s="38" customFormat="1" ht="30" customHeight="1" spans="1:14">
      <c r="A198" s="441">
        <v>2080803</v>
      </c>
      <c r="B198" s="147" t="s">
        <v>286</v>
      </c>
      <c r="C198" s="442">
        <v>38</v>
      </c>
      <c r="D198" s="442">
        <v>18</v>
      </c>
      <c r="E198" s="442">
        <f t="shared" si="174"/>
        <v>56</v>
      </c>
      <c r="F198" s="442">
        <v>-5</v>
      </c>
      <c r="G198" s="442">
        <v>0</v>
      </c>
      <c r="H198" s="442">
        <v>0</v>
      </c>
      <c r="I198" s="442">
        <f t="shared" si="154"/>
        <v>0</v>
      </c>
      <c r="J198" s="442">
        <v>33</v>
      </c>
      <c r="K198" s="442">
        <v>18</v>
      </c>
      <c r="L198" s="442">
        <f t="shared" si="175"/>
        <v>51</v>
      </c>
      <c r="M198" s="447">
        <f t="shared" si="156"/>
        <v>-8.92857142857143</v>
      </c>
      <c r="N198" s="448" t="s">
        <v>287</v>
      </c>
    </row>
    <row r="199" s="38" customFormat="1" ht="45" customHeight="1" spans="1:14">
      <c r="A199" s="441">
        <v>2080805</v>
      </c>
      <c r="B199" s="147" t="s">
        <v>288</v>
      </c>
      <c r="C199" s="442">
        <v>276.2</v>
      </c>
      <c r="D199" s="442">
        <v>0</v>
      </c>
      <c r="E199" s="442">
        <f t="shared" si="174"/>
        <v>276.2</v>
      </c>
      <c r="F199" s="442">
        <v>-153</v>
      </c>
      <c r="G199" s="442">
        <v>0</v>
      </c>
      <c r="H199" s="442">
        <v>0</v>
      </c>
      <c r="I199" s="442">
        <f t="shared" si="154"/>
        <v>0</v>
      </c>
      <c r="J199" s="442">
        <v>123.2</v>
      </c>
      <c r="K199" s="442"/>
      <c r="L199" s="442">
        <f t="shared" si="175"/>
        <v>123.2</v>
      </c>
      <c r="M199" s="447">
        <f t="shared" si="156"/>
        <v>-55.394641564084</v>
      </c>
      <c r="N199" s="448" t="s">
        <v>289</v>
      </c>
    </row>
    <row r="200" s="38" customFormat="1" ht="69" customHeight="1" spans="1:14">
      <c r="A200" s="441">
        <v>2080899</v>
      </c>
      <c r="B200" s="147" t="s">
        <v>290</v>
      </c>
      <c r="C200" s="442">
        <v>209.7</v>
      </c>
      <c r="D200" s="442">
        <v>996.21</v>
      </c>
      <c r="E200" s="442">
        <f t="shared" si="174"/>
        <v>1205.91</v>
      </c>
      <c r="F200" s="442">
        <v>4.37</v>
      </c>
      <c r="G200" s="442">
        <v>0</v>
      </c>
      <c r="H200" s="442">
        <v>-2.68</v>
      </c>
      <c r="I200" s="442">
        <f t="shared" si="154"/>
        <v>0</v>
      </c>
      <c r="J200" s="442">
        <v>211.39</v>
      </c>
      <c r="K200" s="442">
        <v>996.21</v>
      </c>
      <c r="L200" s="442">
        <f t="shared" si="175"/>
        <v>1207.6</v>
      </c>
      <c r="M200" s="447">
        <f t="shared" si="156"/>
        <v>0.140143128425822</v>
      </c>
      <c r="N200" s="448" t="s">
        <v>291</v>
      </c>
    </row>
    <row r="201" s="38" customFormat="1" customHeight="1" spans="1:14">
      <c r="A201" s="441">
        <v>20809</v>
      </c>
      <c r="B201" s="147" t="s">
        <v>292</v>
      </c>
      <c r="C201" s="442">
        <f t="shared" ref="C201:L201" si="178">C202+C204+C205+C203</f>
        <v>269.79</v>
      </c>
      <c r="D201" s="442">
        <f t="shared" si="178"/>
        <v>221.1</v>
      </c>
      <c r="E201" s="442">
        <f t="shared" si="178"/>
        <v>490.89</v>
      </c>
      <c r="F201" s="442">
        <f t="shared" si="178"/>
        <v>1.83</v>
      </c>
      <c r="G201" s="442">
        <f t="shared" si="178"/>
        <v>0</v>
      </c>
      <c r="H201" s="442">
        <f t="shared" si="178"/>
        <v>3.4</v>
      </c>
      <c r="I201" s="442">
        <f t="shared" si="178"/>
        <v>25</v>
      </c>
      <c r="J201" s="442">
        <f t="shared" si="178"/>
        <v>275.02</v>
      </c>
      <c r="K201" s="442">
        <f t="shared" si="178"/>
        <v>246.1</v>
      </c>
      <c r="L201" s="442">
        <f t="shared" si="178"/>
        <v>521.12</v>
      </c>
      <c r="M201" s="447">
        <f t="shared" si="156"/>
        <v>6.15820244861375</v>
      </c>
      <c r="N201" s="448"/>
    </row>
    <row r="202" s="38" customFormat="1" ht="30" customHeight="1" spans="1:14">
      <c r="A202" s="441">
        <v>2080901</v>
      </c>
      <c r="B202" s="147" t="s">
        <v>293</v>
      </c>
      <c r="C202" s="442">
        <v>115</v>
      </c>
      <c r="D202" s="442">
        <v>167</v>
      </c>
      <c r="E202" s="442">
        <f t="shared" ref="E202:E205" si="179">C202+D202</f>
        <v>282</v>
      </c>
      <c r="F202" s="442">
        <v>1.23</v>
      </c>
      <c r="G202" s="442">
        <v>0</v>
      </c>
      <c r="H202" s="442">
        <v>0</v>
      </c>
      <c r="I202" s="442">
        <f t="shared" ref="I202:I246" si="180">K202-D202</f>
        <v>0</v>
      </c>
      <c r="J202" s="442">
        <v>116.23</v>
      </c>
      <c r="K202" s="442">
        <v>167</v>
      </c>
      <c r="L202" s="442">
        <f t="shared" ref="L202:L205" si="181">J202+K202</f>
        <v>283.23</v>
      </c>
      <c r="M202" s="447">
        <f t="shared" si="156"/>
        <v>0.436170212765964</v>
      </c>
      <c r="N202" s="448" t="s">
        <v>294</v>
      </c>
    </row>
    <row r="203" s="38" customFormat="1" customHeight="1" spans="1:14">
      <c r="A203" s="441">
        <v>2080904</v>
      </c>
      <c r="B203" s="147" t="s">
        <v>295</v>
      </c>
      <c r="C203" s="442">
        <v>0.12</v>
      </c>
      <c r="D203" s="442">
        <v>26.1</v>
      </c>
      <c r="E203" s="442">
        <f t="shared" si="179"/>
        <v>26.22</v>
      </c>
      <c r="F203" s="442">
        <v>0</v>
      </c>
      <c r="G203" s="442">
        <v>0</v>
      </c>
      <c r="H203" s="442">
        <v>0</v>
      </c>
      <c r="I203" s="442">
        <f t="shared" si="180"/>
        <v>0</v>
      </c>
      <c r="J203" s="442">
        <v>0.12</v>
      </c>
      <c r="K203" s="442">
        <v>26.1</v>
      </c>
      <c r="L203" s="442">
        <f t="shared" si="181"/>
        <v>26.22</v>
      </c>
      <c r="M203" s="447">
        <f t="shared" si="156"/>
        <v>0</v>
      </c>
      <c r="N203" s="448">
        <v>0</v>
      </c>
    </row>
    <row r="204" s="38" customFormat="1" ht="30" customHeight="1" spans="1:14">
      <c r="A204" s="441">
        <v>2080905</v>
      </c>
      <c r="B204" s="147" t="s">
        <v>296</v>
      </c>
      <c r="C204" s="442">
        <v>91.27</v>
      </c>
      <c r="D204" s="442">
        <v>0</v>
      </c>
      <c r="E204" s="442">
        <f t="shared" si="179"/>
        <v>91.27</v>
      </c>
      <c r="F204" s="442">
        <v>0</v>
      </c>
      <c r="G204" s="442">
        <v>0</v>
      </c>
      <c r="H204" s="442">
        <v>0.72</v>
      </c>
      <c r="I204" s="442">
        <f t="shared" si="180"/>
        <v>0</v>
      </c>
      <c r="J204" s="442">
        <v>91.99</v>
      </c>
      <c r="K204" s="442"/>
      <c r="L204" s="442">
        <f t="shared" si="181"/>
        <v>91.99</v>
      </c>
      <c r="M204" s="447">
        <f t="shared" si="156"/>
        <v>0.788868193272706</v>
      </c>
      <c r="N204" s="448" t="s">
        <v>297</v>
      </c>
    </row>
    <row r="205" s="38" customFormat="1" ht="49" customHeight="1" spans="1:14">
      <c r="A205" s="441">
        <v>2080999</v>
      </c>
      <c r="B205" s="147" t="s">
        <v>298</v>
      </c>
      <c r="C205" s="442">
        <v>63.4</v>
      </c>
      <c r="D205" s="442">
        <v>28</v>
      </c>
      <c r="E205" s="442">
        <f t="shared" si="179"/>
        <v>91.4</v>
      </c>
      <c r="F205" s="442">
        <v>0.6</v>
      </c>
      <c r="G205" s="442">
        <v>0</v>
      </c>
      <c r="H205" s="442">
        <v>2.68</v>
      </c>
      <c r="I205" s="442">
        <f t="shared" si="180"/>
        <v>25</v>
      </c>
      <c r="J205" s="442">
        <v>66.68</v>
      </c>
      <c r="K205" s="442">
        <v>53</v>
      </c>
      <c r="L205" s="442">
        <f t="shared" si="181"/>
        <v>119.68</v>
      </c>
      <c r="M205" s="447">
        <f t="shared" si="156"/>
        <v>30.9409190371991</v>
      </c>
      <c r="N205" s="448" t="s">
        <v>299</v>
      </c>
    </row>
    <row r="206" s="38" customFormat="1" customHeight="1" spans="1:14">
      <c r="A206" s="441">
        <v>20810</v>
      </c>
      <c r="B206" s="147" t="s">
        <v>300</v>
      </c>
      <c r="C206" s="442">
        <f t="shared" ref="C206:G206" si="182">C207+C208+C209+C210+C211</f>
        <v>747.27</v>
      </c>
      <c r="D206" s="442">
        <f t="shared" si="182"/>
        <v>211.436</v>
      </c>
      <c r="E206" s="442">
        <f t="shared" si="182"/>
        <v>958.706</v>
      </c>
      <c r="F206" s="442">
        <f t="shared" si="182"/>
        <v>-7</v>
      </c>
      <c r="G206" s="442">
        <f t="shared" si="182"/>
        <v>0</v>
      </c>
      <c r="H206" s="442">
        <v>0</v>
      </c>
      <c r="I206" s="442">
        <f t="shared" si="180"/>
        <v>118.02</v>
      </c>
      <c r="J206" s="442">
        <f t="shared" ref="J206:L206" si="183">J207+J208+J209+J210+J211</f>
        <v>740.27</v>
      </c>
      <c r="K206" s="442">
        <f t="shared" si="183"/>
        <v>329.456</v>
      </c>
      <c r="L206" s="442">
        <f t="shared" si="183"/>
        <v>1069.726</v>
      </c>
      <c r="M206" s="447">
        <f t="shared" si="156"/>
        <v>11.5801924677639</v>
      </c>
      <c r="N206" s="448"/>
    </row>
    <row r="207" s="38" customFormat="1" customHeight="1" spans="1:14">
      <c r="A207" s="441">
        <v>2081001</v>
      </c>
      <c r="B207" s="147" t="s">
        <v>301</v>
      </c>
      <c r="C207" s="442">
        <v>2</v>
      </c>
      <c r="D207" s="442">
        <v>21.3</v>
      </c>
      <c r="E207" s="442">
        <f t="shared" ref="E207:E211" si="184">C207+D207</f>
        <v>23.3</v>
      </c>
      <c r="F207" s="442">
        <v>0</v>
      </c>
      <c r="G207" s="442">
        <v>0</v>
      </c>
      <c r="H207" s="442">
        <v>0</v>
      </c>
      <c r="I207" s="442">
        <f t="shared" si="180"/>
        <v>0</v>
      </c>
      <c r="J207" s="442">
        <v>2</v>
      </c>
      <c r="K207" s="442">
        <v>21.3</v>
      </c>
      <c r="L207" s="442">
        <f t="shared" ref="L207:L211" si="185">J207+K207</f>
        <v>23.3</v>
      </c>
      <c r="M207" s="447">
        <f t="shared" si="156"/>
        <v>0</v>
      </c>
      <c r="N207" s="448">
        <v>0</v>
      </c>
    </row>
    <row r="208" s="38" customFormat="1" customHeight="1" spans="1:14">
      <c r="A208" s="441">
        <v>2081002</v>
      </c>
      <c r="B208" s="147" t="s">
        <v>302</v>
      </c>
      <c r="C208" s="442">
        <v>325.95</v>
      </c>
      <c r="D208" s="442">
        <v>139</v>
      </c>
      <c r="E208" s="442">
        <f t="shared" si="184"/>
        <v>464.95</v>
      </c>
      <c r="F208" s="442">
        <v>-5</v>
      </c>
      <c r="G208" s="442">
        <v>0</v>
      </c>
      <c r="H208" s="442">
        <v>0</v>
      </c>
      <c r="I208" s="442">
        <f t="shared" si="180"/>
        <v>0</v>
      </c>
      <c r="J208" s="442">
        <v>320.95</v>
      </c>
      <c r="K208" s="442">
        <v>139</v>
      </c>
      <c r="L208" s="442">
        <f t="shared" si="185"/>
        <v>459.95</v>
      </c>
      <c r="M208" s="447">
        <f t="shared" si="156"/>
        <v>-1.07538444994085</v>
      </c>
      <c r="N208" s="448" t="s">
        <v>303</v>
      </c>
    </row>
    <row r="209" s="38" customFormat="1" ht="34" customHeight="1" spans="1:14">
      <c r="A209" s="441">
        <v>2081004</v>
      </c>
      <c r="B209" s="147" t="s">
        <v>304</v>
      </c>
      <c r="C209" s="442">
        <v>197.11</v>
      </c>
      <c r="D209" s="442">
        <v>51.136</v>
      </c>
      <c r="E209" s="442">
        <f t="shared" si="184"/>
        <v>248.246</v>
      </c>
      <c r="F209" s="442">
        <v>-2</v>
      </c>
      <c r="G209" s="442"/>
      <c r="H209" s="442">
        <v>0</v>
      </c>
      <c r="I209" s="442">
        <f t="shared" si="180"/>
        <v>0</v>
      </c>
      <c r="J209" s="442">
        <v>195.11</v>
      </c>
      <c r="K209" s="442">
        <v>51.136</v>
      </c>
      <c r="L209" s="442">
        <f t="shared" si="185"/>
        <v>246.246</v>
      </c>
      <c r="M209" s="447">
        <f t="shared" si="156"/>
        <v>-0.805652457642822</v>
      </c>
      <c r="N209" s="449" t="s">
        <v>305</v>
      </c>
    </row>
    <row r="210" s="38" customFormat="1" customHeight="1" spans="1:14">
      <c r="A210" s="441">
        <v>2081005</v>
      </c>
      <c r="B210" s="147" t="s">
        <v>306</v>
      </c>
      <c r="C210" s="442">
        <v>42.21</v>
      </c>
      <c r="D210" s="442">
        <v>0</v>
      </c>
      <c r="E210" s="442">
        <f t="shared" si="184"/>
        <v>42.21</v>
      </c>
      <c r="F210" s="442">
        <v>0</v>
      </c>
      <c r="G210" s="442"/>
      <c r="H210" s="442">
        <v>0</v>
      </c>
      <c r="I210" s="442">
        <f t="shared" si="180"/>
        <v>0</v>
      </c>
      <c r="J210" s="442">
        <v>42.21</v>
      </c>
      <c r="K210" s="442"/>
      <c r="L210" s="442">
        <f t="shared" si="185"/>
        <v>42.21</v>
      </c>
      <c r="M210" s="447">
        <f t="shared" si="156"/>
        <v>0</v>
      </c>
      <c r="N210" s="449"/>
    </row>
    <row r="211" s="38" customFormat="1" customHeight="1" spans="1:14">
      <c r="A211" s="441">
        <v>2081006</v>
      </c>
      <c r="B211" s="147" t="s">
        <v>307</v>
      </c>
      <c r="C211" s="442">
        <v>180</v>
      </c>
      <c r="D211" s="442">
        <v>0</v>
      </c>
      <c r="E211" s="442">
        <f t="shared" si="184"/>
        <v>180</v>
      </c>
      <c r="F211" s="442">
        <v>0</v>
      </c>
      <c r="G211" s="442">
        <v>0</v>
      </c>
      <c r="H211" s="442">
        <v>0</v>
      </c>
      <c r="I211" s="442">
        <f t="shared" si="180"/>
        <v>118.02</v>
      </c>
      <c r="J211" s="442">
        <v>180</v>
      </c>
      <c r="K211" s="442">
        <v>118.02</v>
      </c>
      <c r="L211" s="442">
        <f t="shared" si="185"/>
        <v>298.02</v>
      </c>
      <c r="M211" s="447">
        <f t="shared" si="156"/>
        <v>65.5666666666667</v>
      </c>
      <c r="N211" s="448">
        <v>0</v>
      </c>
    </row>
    <row r="212" s="38" customFormat="1" ht="29" customHeight="1" spans="1:14">
      <c r="A212" s="441">
        <v>20811</v>
      </c>
      <c r="B212" s="147" t="s">
        <v>308</v>
      </c>
      <c r="C212" s="442">
        <f t="shared" ref="C212:F212" si="186">C213+C214+C215+C216+C217</f>
        <v>982.91</v>
      </c>
      <c r="D212" s="442">
        <f t="shared" si="186"/>
        <v>1396.206</v>
      </c>
      <c r="E212" s="442">
        <f t="shared" si="186"/>
        <v>2379.116</v>
      </c>
      <c r="F212" s="442">
        <f t="shared" si="186"/>
        <v>-100.85</v>
      </c>
      <c r="G212" s="442"/>
      <c r="H212" s="442">
        <v>53.99</v>
      </c>
      <c r="I212" s="442">
        <f t="shared" si="180"/>
        <v>0</v>
      </c>
      <c r="J212" s="442">
        <f t="shared" ref="J212:L212" si="187">J213+J214+J215+J216+J217</f>
        <v>936.06</v>
      </c>
      <c r="K212" s="442">
        <f t="shared" si="187"/>
        <v>1396.206</v>
      </c>
      <c r="L212" s="442">
        <f t="shared" si="187"/>
        <v>2332.266</v>
      </c>
      <c r="M212" s="447">
        <f t="shared" si="156"/>
        <v>-1.9692188190908</v>
      </c>
      <c r="N212" s="449"/>
    </row>
    <row r="213" s="38" customFormat="1" customHeight="1" spans="1:14">
      <c r="A213" s="441">
        <v>2081101</v>
      </c>
      <c r="B213" s="147" t="s">
        <v>90</v>
      </c>
      <c r="C213" s="442">
        <v>187.25</v>
      </c>
      <c r="D213" s="442">
        <v>0</v>
      </c>
      <c r="E213" s="442">
        <f t="shared" ref="E213:E217" si="188">C213+D213</f>
        <v>187.25</v>
      </c>
      <c r="F213" s="442">
        <v>-0.6</v>
      </c>
      <c r="G213" s="442"/>
      <c r="H213" s="442">
        <v>6.82</v>
      </c>
      <c r="I213" s="442">
        <f t="shared" si="180"/>
        <v>0</v>
      </c>
      <c r="J213" s="442">
        <v>193.48</v>
      </c>
      <c r="K213" s="442"/>
      <c r="L213" s="442">
        <f t="shared" ref="L213:L217" si="189">J213+K213</f>
        <v>193.48</v>
      </c>
      <c r="M213" s="447">
        <f t="shared" si="156"/>
        <v>3.32710280373831</v>
      </c>
      <c r="N213" s="449" t="s">
        <v>119</v>
      </c>
    </row>
    <row r="214" s="38" customFormat="1" customHeight="1" spans="1:14">
      <c r="A214" s="441">
        <v>2081104</v>
      </c>
      <c r="B214" s="147" t="s">
        <v>309</v>
      </c>
      <c r="C214" s="442">
        <v>1</v>
      </c>
      <c r="D214" s="442">
        <v>10.1</v>
      </c>
      <c r="E214" s="442">
        <f t="shared" si="188"/>
        <v>11.1</v>
      </c>
      <c r="F214" s="442">
        <v>0</v>
      </c>
      <c r="G214" s="442"/>
      <c r="H214" s="442">
        <v>0</v>
      </c>
      <c r="I214" s="442">
        <f t="shared" si="180"/>
        <v>0</v>
      </c>
      <c r="J214" s="442">
        <v>1</v>
      </c>
      <c r="K214" s="442">
        <v>10.1</v>
      </c>
      <c r="L214" s="442">
        <f t="shared" si="189"/>
        <v>11.1</v>
      </c>
      <c r="M214" s="447">
        <f t="shared" si="156"/>
        <v>0</v>
      </c>
      <c r="N214" s="449"/>
    </row>
    <row r="215" s="38" customFormat="1" customHeight="1" spans="1:14">
      <c r="A215" s="441">
        <v>2081105</v>
      </c>
      <c r="B215" s="147" t="s">
        <v>310</v>
      </c>
      <c r="C215" s="442">
        <v>1.53</v>
      </c>
      <c r="D215" s="442">
        <v>347.5</v>
      </c>
      <c r="E215" s="442">
        <f t="shared" si="188"/>
        <v>349.03</v>
      </c>
      <c r="F215" s="442">
        <v>0</v>
      </c>
      <c r="G215" s="442"/>
      <c r="H215" s="442">
        <v>0</v>
      </c>
      <c r="I215" s="442">
        <f t="shared" si="180"/>
        <v>0</v>
      </c>
      <c r="J215" s="442">
        <v>1.53</v>
      </c>
      <c r="K215" s="442">
        <v>347.5</v>
      </c>
      <c r="L215" s="442">
        <f t="shared" si="189"/>
        <v>349.03</v>
      </c>
      <c r="M215" s="447">
        <f t="shared" si="156"/>
        <v>0</v>
      </c>
      <c r="N215" s="449"/>
    </row>
    <row r="216" s="38" customFormat="1" ht="37" customHeight="1" spans="1:14">
      <c r="A216" s="441">
        <v>2081107</v>
      </c>
      <c r="B216" s="147" t="s">
        <v>311</v>
      </c>
      <c r="C216" s="442">
        <v>363</v>
      </c>
      <c r="D216" s="442">
        <v>964.8661</v>
      </c>
      <c r="E216" s="442">
        <f t="shared" si="188"/>
        <v>1327.8661</v>
      </c>
      <c r="F216" s="442">
        <v>-120</v>
      </c>
      <c r="G216" s="442">
        <v>0</v>
      </c>
      <c r="H216" s="442">
        <v>0.0100000000000182</v>
      </c>
      <c r="I216" s="442">
        <f t="shared" si="180"/>
        <v>0</v>
      </c>
      <c r="J216" s="442">
        <v>243.01</v>
      </c>
      <c r="K216" s="442">
        <v>964.8661</v>
      </c>
      <c r="L216" s="442">
        <f t="shared" si="189"/>
        <v>1207.8761</v>
      </c>
      <c r="M216" s="447">
        <f t="shared" si="156"/>
        <v>-9.03630268142247</v>
      </c>
      <c r="N216" s="448" t="s">
        <v>312</v>
      </c>
    </row>
    <row r="217" s="38" customFormat="1" ht="37" customHeight="1" spans="1:14">
      <c r="A217" s="441">
        <v>2081199</v>
      </c>
      <c r="B217" s="147" t="s">
        <v>313</v>
      </c>
      <c r="C217" s="442">
        <v>430.13</v>
      </c>
      <c r="D217" s="442">
        <v>73.7399</v>
      </c>
      <c r="E217" s="442">
        <f t="shared" si="188"/>
        <v>503.8699</v>
      </c>
      <c r="F217" s="442">
        <v>19.75</v>
      </c>
      <c r="G217" s="442">
        <v>0</v>
      </c>
      <c r="H217" s="442">
        <v>47.16</v>
      </c>
      <c r="I217" s="442">
        <f t="shared" si="180"/>
        <v>0</v>
      </c>
      <c r="J217" s="442">
        <v>497.04</v>
      </c>
      <c r="K217" s="442">
        <v>73.7399</v>
      </c>
      <c r="L217" s="442">
        <f t="shared" si="189"/>
        <v>570.7799</v>
      </c>
      <c r="M217" s="447">
        <f t="shared" si="156"/>
        <v>13.2792214815769</v>
      </c>
      <c r="N217" s="448" t="s">
        <v>314</v>
      </c>
    </row>
    <row r="218" s="38" customFormat="1" customHeight="1" spans="1:14">
      <c r="A218" s="441">
        <v>20816</v>
      </c>
      <c r="B218" s="147" t="s">
        <v>315</v>
      </c>
      <c r="C218" s="442">
        <f t="shared" ref="C218:F218" si="190">C219+C220</f>
        <v>64.87</v>
      </c>
      <c r="D218" s="442">
        <f t="shared" si="190"/>
        <v>0</v>
      </c>
      <c r="E218" s="442">
        <f t="shared" si="190"/>
        <v>64.87</v>
      </c>
      <c r="F218" s="442">
        <f t="shared" si="190"/>
        <v>-0.35</v>
      </c>
      <c r="G218" s="442"/>
      <c r="H218" s="442">
        <v>0</v>
      </c>
      <c r="I218" s="442">
        <f t="shared" si="180"/>
        <v>0</v>
      </c>
      <c r="J218" s="442">
        <f t="shared" ref="J218:L218" si="191">J219+J220</f>
        <v>64.51</v>
      </c>
      <c r="K218" s="442">
        <f t="shared" si="191"/>
        <v>0</v>
      </c>
      <c r="L218" s="442">
        <f t="shared" si="191"/>
        <v>64.51</v>
      </c>
      <c r="M218" s="447">
        <f t="shared" si="156"/>
        <v>-0.554956065978131</v>
      </c>
      <c r="N218" s="449"/>
    </row>
    <row r="219" s="38" customFormat="1" customHeight="1" spans="1:14">
      <c r="A219" s="441">
        <v>2081601</v>
      </c>
      <c r="B219" s="147" t="s">
        <v>90</v>
      </c>
      <c r="C219" s="442">
        <v>46.87</v>
      </c>
      <c r="D219" s="442">
        <v>0</v>
      </c>
      <c r="E219" s="442">
        <f t="shared" ref="E219:E223" si="192">C219+D219</f>
        <v>46.87</v>
      </c>
      <c r="F219" s="442">
        <v>-0.35</v>
      </c>
      <c r="G219" s="442">
        <v>0</v>
      </c>
      <c r="H219" s="442">
        <v>0</v>
      </c>
      <c r="I219" s="442">
        <f t="shared" si="180"/>
        <v>0</v>
      </c>
      <c r="J219" s="442">
        <v>46.51</v>
      </c>
      <c r="K219" s="442"/>
      <c r="L219" s="442">
        <f t="shared" ref="L219:L223" si="193">J219+K219</f>
        <v>46.51</v>
      </c>
      <c r="M219" s="447">
        <f t="shared" si="156"/>
        <v>-0.768081928739064</v>
      </c>
      <c r="N219" s="448" t="s">
        <v>104</v>
      </c>
    </row>
    <row r="220" s="38" customFormat="1" customHeight="1" spans="1:14">
      <c r="A220" s="441">
        <v>2081699</v>
      </c>
      <c r="B220" s="147" t="s">
        <v>316</v>
      </c>
      <c r="C220" s="442">
        <v>18</v>
      </c>
      <c r="D220" s="442">
        <v>0</v>
      </c>
      <c r="E220" s="442">
        <f t="shared" si="192"/>
        <v>18</v>
      </c>
      <c r="F220" s="442">
        <v>0</v>
      </c>
      <c r="G220" s="442"/>
      <c r="H220" s="442">
        <v>0</v>
      </c>
      <c r="I220" s="442">
        <f t="shared" si="180"/>
        <v>0</v>
      </c>
      <c r="J220" s="442">
        <v>18</v>
      </c>
      <c r="K220" s="442"/>
      <c r="L220" s="442">
        <f t="shared" si="193"/>
        <v>18</v>
      </c>
      <c r="M220" s="447">
        <f t="shared" si="156"/>
        <v>0</v>
      </c>
      <c r="N220" s="449"/>
    </row>
    <row r="221" s="38" customFormat="1" customHeight="1" spans="1:14">
      <c r="A221" s="441">
        <v>20819</v>
      </c>
      <c r="B221" s="147" t="s">
        <v>317</v>
      </c>
      <c r="C221" s="442">
        <f t="shared" ref="C221:F221" si="194">C222+C223</f>
        <v>1080</v>
      </c>
      <c r="D221" s="442">
        <f t="shared" si="194"/>
        <v>2589</v>
      </c>
      <c r="E221" s="442">
        <f t="shared" si="194"/>
        <v>3669</v>
      </c>
      <c r="F221" s="442">
        <f t="shared" si="194"/>
        <v>210</v>
      </c>
      <c r="G221" s="442"/>
      <c r="H221" s="442">
        <v>0</v>
      </c>
      <c r="I221" s="442">
        <f t="shared" si="180"/>
        <v>98.8150000000001</v>
      </c>
      <c r="J221" s="442">
        <f t="shared" ref="J221:L221" si="195">J222+J223</f>
        <v>1290</v>
      </c>
      <c r="K221" s="442">
        <f t="shared" si="195"/>
        <v>2687.815</v>
      </c>
      <c r="L221" s="442">
        <f t="shared" si="195"/>
        <v>3977.815</v>
      </c>
      <c r="M221" s="447">
        <f t="shared" si="156"/>
        <v>8.41687108203872</v>
      </c>
      <c r="N221" s="448"/>
    </row>
    <row r="222" s="38" customFormat="1" ht="30" customHeight="1" spans="1:14">
      <c r="A222" s="441">
        <v>2081901</v>
      </c>
      <c r="B222" s="147" t="s">
        <v>318</v>
      </c>
      <c r="C222" s="442">
        <v>330</v>
      </c>
      <c r="D222" s="442">
        <v>1029</v>
      </c>
      <c r="E222" s="442">
        <f t="shared" si="192"/>
        <v>1359</v>
      </c>
      <c r="F222" s="442">
        <v>210</v>
      </c>
      <c r="G222" s="442">
        <v>0</v>
      </c>
      <c r="H222" s="442">
        <v>0</v>
      </c>
      <c r="I222" s="442">
        <f t="shared" si="180"/>
        <v>9.72000000000003</v>
      </c>
      <c r="J222" s="442">
        <v>540</v>
      </c>
      <c r="K222" s="442">
        <v>1038.72</v>
      </c>
      <c r="L222" s="442">
        <f t="shared" si="193"/>
        <v>1578.72</v>
      </c>
      <c r="M222" s="447">
        <f t="shared" si="156"/>
        <v>16.167770419426</v>
      </c>
      <c r="N222" s="448" t="s">
        <v>319</v>
      </c>
    </row>
    <row r="223" s="38" customFormat="1" ht="30" customHeight="1" spans="1:14">
      <c r="A223" s="441">
        <v>2081902</v>
      </c>
      <c r="B223" s="147" t="s">
        <v>320</v>
      </c>
      <c r="C223" s="442">
        <v>750</v>
      </c>
      <c r="D223" s="442">
        <v>1560</v>
      </c>
      <c r="E223" s="442">
        <f t="shared" si="192"/>
        <v>2310</v>
      </c>
      <c r="F223" s="442">
        <v>0</v>
      </c>
      <c r="G223" s="442">
        <v>0</v>
      </c>
      <c r="H223" s="442">
        <v>0</v>
      </c>
      <c r="I223" s="442">
        <f t="shared" si="180"/>
        <v>89.095</v>
      </c>
      <c r="J223" s="442">
        <v>750</v>
      </c>
      <c r="K223" s="442">
        <v>1649.095</v>
      </c>
      <c r="L223" s="442">
        <f t="shared" si="193"/>
        <v>2399.095</v>
      </c>
      <c r="M223" s="447">
        <f t="shared" si="156"/>
        <v>3.85692640692642</v>
      </c>
      <c r="N223" s="449"/>
    </row>
    <row r="224" s="38" customFormat="1" customHeight="1" spans="1:14">
      <c r="A224" s="441">
        <v>20820</v>
      </c>
      <c r="B224" s="147" t="s">
        <v>321</v>
      </c>
      <c r="C224" s="442">
        <f t="shared" ref="C224:F224" si="196">C225+C226</f>
        <v>16</v>
      </c>
      <c r="D224" s="442">
        <f t="shared" si="196"/>
        <v>0</v>
      </c>
      <c r="E224" s="442">
        <f t="shared" si="196"/>
        <v>16</v>
      </c>
      <c r="F224" s="442">
        <f t="shared" si="196"/>
        <v>0</v>
      </c>
      <c r="G224" s="442"/>
      <c r="H224" s="442">
        <v>0</v>
      </c>
      <c r="I224" s="442">
        <f t="shared" si="180"/>
        <v>0</v>
      </c>
      <c r="J224" s="442">
        <f t="shared" ref="J224:L224" si="197">J225+J226</f>
        <v>16</v>
      </c>
      <c r="K224" s="442">
        <f t="shared" si="197"/>
        <v>0</v>
      </c>
      <c r="L224" s="442">
        <f t="shared" si="197"/>
        <v>16</v>
      </c>
      <c r="M224" s="447">
        <f t="shared" si="156"/>
        <v>0</v>
      </c>
      <c r="N224" s="449"/>
    </row>
    <row r="225" s="38" customFormat="1" customHeight="1" spans="1:14">
      <c r="A225" s="441">
        <v>2082001</v>
      </c>
      <c r="B225" s="147" t="s">
        <v>322</v>
      </c>
      <c r="C225" s="442">
        <v>15</v>
      </c>
      <c r="D225" s="442">
        <v>0</v>
      </c>
      <c r="E225" s="442">
        <f t="shared" ref="E225:E229" si="198">C225+D225</f>
        <v>15</v>
      </c>
      <c r="F225" s="442">
        <v>0</v>
      </c>
      <c r="G225" s="442"/>
      <c r="H225" s="442">
        <v>0</v>
      </c>
      <c r="I225" s="442">
        <f t="shared" si="180"/>
        <v>0</v>
      </c>
      <c r="J225" s="442">
        <v>15</v>
      </c>
      <c r="K225" s="442"/>
      <c r="L225" s="442">
        <f t="shared" ref="L225:L229" si="199">J225+K225</f>
        <v>15</v>
      </c>
      <c r="M225" s="447">
        <f t="shared" si="156"/>
        <v>0</v>
      </c>
      <c r="N225" s="449"/>
    </row>
    <row r="226" s="38" customFormat="1" customHeight="1" spans="1:14">
      <c r="A226" s="441">
        <v>2082002</v>
      </c>
      <c r="B226" s="147" t="s">
        <v>323</v>
      </c>
      <c r="C226" s="442">
        <v>1</v>
      </c>
      <c r="D226" s="442">
        <v>0</v>
      </c>
      <c r="E226" s="442">
        <f t="shared" si="198"/>
        <v>1</v>
      </c>
      <c r="F226" s="442">
        <v>0</v>
      </c>
      <c r="G226" s="442">
        <v>0</v>
      </c>
      <c r="H226" s="442">
        <v>0</v>
      </c>
      <c r="I226" s="442">
        <f t="shared" si="180"/>
        <v>0</v>
      </c>
      <c r="J226" s="442">
        <v>1</v>
      </c>
      <c r="K226" s="442"/>
      <c r="L226" s="442">
        <f t="shared" si="199"/>
        <v>1</v>
      </c>
      <c r="M226" s="447">
        <f t="shared" si="156"/>
        <v>0</v>
      </c>
      <c r="N226" s="448">
        <v>0</v>
      </c>
    </row>
    <row r="227" s="38" customFormat="1" customHeight="1" spans="1:14">
      <c r="A227" s="441">
        <v>20821</v>
      </c>
      <c r="B227" s="147" t="s">
        <v>324</v>
      </c>
      <c r="C227" s="442">
        <f t="shared" ref="C227:F227" si="200">C228+C229</f>
        <v>40</v>
      </c>
      <c r="D227" s="442">
        <f t="shared" si="200"/>
        <v>324</v>
      </c>
      <c r="E227" s="442">
        <f t="shared" si="200"/>
        <v>364</v>
      </c>
      <c r="F227" s="442">
        <f t="shared" si="200"/>
        <v>22</v>
      </c>
      <c r="G227" s="442"/>
      <c r="H227" s="442">
        <v>0</v>
      </c>
      <c r="I227" s="442">
        <f t="shared" si="180"/>
        <v>1.17500000000001</v>
      </c>
      <c r="J227" s="442">
        <f t="shared" ref="J227:L227" si="201">J228+J229</f>
        <v>62</v>
      </c>
      <c r="K227" s="442">
        <f t="shared" si="201"/>
        <v>325.175</v>
      </c>
      <c r="L227" s="442">
        <f t="shared" si="201"/>
        <v>387.175</v>
      </c>
      <c r="M227" s="447">
        <f t="shared" si="156"/>
        <v>6.36675824175825</v>
      </c>
      <c r="N227" s="449"/>
    </row>
    <row r="228" s="38" customFormat="1" ht="32" customHeight="1" spans="1:14">
      <c r="A228" s="441">
        <v>2082101</v>
      </c>
      <c r="B228" s="147" t="s">
        <v>325</v>
      </c>
      <c r="C228" s="442">
        <v>5</v>
      </c>
      <c r="D228" s="442">
        <v>42</v>
      </c>
      <c r="E228" s="442">
        <f t="shared" si="198"/>
        <v>47</v>
      </c>
      <c r="F228" s="442">
        <v>0</v>
      </c>
      <c r="G228" s="442">
        <v>0</v>
      </c>
      <c r="H228" s="442">
        <v>0</v>
      </c>
      <c r="I228" s="442">
        <f t="shared" si="180"/>
        <v>0.00500000000000256</v>
      </c>
      <c r="J228" s="442">
        <v>5</v>
      </c>
      <c r="K228" s="442">
        <v>42.005</v>
      </c>
      <c r="L228" s="442">
        <f t="shared" si="199"/>
        <v>47.005</v>
      </c>
      <c r="M228" s="447">
        <f t="shared" si="156"/>
        <v>0.0106382978723459</v>
      </c>
      <c r="N228" s="448">
        <v>0</v>
      </c>
    </row>
    <row r="229" s="38" customFormat="1" ht="32" customHeight="1" spans="1:14">
      <c r="A229" s="441">
        <v>2082102</v>
      </c>
      <c r="B229" s="147" t="s">
        <v>326</v>
      </c>
      <c r="C229" s="442">
        <v>35</v>
      </c>
      <c r="D229" s="442">
        <v>282</v>
      </c>
      <c r="E229" s="442">
        <f t="shared" si="198"/>
        <v>317</v>
      </c>
      <c r="F229" s="442">
        <v>22</v>
      </c>
      <c r="G229" s="442">
        <v>0</v>
      </c>
      <c r="H229" s="442">
        <v>0</v>
      </c>
      <c r="I229" s="442">
        <f t="shared" si="180"/>
        <v>1.17000000000002</v>
      </c>
      <c r="J229" s="442">
        <v>57</v>
      </c>
      <c r="K229" s="442">
        <v>283.17</v>
      </c>
      <c r="L229" s="442">
        <f t="shared" si="199"/>
        <v>340.17</v>
      </c>
      <c r="M229" s="447">
        <f t="shared" si="156"/>
        <v>7.30914826498423</v>
      </c>
      <c r="N229" s="448" t="s">
        <v>327</v>
      </c>
    </row>
    <row r="230" s="38" customFormat="1" customHeight="1" spans="1:14">
      <c r="A230" s="441">
        <v>20825</v>
      </c>
      <c r="B230" s="147" t="s">
        <v>328</v>
      </c>
      <c r="C230" s="442">
        <f t="shared" ref="C230:G230" si="202">C231+C232</f>
        <v>8.46</v>
      </c>
      <c r="D230" s="442">
        <f t="shared" si="202"/>
        <v>39.6</v>
      </c>
      <c r="E230" s="442">
        <f t="shared" si="202"/>
        <v>48.06</v>
      </c>
      <c r="F230" s="442">
        <f t="shared" si="202"/>
        <v>0</v>
      </c>
      <c r="G230" s="442">
        <f t="shared" si="202"/>
        <v>0</v>
      </c>
      <c r="H230" s="442">
        <v>0</v>
      </c>
      <c r="I230" s="442">
        <f t="shared" si="180"/>
        <v>0</v>
      </c>
      <c r="J230" s="442">
        <f t="shared" ref="J230:L230" si="203">J231+J232</f>
        <v>8.46</v>
      </c>
      <c r="K230" s="442">
        <f t="shared" si="203"/>
        <v>39.6</v>
      </c>
      <c r="L230" s="442">
        <f t="shared" si="203"/>
        <v>48.06</v>
      </c>
      <c r="M230" s="447">
        <f t="shared" si="156"/>
        <v>0</v>
      </c>
      <c r="N230" s="448">
        <v>0</v>
      </c>
    </row>
    <row r="231" s="38" customFormat="1" customHeight="1" spans="1:14">
      <c r="A231" s="441">
        <v>2082501</v>
      </c>
      <c r="B231" s="147" t="s">
        <v>329</v>
      </c>
      <c r="C231" s="442">
        <v>3.33</v>
      </c>
      <c r="D231" s="442">
        <v>15.4</v>
      </c>
      <c r="E231" s="442">
        <f t="shared" ref="E231:E235" si="204">C231+D231</f>
        <v>18.73</v>
      </c>
      <c r="F231" s="442">
        <v>0</v>
      </c>
      <c r="G231" s="442">
        <v>0</v>
      </c>
      <c r="H231" s="442">
        <v>0</v>
      </c>
      <c r="I231" s="442">
        <f t="shared" si="180"/>
        <v>0</v>
      </c>
      <c r="J231" s="442">
        <v>3.33</v>
      </c>
      <c r="K231" s="442">
        <v>15.4</v>
      </c>
      <c r="L231" s="442">
        <f t="shared" ref="L231:L235" si="205">J231+K231</f>
        <v>18.73</v>
      </c>
      <c r="M231" s="447">
        <f t="shared" si="156"/>
        <v>0</v>
      </c>
      <c r="N231" s="448">
        <v>0</v>
      </c>
    </row>
    <row r="232" s="38" customFormat="1" customHeight="1" spans="1:14">
      <c r="A232" s="441">
        <v>2082502</v>
      </c>
      <c r="B232" s="147" t="s">
        <v>330</v>
      </c>
      <c r="C232" s="442">
        <v>5.13</v>
      </c>
      <c r="D232" s="442">
        <v>24.2</v>
      </c>
      <c r="E232" s="442">
        <f t="shared" si="204"/>
        <v>29.33</v>
      </c>
      <c r="F232" s="442">
        <v>0</v>
      </c>
      <c r="G232" s="442">
        <v>0</v>
      </c>
      <c r="H232" s="442">
        <v>0</v>
      </c>
      <c r="I232" s="442">
        <f t="shared" si="180"/>
        <v>0</v>
      </c>
      <c r="J232" s="442">
        <v>5.13</v>
      </c>
      <c r="K232" s="442">
        <v>24.2</v>
      </c>
      <c r="L232" s="442">
        <f t="shared" si="205"/>
        <v>29.33</v>
      </c>
      <c r="M232" s="447">
        <f t="shared" si="156"/>
        <v>0</v>
      </c>
      <c r="N232" s="448">
        <v>0</v>
      </c>
    </row>
    <row r="233" s="38" customFormat="1" ht="31" customHeight="1" spans="1:14">
      <c r="A233" s="441">
        <v>20826</v>
      </c>
      <c r="B233" s="147" t="s">
        <v>331</v>
      </c>
      <c r="C233" s="442">
        <f t="shared" ref="C233:F233" si="206">C234+C235</f>
        <v>1149.98</v>
      </c>
      <c r="D233" s="442">
        <f t="shared" si="206"/>
        <v>7596.2</v>
      </c>
      <c r="E233" s="442">
        <f t="shared" si="206"/>
        <v>8746.18</v>
      </c>
      <c r="F233" s="442">
        <f t="shared" si="206"/>
        <v>0</v>
      </c>
      <c r="G233" s="442"/>
      <c r="H233" s="442">
        <v>0</v>
      </c>
      <c r="I233" s="442">
        <f t="shared" si="180"/>
        <v>88</v>
      </c>
      <c r="J233" s="442">
        <f t="shared" ref="J233:L233" si="207">J234+J235</f>
        <v>1149.98</v>
      </c>
      <c r="K233" s="442">
        <f t="shared" si="207"/>
        <v>7684.2</v>
      </c>
      <c r="L233" s="442">
        <f t="shared" si="207"/>
        <v>8834.18</v>
      </c>
      <c r="M233" s="447">
        <f t="shared" si="156"/>
        <v>1.00615354360418</v>
      </c>
      <c r="N233" s="448"/>
    </row>
    <row r="234" s="38" customFormat="1" ht="31" customHeight="1" spans="1:14">
      <c r="A234" s="441">
        <v>2082602</v>
      </c>
      <c r="B234" s="147" t="s">
        <v>332</v>
      </c>
      <c r="C234" s="442">
        <v>1145.66</v>
      </c>
      <c r="D234" s="442">
        <v>7596.2</v>
      </c>
      <c r="E234" s="442">
        <f t="shared" si="204"/>
        <v>8741.86</v>
      </c>
      <c r="F234" s="442">
        <v>0</v>
      </c>
      <c r="G234" s="442"/>
      <c r="H234" s="442">
        <v>0</v>
      </c>
      <c r="I234" s="442">
        <f t="shared" si="180"/>
        <v>88</v>
      </c>
      <c r="J234" s="442">
        <v>1145.66</v>
      </c>
      <c r="K234" s="442">
        <v>7684.2</v>
      </c>
      <c r="L234" s="442">
        <f t="shared" si="205"/>
        <v>8829.86</v>
      </c>
      <c r="M234" s="447">
        <f t="shared" si="156"/>
        <v>1.00665075853422</v>
      </c>
      <c r="N234" s="449"/>
    </row>
    <row r="235" s="38" customFormat="1" ht="31" customHeight="1" spans="1:14">
      <c r="A235" s="441">
        <v>2082699</v>
      </c>
      <c r="B235" s="147" t="s">
        <v>333</v>
      </c>
      <c r="C235" s="442">
        <v>4.32</v>
      </c>
      <c r="D235" s="442">
        <v>0</v>
      </c>
      <c r="E235" s="442">
        <f t="shared" si="204"/>
        <v>4.32</v>
      </c>
      <c r="F235" s="442">
        <v>0</v>
      </c>
      <c r="G235" s="442"/>
      <c r="H235" s="442">
        <v>0</v>
      </c>
      <c r="I235" s="442">
        <f t="shared" si="180"/>
        <v>0</v>
      </c>
      <c r="J235" s="442">
        <v>4.32</v>
      </c>
      <c r="K235" s="442"/>
      <c r="L235" s="442">
        <f t="shared" si="205"/>
        <v>4.32</v>
      </c>
      <c r="M235" s="447">
        <f t="shared" ref="M235:M251" si="208">(L235-E235)/E235*100</f>
        <v>0</v>
      </c>
      <c r="N235" s="449"/>
    </row>
    <row r="236" s="38" customFormat="1" customHeight="1" spans="1:14">
      <c r="A236" s="441">
        <v>20828</v>
      </c>
      <c r="B236" s="147" t="s">
        <v>334</v>
      </c>
      <c r="C236" s="442">
        <f t="shared" ref="C236:F236" si="209">C237+C238+C239+C240+C241</f>
        <v>755.83</v>
      </c>
      <c r="D236" s="442">
        <f t="shared" si="209"/>
        <v>171.52</v>
      </c>
      <c r="E236" s="442">
        <f t="shared" si="209"/>
        <v>927.35</v>
      </c>
      <c r="F236" s="442">
        <f t="shared" si="209"/>
        <v>-34.83</v>
      </c>
      <c r="G236" s="442"/>
      <c r="H236" s="442">
        <v>35.48</v>
      </c>
      <c r="I236" s="442">
        <f t="shared" si="180"/>
        <v>0.300000000000011</v>
      </c>
      <c r="J236" s="442">
        <f t="shared" ref="J236:L236" si="210">J237+J238+J239+J240+J241</f>
        <v>756.5</v>
      </c>
      <c r="K236" s="442">
        <f t="shared" si="210"/>
        <v>171.82</v>
      </c>
      <c r="L236" s="442">
        <f t="shared" si="210"/>
        <v>928.32</v>
      </c>
      <c r="M236" s="447">
        <f t="shared" si="208"/>
        <v>0.104599126543379</v>
      </c>
      <c r="N236" s="449"/>
    </row>
    <row r="237" s="38" customFormat="1" customHeight="1" spans="1:14">
      <c r="A237" s="441">
        <v>2082801</v>
      </c>
      <c r="B237" s="147" t="s">
        <v>90</v>
      </c>
      <c r="C237" s="442">
        <v>180.11</v>
      </c>
      <c r="D237" s="442">
        <v>0</v>
      </c>
      <c r="E237" s="442">
        <f t="shared" ref="E237:E241" si="211">C237+D237</f>
        <v>180.11</v>
      </c>
      <c r="F237" s="442">
        <v>-0.6</v>
      </c>
      <c r="G237" s="442">
        <v>0</v>
      </c>
      <c r="H237" s="442">
        <v>0.48</v>
      </c>
      <c r="I237" s="442">
        <f t="shared" si="180"/>
        <v>0</v>
      </c>
      <c r="J237" s="442">
        <v>180</v>
      </c>
      <c r="K237" s="442"/>
      <c r="L237" s="442">
        <f t="shared" ref="L237:L241" si="212">J237+K237</f>
        <v>180</v>
      </c>
      <c r="M237" s="447">
        <f t="shared" si="208"/>
        <v>-0.0610737882405273</v>
      </c>
      <c r="N237" s="448" t="s">
        <v>104</v>
      </c>
    </row>
    <row r="238" s="38" customFormat="1" customHeight="1" spans="1:14">
      <c r="A238" s="441">
        <v>2082802</v>
      </c>
      <c r="B238" s="147" t="s">
        <v>92</v>
      </c>
      <c r="C238" s="442">
        <v>84</v>
      </c>
      <c r="D238" s="442">
        <v>0</v>
      </c>
      <c r="E238" s="442">
        <f t="shared" si="211"/>
        <v>84</v>
      </c>
      <c r="F238" s="442">
        <v>0</v>
      </c>
      <c r="G238" s="442"/>
      <c r="H238" s="442">
        <v>30</v>
      </c>
      <c r="I238" s="442">
        <f t="shared" si="180"/>
        <v>0</v>
      </c>
      <c r="J238" s="442">
        <v>114</v>
      </c>
      <c r="K238" s="442"/>
      <c r="L238" s="442">
        <f t="shared" si="212"/>
        <v>114</v>
      </c>
      <c r="M238" s="447">
        <f t="shared" si="208"/>
        <v>35.7142857142857</v>
      </c>
      <c r="N238" s="449" t="s">
        <v>335</v>
      </c>
    </row>
    <row r="239" s="38" customFormat="1" ht="33" customHeight="1" spans="1:14">
      <c r="A239" s="441">
        <v>2082804</v>
      </c>
      <c r="B239" s="147" t="s">
        <v>336</v>
      </c>
      <c r="C239" s="442">
        <v>265.56</v>
      </c>
      <c r="D239" s="442">
        <v>107.52</v>
      </c>
      <c r="E239" s="442">
        <f t="shared" si="211"/>
        <v>373.08</v>
      </c>
      <c r="F239" s="442">
        <v>-0.2</v>
      </c>
      <c r="G239" s="442">
        <v>0</v>
      </c>
      <c r="H239" s="442">
        <v>0</v>
      </c>
      <c r="I239" s="442">
        <f t="shared" si="180"/>
        <v>0.299999999999997</v>
      </c>
      <c r="J239" s="442">
        <v>265.36</v>
      </c>
      <c r="K239" s="442">
        <v>107.82</v>
      </c>
      <c r="L239" s="442">
        <f t="shared" si="212"/>
        <v>373.18</v>
      </c>
      <c r="M239" s="447">
        <f t="shared" si="208"/>
        <v>0.0268039026482317</v>
      </c>
      <c r="N239" s="448" t="s">
        <v>337</v>
      </c>
    </row>
    <row r="240" s="38" customFormat="1" customHeight="1" spans="1:14">
      <c r="A240" s="441">
        <v>2082850</v>
      </c>
      <c r="B240" s="147" t="s">
        <v>118</v>
      </c>
      <c r="C240" s="442">
        <v>74.24</v>
      </c>
      <c r="D240" s="442">
        <v>0</v>
      </c>
      <c r="E240" s="442">
        <f t="shared" si="211"/>
        <v>74.24</v>
      </c>
      <c r="F240" s="442">
        <v>0</v>
      </c>
      <c r="G240" s="442">
        <v>0</v>
      </c>
      <c r="H240" s="442">
        <v>0</v>
      </c>
      <c r="I240" s="442">
        <f t="shared" si="180"/>
        <v>0</v>
      </c>
      <c r="J240" s="442">
        <v>74.25</v>
      </c>
      <c r="K240" s="442"/>
      <c r="L240" s="442">
        <f t="shared" si="212"/>
        <v>74.25</v>
      </c>
      <c r="M240" s="447">
        <f t="shared" si="208"/>
        <v>0.0134698275862138</v>
      </c>
      <c r="N240" s="448">
        <v>0</v>
      </c>
    </row>
    <row r="241" s="38" customFormat="1" ht="35" customHeight="1" spans="1:14">
      <c r="A241" s="441">
        <v>2082899</v>
      </c>
      <c r="B241" s="147" t="s">
        <v>338</v>
      </c>
      <c r="C241" s="442">
        <v>151.92</v>
      </c>
      <c r="D241" s="442">
        <v>64</v>
      </c>
      <c r="E241" s="442">
        <f t="shared" si="211"/>
        <v>215.92</v>
      </c>
      <c r="F241" s="442">
        <v>-34.03</v>
      </c>
      <c r="G241" s="442">
        <v>0</v>
      </c>
      <c r="H241" s="442">
        <v>5</v>
      </c>
      <c r="I241" s="442">
        <f t="shared" si="180"/>
        <v>0</v>
      </c>
      <c r="J241" s="442">
        <v>122.89</v>
      </c>
      <c r="K241" s="442">
        <v>64</v>
      </c>
      <c r="L241" s="442">
        <f t="shared" si="212"/>
        <v>186.89</v>
      </c>
      <c r="M241" s="447">
        <f t="shared" si="208"/>
        <v>-13.4447943682846</v>
      </c>
      <c r="N241" s="448" t="s">
        <v>339</v>
      </c>
    </row>
    <row r="242" s="38" customFormat="1" ht="33" customHeight="1" spans="1:14">
      <c r="A242" s="441">
        <v>20830</v>
      </c>
      <c r="B242" s="147" t="s">
        <v>340</v>
      </c>
      <c r="C242" s="442">
        <f t="shared" ref="C242:G242" si="213">C243</f>
        <v>28.38</v>
      </c>
      <c r="D242" s="442">
        <f t="shared" si="213"/>
        <v>22.704</v>
      </c>
      <c r="E242" s="442">
        <f t="shared" si="213"/>
        <v>51.084</v>
      </c>
      <c r="F242" s="442">
        <f t="shared" si="213"/>
        <v>0</v>
      </c>
      <c r="G242" s="442">
        <f t="shared" si="213"/>
        <v>0</v>
      </c>
      <c r="H242" s="442">
        <v>0</v>
      </c>
      <c r="I242" s="442">
        <f t="shared" si="180"/>
        <v>0</v>
      </c>
      <c r="J242" s="442">
        <f t="shared" ref="J242:L242" si="214">J243</f>
        <v>28.38</v>
      </c>
      <c r="K242" s="442">
        <f t="shared" si="214"/>
        <v>22.704</v>
      </c>
      <c r="L242" s="442">
        <f t="shared" si="214"/>
        <v>51.084</v>
      </c>
      <c r="M242" s="447">
        <f t="shared" si="208"/>
        <v>0</v>
      </c>
      <c r="N242" s="448">
        <v>0</v>
      </c>
    </row>
    <row r="243" s="38" customFormat="1" ht="33" customHeight="1" spans="1:14">
      <c r="A243" s="147">
        <v>2083001</v>
      </c>
      <c r="B243" s="450" t="s">
        <v>341</v>
      </c>
      <c r="C243" s="442">
        <v>28.38</v>
      </c>
      <c r="D243" s="442">
        <v>22.704</v>
      </c>
      <c r="E243" s="442">
        <f t="shared" ref="E243:E249" si="215">C243+D243</f>
        <v>51.084</v>
      </c>
      <c r="F243" s="442">
        <v>0</v>
      </c>
      <c r="G243" s="442">
        <v>0</v>
      </c>
      <c r="H243" s="442">
        <v>0</v>
      </c>
      <c r="I243" s="442">
        <f t="shared" si="180"/>
        <v>0</v>
      </c>
      <c r="J243" s="442">
        <v>28.38</v>
      </c>
      <c r="K243" s="442">
        <v>22.704</v>
      </c>
      <c r="L243" s="442">
        <f t="shared" ref="L243:L249" si="216">J243+K243</f>
        <v>51.084</v>
      </c>
      <c r="M243" s="447">
        <f t="shared" si="208"/>
        <v>0</v>
      </c>
      <c r="N243" s="448">
        <v>0</v>
      </c>
    </row>
    <row r="244" s="38" customFormat="1" ht="33" customHeight="1" spans="1:14">
      <c r="A244" s="441">
        <v>20899</v>
      </c>
      <c r="B244" s="147" t="s">
        <v>342</v>
      </c>
      <c r="C244" s="442">
        <f t="shared" ref="C244:F244" si="217">C245</f>
        <v>725.89</v>
      </c>
      <c r="D244" s="442">
        <f t="shared" si="217"/>
        <v>449.664</v>
      </c>
      <c r="E244" s="442">
        <f t="shared" si="217"/>
        <v>1175.554</v>
      </c>
      <c r="F244" s="442">
        <f t="shared" si="217"/>
        <v>-54.14</v>
      </c>
      <c r="G244" s="442"/>
      <c r="H244" s="442">
        <v>-80.76</v>
      </c>
      <c r="I244" s="442">
        <f t="shared" si="180"/>
        <v>0</v>
      </c>
      <c r="J244" s="442">
        <f t="shared" ref="J244:L244" si="218">J245</f>
        <v>590.63</v>
      </c>
      <c r="K244" s="442">
        <f t="shared" si="218"/>
        <v>449.664</v>
      </c>
      <c r="L244" s="442">
        <f t="shared" si="218"/>
        <v>1040.294</v>
      </c>
      <c r="M244" s="447">
        <f t="shared" si="208"/>
        <v>-11.5060643747544</v>
      </c>
      <c r="N244" s="449"/>
    </row>
    <row r="245" s="38" customFormat="1" ht="30" customHeight="1" spans="1:14">
      <c r="A245" s="441">
        <v>2089999</v>
      </c>
      <c r="B245" s="147" t="s">
        <v>342</v>
      </c>
      <c r="C245" s="442">
        <v>725.89</v>
      </c>
      <c r="D245" s="442">
        <v>449.664</v>
      </c>
      <c r="E245" s="442">
        <f t="shared" si="215"/>
        <v>1175.554</v>
      </c>
      <c r="F245" s="442">
        <v>-54.14</v>
      </c>
      <c r="G245" s="442">
        <v>0</v>
      </c>
      <c r="H245" s="442">
        <v>-80.76</v>
      </c>
      <c r="I245" s="442">
        <f t="shared" si="180"/>
        <v>0</v>
      </c>
      <c r="J245" s="442">
        <v>590.63</v>
      </c>
      <c r="K245" s="442">
        <v>449.664</v>
      </c>
      <c r="L245" s="442">
        <f t="shared" si="216"/>
        <v>1040.294</v>
      </c>
      <c r="M245" s="447">
        <f t="shared" si="208"/>
        <v>-11.5060643747544</v>
      </c>
      <c r="N245" s="448" t="s">
        <v>343</v>
      </c>
    </row>
    <row r="246" s="38" customFormat="1" customHeight="1" spans="1:14">
      <c r="A246" s="441">
        <v>210</v>
      </c>
      <c r="B246" s="147" t="s">
        <v>344</v>
      </c>
      <c r="C246" s="442">
        <f t="shared" ref="C246:G246" si="219">C247+C250+C254+C258+C265+C267+C270+C274+C277+C279+C281+C283+C285</f>
        <v>8491.3</v>
      </c>
      <c r="D246" s="442">
        <f t="shared" si="219"/>
        <v>16058.6234</v>
      </c>
      <c r="E246" s="442">
        <f t="shared" si="219"/>
        <v>24549.9234</v>
      </c>
      <c r="F246" s="442">
        <f t="shared" si="219"/>
        <v>-89.8</v>
      </c>
      <c r="G246" s="442">
        <f t="shared" si="219"/>
        <v>0</v>
      </c>
      <c r="H246" s="442">
        <v>2338.53</v>
      </c>
      <c r="I246" s="442">
        <f t="shared" si="180"/>
        <v>835.459999999999</v>
      </c>
      <c r="J246" s="442">
        <f t="shared" ref="J246:L246" si="220">J247+J250+J254+J258+J265+J267+J270+J274+J277+J279+J281+J283+J285</f>
        <v>10740.09</v>
      </c>
      <c r="K246" s="442">
        <f t="shared" si="220"/>
        <v>16894.0834</v>
      </c>
      <c r="L246" s="442">
        <f t="shared" si="220"/>
        <v>27634.1734</v>
      </c>
      <c r="M246" s="447">
        <f t="shared" si="208"/>
        <v>12.5631756553668</v>
      </c>
      <c r="N246" s="448"/>
    </row>
    <row r="247" s="38" customFormat="1" customHeight="1" spans="1:14">
      <c r="A247" s="441">
        <v>21001</v>
      </c>
      <c r="B247" s="147" t="s">
        <v>345</v>
      </c>
      <c r="C247" s="442">
        <f t="shared" ref="C247:L247" si="221">C248+C249</f>
        <v>332.17</v>
      </c>
      <c r="D247" s="442">
        <f t="shared" si="221"/>
        <v>0</v>
      </c>
      <c r="E247" s="442">
        <f t="shared" si="221"/>
        <v>332.17</v>
      </c>
      <c r="F247" s="442">
        <f t="shared" si="221"/>
        <v>-10.95</v>
      </c>
      <c r="G247" s="442">
        <f t="shared" si="221"/>
        <v>0</v>
      </c>
      <c r="H247" s="442">
        <f t="shared" si="221"/>
        <v>0.18</v>
      </c>
      <c r="I247" s="442">
        <f t="shared" si="221"/>
        <v>0</v>
      </c>
      <c r="J247" s="442">
        <f t="shared" si="221"/>
        <v>321.41</v>
      </c>
      <c r="K247" s="442">
        <f t="shared" si="221"/>
        <v>0</v>
      </c>
      <c r="L247" s="442">
        <f t="shared" si="221"/>
        <v>321.41</v>
      </c>
      <c r="M247" s="447">
        <f t="shared" si="208"/>
        <v>-3.23930517506096</v>
      </c>
      <c r="N247" s="448"/>
    </row>
    <row r="248" s="38" customFormat="1" customHeight="1" spans="1:14">
      <c r="A248" s="441">
        <v>2100101</v>
      </c>
      <c r="B248" s="147" t="s">
        <v>90</v>
      </c>
      <c r="C248" s="442">
        <v>299.17</v>
      </c>
      <c r="D248" s="442">
        <v>0</v>
      </c>
      <c r="E248" s="442">
        <f t="shared" si="215"/>
        <v>299.17</v>
      </c>
      <c r="F248" s="442">
        <v>-0.95</v>
      </c>
      <c r="G248" s="442"/>
      <c r="H248" s="442">
        <v>0.18</v>
      </c>
      <c r="I248" s="442">
        <f t="shared" ref="I248:I286" si="222">K248-D248</f>
        <v>0</v>
      </c>
      <c r="J248" s="442">
        <v>298.41</v>
      </c>
      <c r="K248" s="442"/>
      <c r="L248" s="442">
        <f t="shared" si="216"/>
        <v>298.41</v>
      </c>
      <c r="M248" s="447">
        <f t="shared" si="208"/>
        <v>-0.254036166727944</v>
      </c>
      <c r="N248" s="449" t="s">
        <v>104</v>
      </c>
    </row>
    <row r="249" s="38" customFormat="1" ht="33" customHeight="1" spans="1:14">
      <c r="A249" s="441">
        <v>2100199</v>
      </c>
      <c r="B249" s="147" t="s">
        <v>346</v>
      </c>
      <c r="C249" s="442">
        <v>33</v>
      </c>
      <c r="D249" s="442">
        <v>0</v>
      </c>
      <c r="E249" s="442">
        <f t="shared" si="215"/>
        <v>33</v>
      </c>
      <c r="F249" s="442">
        <v>-10</v>
      </c>
      <c r="G249" s="442"/>
      <c r="H249" s="442">
        <v>0</v>
      </c>
      <c r="I249" s="442">
        <f t="shared" si="222"/>
        <v>0</v>
      </c>
      <c r="J249" s="442">
        <v>23</v>
      </c>
      <c r="K249" s="442"/>
      <c r="L249" s="442">
        <f t="shared" si="216"/>
        <v>23</v>
      </c>
      <c r="M249" s="447">
        <f t="shared" si="208"/>
        <v>-30.3030303030303</v>
      </c>
      <c r="N249" s="449" t="s">
        <v>347</v>
      </c>
    </row>
    <row r="250" s="38" customFormat="1" customHeight="1" spans="1:14">
      <c r="A250" s="441">
        <v>21002</v>
      </c>
      <c r="B250" s="147" t="s">
        <v>348</v>
      </c>
      <c r="C250" s="442">
        <f t="shared" ref="C250:G250" si="223">C251+C252+C253</f>
        <v>581.1</v>
      </c>
      <c r="D250" s="442">
        <f t="shared" si="223"/>
        <v>90</v>
      </c>
      <c r="E250" s="442">
        <f t="shared" si="223"/>
        <v>671.1</v>
      </c>
      <c r="F250" s="442">
        <f t="shared" si="223"/>
        <v>3.9</v>
      </c>
      <c r="G250" s="442">
        <f t="shared" si="223"/>
        <v>0</v>
      </c>
      <c r="H250" s="442">
        <v>149.04</v>
      </c>
      <c r="I250" s="442">
        <f t="shared" si="222"/>
        <v>5</v>
      </c>
      <c r="J250" s="442">
        <f t="shared" ref="J250:L250" si="224">J251+J252+J253</f>
        <v>734.04</v>
      </c>
      <c r="K250" s="442">
        <f t="shared" si="224"/>
        <v>95</v>
      </c>
      <c r="L250" s="442">
        <f t="shared" si="224"/>
        <v>829.04</v>
      </c>
      <c r="M250" s="447">
        <f t="shared" si="208"/>
        <v>23.5344956042318</v>
      </c>
      <c r="N250" s="448"/>
    </row>
    <row r="251" s="38" customFormat="1" customHeight="1" spans="1:14">
      <c r="A251" s="441">
        <v>2100201</v>
      </c>
      <c r="B251" s="147" t="s">
        <v>349</v>
      </c>
      <c r="C251" s="442">
        <v>579.83</v>
      </c>
      <c r="D251" s="442">
        <v>0</v>
      </c>
      <c r="E251" s="442">
        <f t="shared" ref="E251:E253" si="225">C251+D251</f>
        <v>579.83</v>
      </c>
      <c r="F251" s="442">
        <v>0</v>
      </c>
      <c r="G251" s="442">
        <v>0</v>
      </c>
      <c r="H251" s="442">
        <v>149.04</v>
      </c>
      <c r="I251" s="442">
        <f t="shared" si="222"/>
        <v>0</v>
      </c>
      <c r="J251" s="442">
        <v>728.87</v>
      </c>
      <c r="K251" s="442"/>
      <c r="L251" s="442">
        <f t="shared" ref="L251:L253" si="226">J251+K251</f>
        <v>728.87</v>
      </c>
      <c r="M251" s="447">
        <f t="shared" si="208"/>
        <v>25.7040856802856</v>
      </c>
      <c r="N251" s="448" t="s">
        <v>119</v>
      </c>
    </row>
    <row r="252" s="38" customFormat="1" ht="33" customHeight="1" spans="1:14">
      <c r="A252" s="441">
        <v>2100206</v>
      </c>
      <c r="B252" s="147" t="s">
        <v>350</v>
      </c>
      <c r="C252" s="442">
        <v>0</v>
      </c>
      <c r="D252" s="442">
        <v>0</v>
      </c>
      <c r="E252" s="442">
        <f t="shared" si="225"/>
        <v>0</v>
      </c>
      <c r="F252" s="442">
        <v>3.9</v>
      </c>
      <c r="G252" s="442">
        <v>0</v>
      </c>
      <c r="H252" s="442">
        <v>0</v>
      </c>
      <c r="I252" s="442">
        <f t="shared" si="222"/>
        <v>0</v>
      </c>
      <c r="J252" s="442">
        <v>3.9</v>
      </c>
      <c r="K252" s="442"/>
      <c r="L252" s="442">
        <f t="shared" si="226"/>
        <v>3.9</v>
      </c>
      <c r="M252" s="447">
        <v>100</v>
      </c>
      <c r="N252" s="448" t="s">
        <v>351</v>
      </c>
    </row>
    <row r="253" s="38" customFormat="1" customHeight="1" spans="1:14">
      <c r="A253" s="441">
        <v>2100299</v>
      </c>
      <c r="B253" s="147" t="s">
        <v>352</v>
      </c>
      <c r="C253" s="442">
        <v>1.27</v>
      </c>
      <c r="D253" s="442">
        <v>90</v>
      </c>
      <c r="E253" s="442">
        <f t="shared" si="225"/>
        <v>91.27</v>
      </c>
      <c r="F253" s="442">
        <v>0</v>
      </c>
      <c r="G253" s="442">
        <v>0</v>
      </c>
      <c r="H253" s="442">
        <v>0</v>
      </c>
      <c r="I253" s="442">
        <f t="shared" si="222"/>
        <v>5</v>
      </c>
      <c r="J253" s="442">
        <v>1.27</v>
      </c>
      <c r="K253" s="442">
        <v>95</v>
      </c>
      <c r="L253" s="442">
        <f t="shared" si="226"/>
        <v>96.27</v>
      </c>
      <c r="M253" s="447">
        <f t="shared" ref="M253:M289" si="227">(L253-E253)/E253*100</f>
        <v>5.47825134217158</v>
      </c>
      <c r="N253" s="448">
        <v>0</v>
      </c>
    </row>
    <row r="254" s="38" customFormat="1" customHeight="1" spans="1:14">
      <c r="A254" s="441">
        <v>21003</v>
      </c>
      <c r="B254" s="147" t="s">
        <v>353</v>
      </c>
      <c r="C254" s="442">
        <f t="shared" ref="C254:F254" si="228">C255+C256+C257</f>
        <v>1390.1</v>
      </c>
      <c r="D254" s="442">
        <f t="shared" si="228"/>
        <v>354.89</v>
      </c>
      <c r="E254" s="442">
        <f t="shared" si="228"/>
        <v>1744.99</v>
      </c>
      <c r="F254" s="442">
        <f t="shared" si="228"/>
        <v>0</v>
      </c>
      <c r="G254" s="442"/>
      <c r="H254" s="442">
        <v>125.38</v>
      </c>
      <c r="I254" s="442">
        <f t="shared" si="222"/>
        <v>4</v>
      </c>
      <c r="J254" s="442">
        <f t="shared" ref="J254:L254" si="229">J255+J256+J257</f>
        <v>1515.51</v>
      </c>
      <c r="K254" s="442">
        <f t="shared" si="229"/>
        <v>358.89</v>
      </c>
      <c r="L254" s="442">
        <f t="shared" si="229"/>
        <v>1874.4</v>
      </c>
      <c r="M254" s="447">
        <f t="shared" si="227"/>
        <v>7.41608834434583</v>
      </c>
      <c r="N254" s="449"/>
    </row>
    <row r="255" s="38" customFormat="1" customHeight="1" spans="1:14">
      <c r="A255" s="441">
        <v>2100301</v>
      </c>
      <c r="B255" s="147" t="s">
        <v>354</v>
      </c>
      <c r="C255" s="442">
        <v>359.23</v>
      </c>
      <c r="D255" s="442">
        <v>0</v>
      </c>
      <c r="E255" s="442">
        <f t="shared" ref="E255:E257" si="230">C255+D255</f>
        <v>359.23</v>
      </c>
      <c r="F255" s="442">
        <v>0</v>
      </c>
      <c r="G255" s="442"/>
      <c r="H255" s="442">
        <v>93.96</v>
      </c>
      <c r="I255" s="442">
        <f t="shared" si="222"/>
        <v>0</v>
      </c>
      <c r="J255" s="442">
        <v>453.22</v>
      </c>
      <c r="K255" s="442"/>
      <c r="L255" s="442">
        <f t="shared" ref="L255:L257" si="231">J255+K255</f>
        <v>453.22</v>
      </c>
      <c r="M255" s="447">
        <f t="shared" si="227"/>
        <v>26.1642958550232</v>
      </c>
      <c r="N255" s="448" t="s">
        <v>119</v>
      </c>
    </row>
    <row r="256" s="38" customFormat="1" customHeight="1" spans="1:14">
      <c r="A256" s="441">
        <v>2100302</v>
      </c>
      <c r="B256" s="147" t="s">
        <v>355</v>
      </c>
      <c r="C256" s="442">
        <v>125.66</v>
      </c>
      <c r="D256" s="442">
        <v>0</v>
      </c>
      <c r="E256" s="442">
        <f t="shared" si="230"/>
        <v>125.66</v>
      </c>
      <c r="F256" s="442">
        <v>0</v>
      </c>
      <c r="G256" s="442">
        <v>0</v>
      </c>
      <c r="H256" s="442">
        <v>31.42</v>
      </c>
      <c r="I256" s="442">
        <f t="shared" si="222"/>
        <v>0</v>
      </c>
      <c r="J256" s="442">
        <v>157.08</v>
      </c>
      <c r="K256" s="442"/>
      <c r="L256" s="442">
        <f t="shared" si="231"/>
        <v>157.08</v>
      </c>
      <c r="M256" s="447">
        <f t="shared" si="227"/>
        <v>25.0039789909279</v>
      </c>
      <c r="N256" s="448" t="s">
        <v>119</v>
      </c>
    </row>
    <row r="257" s="38" customFormat="1" ht="35" customHeight="1" spans="1:14">
      <c r="A257" s="441">
        <v>2100399</v>
      </c>
      <c r="B257" s="147" t="s">
        <v>356</v>
      </c>
      <c r="C257" s="442">
        <v>905.21</v>
      </c>
      <c r="D257" s="442">
        <v>354.89</v>
      </c>
      <c r="E257" s="442">
        <f t="shared" si="230"/>
        <v>1260.1</v>
      </c>
      <c r="F257" s="442">
        <v>0</v>
      </c>
      <c r="G257" s="442">
        <v>0</v>
      </c>
      <c r="H257" s="442">
        <v>0</v>
      </c>
      <c r="I257" s="442">
        <f t="shared" si="222"/>
        <v>4</v>
      </c>
      <c r="J257" s="442">
        <v>905.21</v>
      </c>
      <c r="K257" s="442">
        <v>358.89</v>
      </c>
      <c r="L257" s="442">
        <f t="shared" si="231"/>
        <v>1264.1</v>
      </c>
      <c r="M257" s="447">
        <f t="shared" si="227"/>
        <v>0.317435124196492</v>
      </c>
      <c r="N257" s="448">
        <v>0</v>
      </c>
    </row>
    <row r="258" s="38" customFormat="1" customHeight="1" spans="1:14">
      <c r="A258" s="441">
        <v>21004</v>
      </c>
      <c r="B258" s="147" t="s">
        <v>357</v>
      </c>
      <c r="C258" s="442">
        <f t="shared" ref="C258:G258" si="232">C259+C260+C261+C262+C263+C264</f>
        <v>3766.28</v>
      </c>
      <c r="D258" s="442">
        <f t="shared" si="232"/>
        <v>2455.66</v>
      </c>
      <c r="E258" s="442">
        <f t="shared" si="232"/>
        <v>6221.94</v>
      </c>
      <c r="F258" s="442">
        <f t="shared" si="232"/>
        <v>50</v>
      </c>
      <c r="G258" s="442">
        <f t="shared" si="232"/>
        <v>0</v>
      </c>
      <c r="H258" s="442">
        <v>1034.57</v>
      </c>
      <c r="I258" s="442">
        <f t="shared" si="222"/>
        <v>284.760000000001</v>
      </c>
      <c r="J258" s="442">
        <f t="shared" ref="J258:L258" si="233">J259+J260+J261+J262+J263+J264</f>
        <v>4853.86</v>
      </c>
      <c r="K258" s="442">
        <f t="shared" si="233"/>
        <v>2740.42</v>
      </c>
      <c r="L258" s="442">
        <f t="shared" si="233"/>
        <v>7594.28</v>
      </c>
      <c r="M258" s="447">
        <f t="shared" si="227"/>
        <v>22.0564647039348</v>
      </c>
      <c r="N258" s="448"/>
    </row>
    <row r="259" s="38" customFormat="1" customHeight="1" spans="1:14">
      <c r="A259" s="441">
        <v>2100401</v>
      </c>
      <c r="B259" s="147" t="s">
        <v>358</v>
      </c>
      <c r="C259" s="442">
        <v>1353.08</v>
      </c>
      <c r="D259" s="442">
        <v>208</v>
      </c>
      <c r="E259" s="442">
        <f t="shared" ref="E259:E264" si="234">C259+D259</f>
        <v>1561.08</v>
      </c>
      <c r="F259" s="442">
        <v>0</v>
      </c>
      <c r="G259" s="442">
        <v>0</v>
      </c>
      <c r="H259" s="442">
        <v>0.01</v>
      </c>
      <c r="I259" s="442">
        <f t="shared" si="222"/>
        <v>0</v>
      </c>
      <c r="J259" s="442">
        <v>1353.1</v>
      </c>
      <c r="K259" s="442">
        <v>208</v>
      </c>
      <c r="L259" s="442">
        <f t="shared" ref="L259:L264" si="235">J259+K259</f>
        <v>1561.1</v>
      </c>
      <c r="M259" s="447">
        <f t="shared" si="227"/>
        <v>0.00128116432213479</v>
      </c>
      <c r="N259" s="448">
        <v>0</v>
      </c>
    </row>
    <row r="260" s="38" customFormat="1" ht="46" customHeight="1" spans="1:14">
      <c r="A260" s="441">
        <v>2100403</v>
      </c>
      <c r="B260" s="147" t="s">
        <v>359</v>
      </c>
      <c r="C260" s="442">
        <v>178.26</v>
      </c>
      <c r="D260" s="442">
        <v>31</v>
      </c>
      <c r="E260" s="442">
        <f t="shared" si="234"/>
        <v>209.26</v>
      </c>
      <c r="F260" s="442">
        <v>0</v>
      </c>
      <c r="G260" s="442">
        <v>0</v>
      </c>
      <c r="H260" s="442">
        <v>1</v>
      </c>
      <c r="I260" s="442">
        <f t="shared" si="222"/>
        <v>0</v>
      </c>
      <c r="J260" s="442">
        <v>179.25</v>
      </c>
      <c r="K260" s="442">
        <v>31</v>
      </c>
      <c r="L260" s="442">
        <f t="shared" si="235"/>
        <v>210.25</v>
      </c>
      <c r="M260" s="447">
        <f t="shared" si="227"/>
        <v>0.473095670457808</v>
      </c>
      <c r="N260" s="448" t="s">
        <v>360</v>
      </c>
    </row>
    <row r="261" s="38" customFormat="1" ht="36" customHeight="1" spans="1:14">
      <c r="A261" s="441">
        <v>2100408</v>
      </c>
      <c r="B261" s="147" t="s">
        <v>361</v>
      </c>
      <c r="C261" s="442">
        <v>779.85</v>
      </c>
      <c r="D261" s="442">
        <v>1929.84</v>
      </c>
      <c r="E261" s="442">
        <f t="shared" si="234"/>
        <v>2709.69</v>
      </c>
      <c r="F261" s="442">
        <v>0</v>
      </c>
      <c r="G261" s="442">
        <v>0</v>
      </c>
      <c r="H261" s="442">
        <v>23.39</v>
      </c>
      <c r="I261" s="442">
        <f t="shared" si="222"/>
        <v>145.54</v>
      </c>
      <c r="J261" s="442">
        <v>803.24</v>
      </c>
      <c r="K261" s="442">
        <v>2075.38</v>
      </c>
      <c r="L261" s="442">
        <f t="shared" si="235"/>
        <v>2878.62</v>
      </c>
      <c r="M261" s="447">
        <f t="shared" si="227"/>
        <v>6.23429248364203</v>
      </c>
      <c r="N261" s="448" t="s">
        <v>362</v>
      </c>
    </row>
    <row r="262" s="38" customFormat="1" customHeight="1" spans="1:14">
      <c r="A262" s="441">
        <v>2100409</v>
      </c>
      <c r="B262" s="147" t="s">
        <v>363</v>
      </c>
      <c r="C262" s="442">
        <v>261.78</v>
      </c>
      <c r="D262" s="442">
        <v>96.93</v>
      </c>
      <c r="E262" s="442">
        <f t="shared" si="234"/>
        <v>358.71</v>
      </c>
      <c r="F262" s="442">
        <v>0</v>
      </c>
      <c r="G262" s="442">
        <v>0</v>
      </c>
      <c r="H262" s="442">
        <v>0</v>
      </c>
      <c r="I262" s="442">
        <f t="shared" si="222"/>
        <v>-31.45</v>
      </c>
      <c r="J262" s="442">
        <v>261.78</v>
      </c>
      <c r="K262" s="442">
        <v>65.48</v>
      </c>
      <c r="L262" s="442">
        <f t="shared" si="235"/>
        <v>327.26</v>
      </c>
      <c r="M262" s="447">
        <f t="shared" si="227"/>
        <v>-8.76752808675531</v>
      </c>
      <c r="N262" s="448">
        <v>0</v>
      </c>
    </row>
    <row r="263" s="38" customFormat="1" ht="47" customHeight="1" spans="1:14">
      <c r="A263" s="441">
        <v>2100410</v>
      </c>
      <c r="B263" s="147" t="s">
        <v>364</v>
      </c>
      <c r="C263" s="442">
        <v>1032.31</v>
      </c>
      <c r="D263" s="442">
        <v>0</v>
      </c>
      <c r="E263" s="442">
        <f t="shared" si="234"/>
        <v>1032.31</v>
      </c>
      <c r="F263" s="442">
        <v>0</v>
      </c>
      <c r="G263" s="442">
        <v>0</v>
      </c>
      <c r="H263" s="442">
        <v>1000.01</v>
      </c>
      <c r="I263" s="442">
        <f t="shared" si="222"/>
        <v>138.78</v>
      </c>
      <c r="J263" s="442">
        <v>2032.33</v>
      </c>
      <c r="K263" s="442">
        <v>138.78</v>
      </c>
      <c r="L263" s="442">
        <f t="shared" si="235"/>
        <v>2171.11</v>
      </c>
      <c r="M263" s="447">
        <f t="shared" si="227"/>
        <v>110.315699741357</v>
      </c>
      <c r="N263" s="448" t="s">
        <v>365</v>
      </c>
    </row>
    <row r="264" s="38" customFormat="1" ht="45" customHeight="1" spans="1:14">
      <c r="A264" s="441">
        <v>2100499</v>
      </c>
      <c r="B264" s="147" t="s">
        <v>366</v>
      </c>
      <c r="C264" s="442">
        <f>164-3</f>
        <v>161</v>
      </c>
      <c r="D264" s="442">
        <v>189.89</v>
      </c>
      <c r="E264" s="442">
        <f t="shared" si="234"/>
        <v>350.89</v>
      </c>
      <c r="F264" s="442">
        <v>50</v>
      </c>
      <c r="G264" s="442">
        <v>0</v>
      </c>
      <c r="H264" s="442">
        <f>10.16+3</f>
        <v>13.16</v>
      </c>
      <c r="I264" s="442">
        <f t="shared" si="222"/>
        <v>31.89</v>
      </c>
      <c r="J264" s="442">
        <v>224.16</v>
      </c>
      <c r="K264" s="442">
        <v>221.78</v>
      </c>
      <c r="L264" s="442">
        <f t="shared" si="235"/>
        <v>445.94</v>
      </c>
      <c r="M264" s="447">
        <f t="shared" si="227"/>
        <v>27.0882612784633</v>
      </c>
      <c r="N264" s="448" t="s">
        <v>367</v>
      </c>
    </row>
    <row r="265" s="38" customFormat="1" customHeight="1" spans="1:14">
      <c r="A265" s="441">
        <v>21006</v>
      </c>
      <c r="B265" s="147" t="s">
        <v>368</v>
      </c>
      <c r="C265" s="442">
        <f t="shared" ref="C265:G265" si="236">C266</f>
        <v>0.78</v>
      </c>
      <c r="D265" s="442">
        <f t="shared" si="236"/>
        <v>5</v>
      </c>
      <c r="E265" s="442">
        <f t="shared" si="236"/>
        <v>5.78</v>
      </c>
      <c r="F265" s="442">
        <f t="shared" si="236"/>
        <v>0</v>
      </c>
      <c r="G265" s="442">
        <f t="shared" si="236"/>
        <v>0</v>
      </c>
      <c r="H265" s="442">
        <v>0</v>
      </c>
      <c r="I265" s="442">
        <f t="shared" si="222"/>
        <v>0</v>
      </c>
      <c r="J265" s="442">
        <f t="shared" ref="J265:L265" si="237">J266</f>
        <v>0.78</v>
      </c>
      <c r="K265" s="442">
        <f t="shared" si="237"/>
        <v>5</v>
      </c>
      <c r="L265" s="442">
        <f t="shared" si="237"/>
        <v>5.78</v>
      </c>
      <c r="M265" s="447">
        <f t="shared" si="227"/>
        <v>0</v>
      </c>
      <c r="N265" s="448"/>
    </row>
    <row r="266" s="38" customFormat="1" customHeight="1" spans="1:14">
      <c r="A266" s="441">
        <v>2100699</v>
      </c>
      <c r="B266" s="147" t="s">
        <v>369</v>
      </c>
      <c r="C266" s="442">
        <v>0.78</v>
      </c>
      <c r="D266" s="442">
        <v>5</v>
      </c>
      <c r="E266" s="442">
        <f t="shared" ref="E266:E269" si="238">C266+D266</f>
        <v>5.78</v>
      </c>
      <c r="F266" s="442">
        <v>0</v>
      </c>
      <c r="G266" s="442">
        <v>0</v>
      </c>
      <c r="H266" s="442">
        <v>0</v>
      </c>
      <c r="I266" s="442">
        <f t="shared" si="222"/>
        <v>0</v>
      </c>
      <c r="J266" s="442">
        <v>0.78</v>
      </c>
      <c r="K266" s="442">
        <v>5</v>
      </c>
      <c r="L266" s="442">
        <f t="shared" ref="L266:L269" si="239">J266+K266</f>
        <v>5.78</v>
      </c>
      <c r="M266" s="447">
        <f t="shared" si="227"/>
        <v>0</v>
      </c>
      <c r="N266" s="448">
        <v>0</v>
      </c>
    </row>
    <row r="267" s="38" customFormat="1" customHeight="1" spans="1:14">
      <c r="A267" s="441">
        <v>21007</v>
      </c>
      <c r="B267" s="147" t="s">
        <v>370</v>
      </c>
      <c r="C267" s="442">
        <f t="shared" ref="C267:F267" si="240">C268+C269</f>
        <v>222.4</v>
      </c>
      <c r="D267" s="442">
        <f t="shared" si="240"/>
        <v>122.46</v>
      </c>
      <c r="E267" s="442">
        <f t="shared" si="240"/>
        <v>344.86</v>
      </c>
      <c r="F267" s="442">
        <f t="shared" si="240"/>
        <v>-93.23</v>
      </c>
      <c r="G267" s="442"/>
      <c r="H267" s="442">
        <v>0.87</v>
      </c>
      <c r="I267" s="442">
        <f t="shared" si="222"/>
        <v>1.2</v>
      </c>
      <c r="J267" s="442">
        <f t="shared" ref="J267:L267" si="241">J268+J269</f>
        <v>130.04</v>
      </c>
      <c r="K267" s="442">
        <f t="shared" si="241"/>
        <v>123.66</v>
      </c>
      <c r="L267" s="442">
        <f t="shared" si="241"/>
        <v>253.7</v>
      </c>
      <c r="M267" s="447">
        <f t="shared" si="227"/>
        <v>-26.4339152119701</v>
      </c>
      <c r="N267" s="449"/>
    </row>
    <row r="268" s="38" customFormat="1" customHeight="1" spans="1:14">
      <c r="A268" s="441">
        <v>2100717</v>
      </c>
      <c r="B268" s="147" t="s">
        <v>371</v>
      </c>
      <c r="C268" s="442">
        <v>17.45</v>
      </c>
      <c r="D268" s="442">
        <v>0</v>
      </c>
      <c r="E268" s="442">
        <f t="shared" si="238"/>
        <v>17.45</v>
      </c>
      <c r="F268" s="442">
        <v>0</v>
      </c>
      <c r="G268" s="442">
        <v>0</v>
      </c>
      <c r="H268" s="442">
        <v>0</v>
      </c>
      <c r="I268" s="442">
        <f t="shared" si="222"/>
        <v>0</v>
      </c>
      <c r="J268" s="442">
        <v>17.45</v>
      </c>
      <c r="K268" s="442"/>
      <c r="L268" s="442">
        <f t="shared" si="239"/>
        <v>17.45</v>
      </c>
      <c r="M268" s="447">
        <f t="shared" si="227"/>
        <v>0</v>
      </c>
      <c r="N268" s="448">
        <v>0</v>
      </c>
    </row>
    <row r="269" s="38" customFormat="1" ht="31" customHeight="1" spans="1:14">
      <c r="A269" s="441">
        <v>2100799</v>
      </c>
      <c r="B269" s="147" t="s">
        <v>372</v>
      </c>
      <c r="C269" s="442">
        <v>204.95</v>
      </c>
      <c r="D269" s="442">
        <v>122.46</v>
      </c>
      <c r="E269" s="442">
        <f t="shared" si="238"/>
        <v>327.41</v>
      </c>
      <c r="F269" s="442">
        <v>-93.23</v>
      </c>
      <c r="G269" s="442"/>
      <c r="H269" s="442">
        <v>0.87</v>
      </c>
      <c r="I269" s="442">
        <f t="shared" si="222"/>
        <v>1.2</v>
      </c>
      <c r="J269" s="442">
        <v>112.59</v>
      </c>
      <c r="K269" s="442">
        <v>123.66</v>
      </c>
      <c r="L269" s="442">
        <f t="shared" si="239"/>
        <v>236.25</v>
      </c>
      <c r="M269" s="447">
        <f t="shared" si="227"/>
        <v>-27.8427659509483</v>
      </c>
      <c r="N269" s="449" t="s">
        <v>373</v>
      </c>
    </row>
    <row r="270" s="38" customFormat="1" customHeight="1" spans="1:14">
      <c r="A270" s="441">
        <v>21011</v>
      </c>
      <c r="B270" s="147" t="s">
        <v>374</v>
      </c>
      <c r="C270" s="442">
        <f t="shared" ref="C270:G270" si="242">C271+C272+C273</f>
        <v>921.5</v>
      </c>
      <c r="D270" s="442">
        <f t="shared" si="242"/>
        <v>0</v>
      </c>
      <c r="E270" s="442">
        <f t="shared" si="242"/>
        <v>921.5</v>
      </c>
      <c r="F270" s="442">
        <f t="shared" si="242"/>
        <v>-39.52</v>
      </c>
      <c r="G270" s="442">
        <f t="shared" si="242"/>
        <v>0</v>
      </c>
      <c r="H270" s="442">
        <v>1062.92</v>
      </c>
      <c r="I270" s="442">
        <f t="shared" si="222"/>
        <v>0</v>
      </c>
      <c r="J270" s="442">
        <f t="shared" ref="J270:L270" si="243">J271+J272+J273</f>
        <v>1944.91</v>
      </c>
      <c r="K270" s="442">
        <f t="shared" si="243"/>
        <v>0</v>
      </c>
      <c r="L270" s="442">
        <f t="shared" si="243"/>
        <v>1944.91</v>
      </c>
      <c r="M270" s="447">
        <f t="shared" si="227"/>
        <v>111.059142702116</v>
      </c>
      <c r="N270" s="448"/>
    </row>
    <row r="271" s="38" customFormat="1" customHeight="1" spans="1:14">
      <c r="A271" s="404">
        <v>2101101</v>
      </c>
      <c r="B271" s="450" t="s">
        <v>375</v>
      </c>
      <c r="C271" s="442">
        <v>528.7</v>
      </c>
      <c r="D271" s="442">
        <v>0</v>
      </c>
      <c r="E271" s="442">
        <f t="shared" ref="E271:E273" si="244">C271+D271</f>
        <v>528.7</v>
      </c>
      <c r="F271" s="442">
        <v>0.1</v>
      </c>
      <c r="G271" s="442">
        <v>0</v>
      </c>
      <c r="H271" s="442">
        <v>675.21</v>
      </c>
      <c r="I271" s="442">
        <f t="shared" si="222"/>
        <v>0</v>
      </c>
      <c r="J271" s="442">
        <v>1204</v>
      </c>
      <c r="K271" s="442"/>
      <c r="L271" s="442">
        <f t="shared" ref="L271:L276" si="245">J271+K271</f>
        <v>1204</v>
      </c>
      <c r="M271" s="447">
        <f t="shared" si="227"/>
        <v>127.728390391526</v>
      </c>
      <c r="N271" s="448" t="s">
        <v>119</v>
      </c>
    </row>
    <row r="272" s="38" customFormat="1" ht="31" customHeight="1" spans="1:14">
      <c r="A272" s="450" t="s">
        <v>376</v>
      </c>
      <c r="B272" s="450" t="s">
        <v>377</v>
      </c>
      <c r="C272" s="442">
        <v>157.2</v>
      </c>
      <c r="D272" s="442"/>
      <c r="E272" s="442">
        <f t="shared" si="244"/>
        <v>157.2</v>
      </c>
      <c r="F272" s="442">
        <v>-29.62</v>
      </c>
      <c r="G272" s="442">
        <v>0</v>
      </c>
      <c r="H272" s="442">
        <v>164.32</v>
      </c>
      <c r="I272" s="442">
        <f t="shared" si="222"/>
        <v>0</v>
      </c>
      <c r="J272" s="442">
        <v>291.94</v>
      </c>
      <c r="K272" s="442"/>
      <c r="L272" s="442">
        <f>K272+J272</f>
        <v>291.94</v>
      </c>
      <c r="M272" s="447">
        <f t="shared" si="227"/>
        <v>85.7124681933842</v>
      </c>
      <c r="N272" s="448" t="s">
        <v>378</v>
      </c>
    </row>
    <row r="273" s="38" customFormat="1" ht="31" customHeight="1" spans="1:14">
      <c r="A273" s="441">
        <v>2101199</v>
      </c>
      <c r="B273" s="147" t="s">
        <v>379</v>
      </c>
      <c r="C273" s="442">
        <v>235.6</v>
      </c>
      <c r="D273" s="442">
        <v>0</v>
      </c>
      <c r="E273" s="442">
        <f t="shared" si="244"/>
        <v>235.6</v>
      </c>
      <c r="F273" s="442">
        <v>-10</v>
      </c>
      <c r="G273" s="442">
        <v>0</v>
      </c>
      <c r="H273" s="442">
        <v>223.39</v>
      </c>
      <c r="I273" s="442">
        <f t="shared" si="222"/>
        <v>0</v>
      </c>
      <c r="J273" s="442">
        <v>448.97</v>
      </c>
      <c r="K273" s="442"/>
      <c r="L273" s="442">
        <f t="shared" si="245"/>
        <v>448.97</v>
      </c>
      <c r="M273" s="447">
        <f t="shared" si="227"/>
        <v>90.5645161290323</v>
      </c>
      <c r="N273" s="448" t="s">
        <v>380</v>
      </c>
    </row>
    <row r="274" s="38" customFormat="1" ht="34" customHeight="1" spans="1:14">
      <c r="A274" s="441">
        <v>21012</v>
      </c>
      <c r="B274" s="147" t="s">
        <v>381</v>
      </c>
      <c r="C274" s="442">
        <f t="shared" ref="C274:F274" si="246">C276+C275</f>
        <v>926.88</v>
      </c>
      <c r="D274" s="442">
        <f t="shared" si="246"/>
        <v>11965.2554</v>
      </c>
      <c r="E274" s="442">
        <f t="shared" si="246"/>
        <v>12892.1354</v>
      </c>
      <c r="F274" s="442">
        <f t="shared" si="246"/>
        <v>0</v>
      </c>
      <c r="G274" s="442"/>
      <c r="H274" s="442">
        <v>0</v>
      </c>
      <c r="I274" s="442">
        <f t="shared" si="222"/>
        <v>537</v>
      </c>
      <c r="J274" s="442">
        <f t="shared" ref="J274:L274" si="247">J276+J275</f>
        <v>926.88</v>
      </c>
      <c r="K274" s="442">
        <f t="shared" si="247"/>
        <v>12502.2554</v>
      </c>
      <c r="L274" s="442">
        <f t="shared" si="247"/>
        <v>13429.1354</v>
      </c>
      <c r="M274" s="447">
        <f t="shared" si="227"/>
        <v>4.16533012831994</v>
      </c>
      <c r="N274" s="449"/>
    </row>
    <row r="275" s="38" customFormat="1" ht="34" customHeight="1" spans="1:14">
      <c r="A275" s="441">
        <v>2101201</v>
      </c>
      <c r="B275" s="451" t="s">
        <v>382</v>
      </c>
      <c r="C275" s="442">
        <v>1.82</v>
      </c>
      <c r="D275" s="442">
        <v>0</v>
      </c>
      <c r="E275" s="442">
        <f t="shared" ref="E275:E278" si="248">C275+D275</f>
        <v>1.82</v>
      </c>
      <c r="F275" s="442">
        <v>0</v>
      </c>
      <c r="G275" s="442">
        <v>0</v>
      </c>
      <c r="H275" s="442">
        <v>0</v>
      </c>
      <c r="I275" s="442">
        <f t="shared" si="222"/>
        <v>0</v>
      </c>
      <c r="J275" s="442">
        <v>1.82</v>
      </c>
      <c r="K275" s="442"/>
      <c r="L275" s="442">
        <f t="shared" si="245"/>
        <v>1.82</v>
      </c>
      <c r="M275" s="447">
        <f t="shared" si="227"/>
        <v>0</v>
      </c>
      <c r="N275" s="448">
        <v>0</v>
      </c>
    </row>
    <row r="276" s="38" customFormat="1" ht="34" customHeight="1" spans="1:14">
      <c r="A276" s="441">
        <v>2101202</v>
      </c>
      <c r="B276" s="147" t="s">
        <v>383</v>
      </c>
      <c r="C276" s="442">
        <v>925.06</v>
      </c>
      <c r="D276" s="442">
        <v>11965.2554</v>
      </c>
      <c r="E276" s="442">
        <f t="shared" si="248"/>
        <v>12890.3154</v>
      </c>
      <c r="F276" s="442">
        <v>0</v>
      </c>
      <c r="G276" s="442">
        <v>0</v>
      </c>
      <c r="H276" s="442">
        <v>0</v>
      </c>
      <c r="I276" s="442">
        <f t="shared" si="222"/>
        <v>537</v>
      </c>
      <c r="J276" s="442">
        <v>925.06</v>
      </c>
      <c r="K276" s="442">
        <v>12502.2554</v>
      </c>
      <c r="L276" s="442">
        <f t="shared" si="245"/>
        <v>13427.3154</v>
      </c>
      <c r="M276" s="447">
        <f t="shared" si="227"/>
        <v>4.16591823657007</v>
      </c>
      <c r="N276" s="448">
        <v>0</v>
      </c>
    </row>
    <row r="277" s="38" customFormat="1" customHeight="1" spans="1:14">
      <c r="A277" s="441">
        <v>21013</v>
      </c>
      <c r="B277" s="147" t="s">
        <v>384</v>
      </c>
      <c r="C277" s="442">
        <f t="shared" ref="C277:F277" si="249">C278</f>
        <v>0</v>
      </c>
      <c r="D277" s="442">
        <f t="shared" si="249"/>
        <v>899</v>
      </c>
      <c r="E277" s="442">
        <f t="shared" si="249"/>
        <v>899</v>
      </c>
      <c r="F277" s="442">
        <f t="shared" si="249"/>
        <v>0</v>
      </c>
      <c r="G277" s="442"/>
      <c r="H277" s="442">
        <v>0</v>
      </c>
      <c r="I277" s="442">
        <f t="shared" si="222"/>
        <v>0</v>
      </c>
      <c r="J277" s="442">
        <f t="shared" ref="J277:L277" si="250">J278</f>
        <v>0</v>
      </c>
      <c r="K277" s="442">
        <f t="shared" si="250"/>
        <v>899</v>
      </c>
      <c r="L277" s="442">
        <f t="shared" si="250"/>
        <v>899</v>
      </c>
      <c r="M277" s="447">
        <f t="shared" si="227"/>
        <v>0</v>
      </c>
      <c r="N277" s="449"/>
    </row>
    <row r="278" s="38" customFormat="1" customHeight="1" spans="1:14">
      <c r="A278" s="441">
        <v>2101301</v>
      </c>
      <c r="B278" s="147" t="s">
        <v>354</v>
      </c>
      <c r="C278" s="442">
        <v>0</v>
      </c>
      <c r="D278" s="442">
        <v>899</v>
      </c>
      <c r="E278" s="442">
        <f t="shared" si="248"/>
        <v>899</v>
      </c>
      <c r="F278" s="442">
        <v>0</v>
      </c>
      <c r="G278" s="442"/>
      <c r="H278" s="442">
        <v>0</v>
      </c>
      <c r="I278" s="442">
        <f t="shared" si="222"/>
        <v>0</v>
      </c>
      <c r="J278" s="442">
        <v>0</v>
      </c>
      <c r="K278" s="442">
        <v>899</v>
      </c>
      <c r="L278" s="442">
        <f t="shared" ref="L278:L282" si="251">J278+K278</f>
        <v>899</v>
      </c>
      <c r="M278" s="447">
        <f t="shared" si="227"/>
        <v>0</v>
      </c>
      <c r="N278" s="449"/>
    </row>
    <row r="279" s="38" customFormat="1" customHeight="1" spans="1:14">
      <c r="A279" s="441">
        <v>21014</v>
      </c>
      <c r="B279" s="147" t="s">
        <v>385</v>
      </c>
      <c r="C279" s="442">
        <f t="shared" ref="C279:F279" si="252">C280+0</f>
        <v>7.01</v>
      </c>
      <c r="D279" s="442">
        <f t="shared" si="252"/>
        <v>27.59</v>
      </c>
      <c r="E279" s="442">
        <f t="shared" si="252"/>
        <v>34.6</v>
      </c>
      <c r="F279" s="442">
        <f t="shared" si="252"/>
        <v>0</v>
      </c>
      <c r="G279" s="442"/>
      <c r="H279" s="442">
        <v>0</v>
      </c>
      <c r="I279" s="442">
        <f t="shared" si="222"/>
        <v>3.5</v>
      </c>
      <c r="J279" s="442">
        <f t="shared" ref="J279:L279" si="253">J280+0</f>
        <v>7.01</v>
      </c>
      <c r="K279" s="442">
        <f t="shared" si="253"/>
        <v>31.09</v>
      </c>
      <c r="L279" s="442">
        <f t="shared" si="253"/>
        <v>38.1</v>
      </c>
      <c r="M279" s="447">
        <f t="shared" si="227"/>
        <v>10.1156069364162</v>
      </c>
      <c r="N279" s="449"/>
    </row>
    <row r="280" s="38" customFormat="1" customHeight="1" spans="1:14">
      <c r="A280" s="441">
        <v>2101401</v>
      </c>
      <c r="B280" s="147" t="s">
        <v>386</v>
      </c>
      <c r="C280" s="442">
        <v>7.01</v>
      </c>
      <c r="D280" s="442">
        <v>27.59</v>
      </c>
      <c r="E280" s="442">
        <f t="shared" ref="E280:E284" si="254">C280+D280</f>
        <v>34.6</v>
      </c>
      <c r="F280" s="442">
        <v>0</v>
      </c>
      <c r="G280" s="442">
        <v>0</v>
      </c>
      <c r="H280" s="442">
        <v>0</v>
      </c>
      <c r="I280" s="442">
        <f t="shared" si="222"/>
        <v>3.5</v>
      </c>
      <c r="J280" s="442">
        <v>7.01</v>
      </c>
      <c r="K280" s="442">
        <v>31.09</v>
      </c>
      <c r="L280" s="442">
        <f t="shared" si="251"/>
        <v>38.1</v>
      </c>
      <c r="M280" s="447">
        <f t="shared" si="227"/>
        <v>10.1156069364162</v>
      </c>
      <c r="N280" s="448">
        <v>0</v>
      </c>
    </row>
    <row r="281" s="38" customFormat="1" customHeight="1" spans="1:14">
      <c r="A281" s="441">
        <v>21015</v>
      </c>
      <c r="B281" s="147" t="s">
        <v>387</v>
      </c>
      <c r="C281" s="442">
        <f t="shared" ref="C281:F281" si="255">C282</f>
        <v>40</v>
      </c>
      <c r="D281" s="442">
        <f t="shared" si="255"/>
        <v>0</v>
      </c>
      <c r="E281" s="442">
        <f t="shared" si="255"/>
        <v>40</v>
      </c>
      <c r="F281" s="442">
        <f t="shared" si="255"/>
        <v>0</v>
      </c>
      <c r="G281" s="442"/>
      <c r="H281" s="442">
        <v>0</v>
      </c>
      <c r="I281" s="442">
        <f t="shared" si="222"/>
        <v>0</v>
      </c>
      <c r="J281" s="442">
        <f t="shared" ref="J281:L281" si="256">J282</f>
        <v>40</v>
      </c>
      <c r="K281" s="442">
        <f t="shared" si="256"/>
        <v>0</v>
      </c>
      <c r="L281" s="442">
        <f t="shared" si="256"/>
        <v>40</v>
      </c>
      <c r="M281" s="447">
        <f t="shared" si="227"/>
        <v>0</v>
      </c>
      <c r="N281" s="449"/>
    </row>
    <row r="282" s="38" customFormat="1" customHeight="1" spans="1:14">
      <c r="A282" s="441">
        <v>2101504</v>
      </c>
      <c r="B282" s="147" t="s">
        <v>122</v>
      </c>
      <c r="C282" s="442">
        <v>40</v>
      </c>
      <c r="D282" s="442">
        <v>0</v>
      </c>
      <c r="E282" s="442">
        <f t="shared" si="254"/>
        <v>40</v>
      </c>
      <c r="F282" s="442">
        <v>0</v>
      </c>
      <c r="G282" s="442"/>
      <c r="H282" s="442">
        <v>0</v>
      </c>
      <c r="I282" s="442">
        <f t="shared" si="222"/>
        <v>0</v>
      </c>
      <c r="J282" s="442">
        <v>40</v>
      </c>
      <c r="K282" s="442"/>
      <c r="L282" s="442">
        <f t="shared" si="251"/>
        <v>40</v>
      </c>
      <c r="M282" s="447">
        <f t="shared" si="227"/>
        <v>0</v>
      </c>
      <c r="N282" s="449"/>
    </row>
    <row r="283" s="38" customFormat="1" customHeight="1" spans="1:14">
      <c r="A283" s="441">
        <v>21016</v>
      </c>
      <c r="B283" s="147" t="s">
        <v>388</v>
      </c>
      <c r="C283" s="442">
        <f t="shared" ref="C283:F283" si="257">C284</f>
        <v>69</v>
      </c>
      <c r="D283" s="442">
        <f t="shared" si="257"/>
        <v>118.15</v>
      </c>
      <c r="E283" s="442">
        <f t="shared" si="257"/>
        <v>187.15</v>
      </c>
      <c r="F283" s="442">
        <f t="shared" si="257"/>
        <v>0</v>
      </c>
      <c r="G283" s="442"/>
      <c r="H283" s="442">
        <v>0</v>
      </c>
      <c r="I283" s="442">
        <f t="shared" si="222"/>
        <v>0</v>
      </c>
      <c r="J283" s="442">
        <f t="shared" ref="J283:L283" si="258">J284</f>
        <v>69</v>
      </c>
      <c r="K283" s="442">
        <f t="shared" si="258"/>
        <v>118.15</v>
      </c>
      <c r="L283" s="442">
        <f t="shared" si="258"/>
        <v>187.15</v>
      </c>
      <c r="M283" s="447">
        <f t="shared" si="227"/>
        <v>0</v>
      </c>
      <c r="N283" s="449"/>
    </row>
    <row r="284" s="38" customFormat="1" customHeight="1" spans="1:14">
      <c r="A284" s="441">
        <v>2101601</v>
      </c>
      <c r="B284" s="147" t="s">
        <v>388</v>
      </c>
      <c r="C284" s="442">
        <v>69</v>
      </c>
      <c r="D284" s="442">
        <v>118.15</v>
      </c>
      <c r="E284" s="442">
        <f t="shared" si="254"/>
        <v>187.15</v>
      </c>
      <c r="F284" s="442">
        <v>0</v>
      </c>
      <c r="G284" s="442"/>
      <c r="H284" s="442">
        <v>0</v>
      </c>
      <c r="I284" s="442">
        <f t="shared" si="222"/>
        <v>0</v>
      </c>
      <c r="J284" s="442">
        <v>69</v>
      </c>
      <c r="K284" s="442">
        <v>118.15</v>
      </c>
      <c r="L284" s="442">
        <f t="shared" ref="L284:L289" si="259">J284+K284</f>
        <v>187.15</v>
      </c>
      <c r="M284" s="447">
        <f t="shared" si="227"/>
        <v>0</v>
      </c>
      <c r="N284" s="449"/>
    </row>
    <row r="285" s="38" customFormat="1" customHeight="1" spans="1:14">
      <c r="A285" s="441">
        <v>21099</v>
      </c>
      <c r="B285" s="147" t="s">
        <v>389</v>
      </c>
      <c r="C285" s="442">
        <f t="shared" ref="C285:F285" si="260">+C286</f>
        <v>234.08</v>
      </c>
      <c r="D285" s="442">
        <f t="shared" si="260"/>
        <v>20.618</v>
      </c>
      <c r="E285" s="442">
        <f t="shared" si="260"/>
        <v>254.698</v>
      </c>
      <c r="F285" s="442">
        <f t="shared" si="260"/>
        <v>0</v>
      </c>
      <c r="G285" s="442"/>
      <c r="H285" s="442">
        <v>-34.43</v>
      </c>
      <c r="I285" s="442">
        <f t="shared" si="222"/>
        <v>0</v>
      </c>
      <c r="J285" s="442">
        <f t="shared" ref="J285:L285" si="261">+J286</f>
        <v>196.65</v>
      </c>
      <c r="K285" s="442">
        <f t="shared" si="261"/>
        <v>20.618</v>
      </c>
      <c r="L285" s="442">
        <f t="shared" si="261"/>
        <v>217.268</v>
      </c>
      <c r="M285" s="447">
        <f t="shared" si="227"/>
        <v>-14.6958358526569</v>
      </c>
      <c r="N285" s="448"/>
    </row>
    <row r="286" s="38" customFormat="1" ht="33" customHeight="1" spans="1:14">
      <c r="A286" s="441">
        <v>2109999</v>
      </c>
      <c r="B286" s="147" t="s">
        <v>389</v>
      </c>
      <c r="C286" s="442">
        <f>231.08+3</f>
        <v>234.08</v>
      </c>
      <c r="D286" s="442">
        <v>20.618</v>
      </c>
      <c r="E286" s="442">
        <f t="shared" ref="E286:E291" si="262">C286+D286</f>
        <v>254.698</v>
      </c>
      <c r="F286" s="442">
        <v>0</v>
      </c>
      <c r="G286" s="442">
        <v>0</v>
      </c>
      <c r="H286" s="442">
        <f>-34.43-3</f>
        <v>-37.43</v>
      </c>
      <c r="I286" s="442">
        <f t="shared" si="222"/>
        <v>0</v>
      </c>
      <c r="J286" s="442">
        <v>196.65</v>
      </c>
      <c r="K286" s="442">
        <v>20.618</v>
      </c>
      <c r="L286" s="442">
        <f t="shared" si="259"/>
        <v>217.268</v>
      </c>
      <c r="M286" s="447">
        <f t="shared" si="227"/>
        <v>-14.6958358526569</v>
      </c>
      <c r="N286" s="448" t="s">
        <v>390</v>
      </c>
    </row>
    <row r="287" s="38" customFormat="1" customHeight="1" spans="1:14">
      <c r="A287" s="441">
        <v>211</v>
      </c>
      <c r="B287" s="147" t="s">
        <v>391</v>
      </c>
      <c r="C287" s="442">
        <f t="shared" ref="C287:L287" si="263">+C296+C290+C288+C294</f>
        <v>140.5</v>
      </c>
      <c r="D287" s="442">
        <f t="shared" si="263"/>
        <v>0</v>
      </c>
      <c r="E287" s="442">
        <f t="shared" si="263"/>
        <v>140.5</v>
      </c>
      <c r="F287" s="442">
        <f t="shared" si="263"/>
        <v>20</v>
      </c>
      <c r="G287" s="442">
        <f t="shared" si="263"/>
        <v>0</v>
      </c>
      <c r="H287" s="442">
        <f t="shared" si="263"/>
        <v>17.8</v>
      </c>
      <c r="I287" s="442">
        <f t="shared" si="263"/>
        <v>3961</v>
      </c>
      <c r="J287" s="442">
        <f t="shared" si="263"/>
        <v>178.3</v>
      </c>
      <c r="K287" s="442">
        <f t="shared" si="263"/>
        <v>3961</v>
      </c>
      <c r="L287" s="442">
        <f t="shared" si="263"/>
        <v>4139.3</v>
      </c>
      <c r="M287" s="447">
        <f t="shared" si="227"/>
        <v>2846.12099644128</v>
      </c>
      <c r="N287" s="448"/>
    </row>
    <row r="288" s="38" customFormat="1" customHeight="1" spans="1:14">
      <c r="A288" s="441">
        <v>21102</v>
      </c>
      <c r="B288" s="147" t="s">
        <v>392</v>
      </c>
      <c r="C288" s="442">
        <f t="shared" ref="C288:F288" si="264">C289</f>
        <v>97.5</v>
      </c>
      <c r="D288" s="442">
        <f t="shared" si="264"/>
        <v>0</v>
      </c>
      <c r="E288" s="442">
        <f t="shared" si="264"/>
        <v>97.5</v>
      </c>
      <c r="F288" s="442">
        <f t="shared" si="264"/>
        <v>0</v>
      </c>
      <c r="G288" s="442"/>
      <c r="H288" s="442">
        <v>0</v>
      </c>
      <c r="I288" s="442">
        <f t="shared" ref="I288:I327" si="265">K288-D288</f>
        <v>0</v>
      </c>
      <c r="J288" s="442">
        <f t="shared" ref="J288:L288" si="266">J289</f>
        <v>97.5</v>
      </c>
      <c r="K288" s="442">
        <f t="shared" si="266"/>
        <v>0</v>
      </c>
      <c r="L288" s="442">
        <f t="shared" si="266"/>
        <v>97.5</v>
      </c>
      <c r="M288" s="447">
        <f t="shared" si="227"/>
        <v>0</v>
      </c>
      <c r="N288" s="448"/>
    </row>
    <row r="289" s="38" customFormat="1" ht="35" customHeight="1" spans="1:14">
      <c r="A289" s="441">
        <v>2110299</v>
      </c>
      <c r="B289" s="147" t="s">
        <v>393</v>
      </c>
      <c r="C289" s="442">
        <v>97.5</v>
      </c>
      <c r="D289" s="442">
        <v>0</v>
      </c>
      <c r="E289" s="442">
        <f t="shared" si="262"/>
        <v>97.5</v>
      </c>
      <c r="F289" s="442">
        <v>0</v>
      </c>
      <c r="G289" s="442"/>
      <c r="H289" s="442">
        <v>0</v>
      </c>
      <c r="I289" s="442">
        <f t="shared" si="265"/>
        <v>0</v>
      </c>
      <c r="J289" s="442">
        <v>97.5</v>
      </c>
      <c r="K289" s="442"/>
      <c r="L289" s="442">
        <f t="shared" si="259"/>
        <v>97.5</v>
      </c>
      <c r="M289" s="447">
        <f t="shared" si="227"/>
        <v>0</v>
      </c>
      <c r="N289" s="448"/>
    </row>
    <row r="290" s="38" customFormat="1" customHeight="1" spans="1:14">
      <c r="A290" s="441">
        <v>21103</v>
      </c>
      <c r="B290" s="147" t="s">
        <v>394</v>
      </c>
      <c r="C290" s="442">
        <f t="shared" ref="C290:H290" si="267">C291+C293+C292</f>
        <v>0</v>
      </c>
      <c r="D290" s="442">
        <f t="shared" si="267"/>
        <v>0</v>
      </c>
      <c r="E290" s="442">
        <f t="shared" si="267"/>
        <v>0</v>
      </c>
      <c r="F290" s="442">
        <f t="shared" si="267"/>
        <v>20</v>
      </c>
      <c r="G290" s="442">
        <f t="shared" si="267"/>
        <v>0</v>
      </c>
      <c r="H290" s="442">
        <f t="shared" si="267"/>
        <v>17.8</v>
      </c>
      <c r="I290" s="442">
        <f t="shared" si="265"/>
        <v>3956</v>
      </c>
      <c r="J290" s="442">
        <f t="shared" ref="J290:L290" si="268">J291+J293+J292</f>
        <v>37.8</v>
      </c>
      <c r="K290" s="442">
        <f t="shared" si="268"/>
        <v>3956</v>
      </c>
      <c r="L290" s="442">
        <f t="shared" si="268"/>
        <v>3993.8</v>
      </c>
      <c r="M290" s="447">
        <v>100</v>
      </c>
      <c r="N290" s="448"/>
    </row>
    <row r="291" s="38" customFormat="1" customHeight="1" spans="1:14">
      <c r="A291" s="441">
        <v>2110302</v>
      </c>
      <c r="B291" s="147" t="s">
        <v>395</v>
      </c>
      <c r="C291" s="442"/>
      <c r="D291" s="442"/>
      <c r="E291" s="442">
        <f t="shared" si="262"/>
        <v>0</v>
      </c>
      <c r="F291" s="442"/>
      <c r="G291" s="442"/>
      <c r="H291" s="442">
        <v>0</v>
      </c>
      <c r="I291" s="442">
        <f t="shared" si="265"/>
        <v>3906</v>
      </c>
      <c r="J291" s="442"/>
      <c r="K291" s="442">
        <v>3906</v>
      </c>
      <c r="L291" s="442">
        <f t="shared" ref="L291:L293" si="269">J291+K291</f>
        <v>3906</v>
      </c>
      <c r="M291" s="447">
        <v>100</v>
      </c>
      <c r="N291" s="448"/>
    </row>
    <row r="292" s="38" customFormat="1" customHeight="1" spans="1:14">
      <c r="A292" s="441">
        <v>2110304</v>
      </c>
      <c r="B292" s="147" t="s">
        <v>396</v>
      </c>
      <c r="C292" s="442"/>
      <c r="D292" s="442"/>
      <c r="E292" s="442"/>
      <c r="F292" s="442"/>
      <c r="G292" s="442"/>
      <c r="H292" s="442"/>
      <c r="I292" s="442">
        <f t="shared" si="265"/>
        <v>50</v>
      </c>
      <c r="J292" s="442"/>
      <c r="K292" s="442">
        <v>50</v>
      </c>
      <c r="L292" s="442">
        <f t="shared" si="269"/>
        <v>50</v>
      </c>
      <c r="M292" s="447">
        <v>100</v>
      </c>
      <c r="N292" s="448"/>
    </row>
    <row r="293" s="38" customFormat="1" ht="45" customHeight="1" spans="1:14">
      <c r="A293" s="441">
        <v>2110399</v>
      </c>
      <c r="B293" s="147" t="s">
        <v>397</v>
      </c>
      <c r="C293" s="442">
        <v>0</v>
      </c>
      <c r="D293" s="442"/>
      <c r="E293" s="442">
        <f>C293+D293</f>
        <v>0</v>
      </c>
      <c r="F293" s="442">
        <v>20</v>
      </c>
      <c r="G293" s="442">
        <v>0</v>
      </c>
      <c r="H293" s="442">
        <v>17.8</v>
      </c>
      <c r="I293" s="442">
        <f t="shared" si="265"/>
        <v>0</v>
      </c>
      <c r="J293" s="442">
        <v>37.8</v>
      </c>
      <c r="K293" s="442"/>
      <c r="L293" s="442">
        <f t="shared" si="269"/>
        <v>37.8</v>
      </c>
      <c r="M293" s="447">
        <v>100</v>
      </c>
      <c r="N293" s="448" t="s">
        <v>398</v>
      </c>
    </row>
    <row r="294" s="38" customFormat="1" customHeight="1" spans="1:14">
      <c r="A294" s="441">
        <v>21113</v>
      </c>
      <c r="B294" s="147" t="s">
        <v>399</v>
      </c>
      <c r="C294" s="442">
        <f t="shared" ref="C294:H294" si="270">C295</f>
        <v>0</v>
      </c>
      <c r="D294" s="442">
        <f t="shared" si="270"/>
        <v>0</v>
      </c>
      <c r="E294" s="442">
        <f t="shared" si="270"/>
        <v>0</v>
      </c>
      <c r="F294" s="442">
        <f t="shared" si="270"/>
        <v>0</v>
      </c>
      <c r="G294" s="442">
        <f t="shared" si="270"/>
        <v>0</v>
      </c>
      <c r="H294" s="442">
        <f t="shared" si="270"/>
        <v>0</v>
      </c>
      <c r="I294" s="442">
        <f t="shared" si="265"/>
        <v>5</v>
      </c>
      <c r="J294" s="442">
        <f t="shared" ref="J294:L294" si="271">J295</f>
        <v>0</v>
      </c>
      <c r="K294" s="442">
        <f t="shared" si="271"/>
        <v>5</v>
      </c>
      <c r="L294" s="442">
        <f t="shared" si="271"/>
        <v>5</v>
      </c>
      <c r="M294" s="447">
        <v>100</v>
      </c>
      <c r="N294" s="448">
        <f>N295</f>
        <v>0</v>
      </c>
    </row>
    <row r="295" s="38" customFormat="1" customHeight="1" spans="1:14">
      <c r="A295" s="441">
        <v>2111301</v>
      </c>
      <c r="B295" s="147" t="s">
        <v>399</v>
      </c>
      <c r="C295" s="442"/>
      <c r="D295" s="442"/>
      <c r="E295" s="442"/>
      <c r="F295" s="442"/>
      <c r="G295" s="442"/>
      <c r="H295" s="442"/>
      <c r="I295" s="442">
        <f t="shared" si="265"/>
        <v>5</v>
      </c>
      <c r="J295" s="442"/>
      <c r="K295" s="442">
        <v>5</v>
      </c>
      <c r="L295" s="442">
        <f>J295+K295</f>
        <v>5</v>
      </c>
      <c r="M295" s="447">
        <v>100</v>
      </c>
      <c r="N295" s="448"/>
    </row>
    <row r="296" s="38" customFormat="1" customHeight="1" spans="1:14">
      <c r="A296" s="441">
        <v>21199</v>
      </c>
      <c r="B296" s="147" t="s">
        <v>400</v>
      </c>
      <c r="C296" s="442">
        <f t="shared" ref="C296:F296" si="272">C297</f>
        <v>43</v>
      </c>
      <c r="D296" s="442">
        <f t="shared" si="272"/>
        <v>0</v>
      </c>
      <c r="E296" s="442">
        <f t="shared" si="272"/>
        <v>43</v>
      </c>
      <c r="F296" s="442">
        <f t="shared" si="272"/>
        <v>0</v>
      </c>
      <c r="G296" s="442"/>
      <c r="H296" s="442">
        <v>0</v>
      </c>
      <c r="I296" s="442">
        <f t="shared" si="265"/>
        <v>0</v>
      </c>
      <c r="J296" s="442">
        <f t="shared" ref="J296:L296" si="273">J297</f>
        <v>43</v>
      </c>
      <c r="K296" s="442">
        <f t="shared" si="273"/>
        <v>0</v>
      </c>
      <c r="L296" s="442">
        <f t="shared" si="273"/>
        <v>43</v>
      </c>
      <c r="M296" s="447">
        <f t="shared" ref="M296:M324" si="274">(L296-E296)/E296*100</f>
        <v>0</v>
      </c>
      <c r="N296" s="448"/>
    </row>
    <row r="297" s="38" customFormat="1" customHeight="1" spans="1:14">
      <c r="A297" s="441" t="s">
        <v>401</v>
      </c>
      <c r="B297" s="147" t="s">
        <v>400</v>
      </c>
      <c r="C297" s="442">
        <v>43</v>
      </c>
      <c r="D297" s="442"/>
      <c r="E297" s="442">
        <f t="shared" ref="E297:E304" si="275">C297+D297</f>
        <v>43</v>
      </c>
      <c r="F297" s="442">
        <v>0</v>
      </c>
      <c r="G297" s="442"/>
      <c r="H297" s="442">
        <v>0</v>
      </c>
      <c r="I297" s="442">
        <f t="shared" si="265"/>
        <v>0</v>
      </c>
      <c r="J297" s="442">
        <v>43</v>
      </c>
      <c r="K297" s="442"/>
      <c r="L297" s="442">
        <f>K297+J297</f>
        <v>43</v>
      </c>
      <c r="M297" s="447">
        <f t="shared" si="274"/>
        <v>0</v>
      </c>
      <c r="N297" s="449"/>
    </row>
    <row r="298" s="38" customFormat="1" customHeight="1" spans="1:14">
      <c r="A298" s="441">
        <v>212</v>
      </c>
      <c r="B298" s="147" t="s">
        <v>402</v>
      </c>
      <c r="C298" s="442">
        <f t="shared" ref="C298:G298" si="276">C299+C305+C307+C309+C311</f>
        <v>21982.28</v>
      </c>
      <c r="D298" s="442">
        <f t="shared" si="276"/>
        <v>3102.96</v>
      </c>
      <c r="E298" s="442">
        <f t="shared" si="276"/>
        <v>25085.24</v>
      </c>
      <c r="F298" s="442">
        <f t="shared" si="276"/>
        <v>57.49</v>
      </c>
      <c r="G298" s="442">
        <f t="shared" si="276"/>
        <v>-53</v>
      </c>
      <c r="H298" s="442">
        <v>940.28</v>
      </c>
      <c r="I298" s="442">
        <f t="shared" si="265"/>
        <v>8510</v>
      </c>
      <c r="J298" s="442">
        <f t="shared" ref="J298:L298" si="277">J299+J305+J307+J309+J311</f>
        <v>23012.03</v>
      </c>
      <c r="K298" s="442">
        <f t="shared" si="277"/>
        <v>11612.96</v>
      </c>
      <c r="L298" s="442">
        <f t="shared" si="277"/>
        <v>34624.99</v>
      </c>
      <c r="M298" s="447">
        <f t="shared" si="274"/>
        <v>38.0293351787745</v>
      </c>
      <c r="N298" s="448"/>
    </row>
    <row r="299" s="38" customFormat="1" customHeight="1" spans="1:14">
      <c r="A299" s="441">
        <v>21201</v>
      </c>
      <c r="B299" s="147" t="s">
        <v>403</v>
      </c>
      <c r="C299" s="442">
        <f t="shared" ref="C299:G299" si="278">C300+C301+C302+C303+C304</f>
        <v>14457.69</v>
      </c>
      <c r="D299" s="442">
        <f t="shared" si="278"/>
        <v>995.67</v>
      </c>
      <c r="E299" s="442">
        <f t="shared" si="278"/>
        <v>15453.36</v>
      </c>
      <c r="F299" s="442">
        <f t="shared" si="278"/>
        <v>-80.01</v>
      </c>
      <c r="G299" s="442">
        <f t="shared" si="278"/>
        <v>-53</v>
      </c>
      <c r="H299" s="442">
        <v>772.79</v>
      </c>
      <c r="I299" s="442">
        <f t="shared" si="265"/>
        <v>0</v>
      </c>
      <c r="J299" s="442">
        <f t="shared" ref="J299:L299" si="279">J300+J301+J302+J303+J304</f>
        <v>15182.44</v>
      </c>
      <c r="K299" s="442">
        <f t="shared" si="279"/>
        <v>995.67</v>
      </c>
      <c r="L299" s="442">
        <f t="shared" si="279"/>
        <v>16178.11</v>
      </c>
      <c r="M299" s="447">
        <f t="shared" si="274"/>
        <v>4.68991856787132</v>
      </c>
      <c r="N299" s="448"/>
    </row>
    <row r="300" s="38" customFormat="1" customHeight="1" spans="1:14">
      <c r="A300" s="441">
        <v>2120101</v>
      </c>
      <c r="B300" s="147" t="s">
        <v>90</v>
      </c>
      <c r="C300" s="442">
        <v>973.31</v>
      </c>
      <c r="D300" s="442">
        <v>135.39</v>
      </c>
      <c r="E300" s="442">
        <f t="shared" si="275"/>
        <v>1108.7</v>
      </c>
      <c r="F300" s="442">
        <v>-8.39</v>
      </c>
      <c r="G300" s="442">
        <v>0</v>
      </c>
      <c r="H300" s="442">
        <v>22.01</v>
      </c>
      <c r="I300" s="442">
        <f t="shared" si="265"/>
        <v>0</v>
      </c>
      <c r="J300" s="442">
        <v>986.93</v>
      </c>
      <c r="K300" s="442">
        <v>135.39</v>
      </c>
      <c r="L300" s="442">
        <f t="shared" ref="L300:L304" si="280">J300+K300</f>
        <v>1122.32</v>
      </c>
      <c r="M300" s="447">
        <f t="shared" si="274"/>
        <v>1.22846577072248</v>
      </c>
      <c r="N300" s="448" t="s">
        <v>404</v>
      </c>
    </row>
    <row r="301" s="38" customFormat="1" customHeight="1" spans="1:14">
      <c r="A301" s="441">
        <v>2120102</v>
      </c>
      <c r="B301" s="147" t="s">
        <v>92</v>
      </c>
      <c r="C301" s="442">
        <v>21.3</v>
      </c>
      <c r="D301" s="442">
        <v>0</v>
      </c>
      <c r="E301" s="442">
        <f t="shared" si="275"/>
        <v>21.3</v>
      </c>
      <c r="F301" s="442">
        <v>-1.07</v>
      </c>
      <c r="G301" s="442">
        <v>0</v>
      </c>
      <c r="H301" s="442">
        <v>0</v>
      </c>
      <c r="I301" s="442">
        <f t="shared" si="265"/>
        <v>0</v>
      </c>
      <c r="J301" s="442">
        <v>20.23</v>
      </c>
      <c r="K301" s="442"/>
      <c r="L301" s="442">
        <f t="shared" si="280"/>
        <v>20.23</v>
      </c>
      <c r="M301" s="447">
        <f t="shared" si="274"/>
        <v>-5.02347417840376</v>
      </c>
      <c r="N301" s="448" t="s">
        <v>405</v>
      </c>
    </row>
    <row r="302" s="38" customFormat="1" customHeight="1" spans="1:14">
      <c r="A302" s="441">
        <v>2120104</v>
      </c>
      <c r="B302" s="147" t="s">
        <v>406</v>
      </c>
      <c r="C302" s="442">
        <v>141.59</v>
      </c>
      <c r="D302" s="442">
        <v>0</v>
      </c>
      <c r="E302" s="442">
        <f t="shared" si="275"/>
        <v>141.59</v>
      </c>
      <c r="F302" s="442">
        <v>0</v>
      </c>
      <c r="G302" s="442"/>
      <c r="H302" s="442">
        <v>0</v>
      </c>
      <c r="I302" s="442">
        <f t="shared" si="265"/>
        <v>0</v>
      </c>
      <c r="J302" s="442">
        <v>141.59</v>
      </c>
      <c r="K302" s="442"/>
      <c r="L302" s="442">
        <f t="shared" si="280"/>
        <v>141.59</v>
      </c>
      <c r="M302" s="447">
        <f t="shared" si="274"/>
        <v>0</v>
      </c>
      <c r="N302" s="448"/>
    </row>
    <row r="303" s="38" customFormat="1" customHeight="1" spans="1:14">
      <c r="A303" s="441">
        <v>2120106</v>
      </c>
      <c r="B303" s="147" t="s">
        <v>407</v>
      </c>
      <c r="C303" s="442">
        <v>156.6</v>
      </c>
      <c r="D303" s="442">
        <v>0</v>
      </c>
      <c r="E303" s="442">
        <f t="shared" si="275"/>
        <v>156.6</v>
      </c>
      <c r="F303" s="442">
        <v>-5.71</v>
      </c>
      <c r="G303" s="442"/>
      <c r="H303" s="442">
        <v>0</v>
      </c>
      <c r="I303" s="442">
        <f t="shared" si="265"/>
        <v>0</v>
      </c>
      <c r="J303" s="442">
        <v>150.89</v>
      </c>
      <c r="K303" s="442"/>
      <c r="L303" s="442">
        <f t="shared" si="280"/>
        <v>150.89</v>
      </c>
      <c r="M303" s="447">
        <f t="shared" si="274"/>
        <v>-3.64623243933589</v>
      </c>
      <c r="N303" s="449" t="s">
        <v>247</v>
      </c>
    </row>
    <row r="304" s="38" customFormat="1" ht="90" customHeight="1" spans="1:14">
      <c r="A304" s="441">
        <v>2120199</v>
      </c>
      <c r="B304" s="147" t="s">
        <v>408</v>
      </c>
      <c r="C304" s="442">
        <f>13249.87-84.98</f>
        <v>13164.89</v>
      </c>
      <c r="D304" s="442">
        <v>860.28</v>
      </c>
      <c r="E304" s="442">
        <f t="shared" si="275"/>
        <v>14025.17</v>
      </c>
      <c r="F304" s="442">
        <v>-64.84</v>
      </c>
      <c r="G304" s="442">
        <v>-53</v>
      </c>
      <c r="H304" s="442">
        <f>750.78+84.98</f>
        <v>835.76</v>
      </c>
      <c r="I304" s="442">
        <f t="shared" si="265"/>
        <v>0</v>
      </c>
      <c r="J304" s="442">
        <v>13882.8</v>
      </c>
      <c r="K304" s="442">
        <v>860.28</v>
      </c>
      <c r="L304" s="442">
        <f t="shared" si="280"/>
        <v>14743.08</v>
      </c>
      <c r="M304" s="447">
        <f t="shared" si="274"/>
        <v>5.11872583362624</v>
      </c>
      <c r="N304" s="448" t="s">
        <v>409</v>
      </c>
    </row>
    <row r="305" s="38" customFormat="1" customHeight="1" spans="1:14">
      <c r="A305" s="441">
        <v>21202</v>
      </c>
      <c r="B305" s="147" t="s">
        <v>410</v>
      </c>
      <c r="C305" s="442">
        <f t="shared" ref="C305:F305" si="281">C306</f>
        <v>0</v>
      </c>
      <c r="D305" s="442">
        <f t="shared" si="281"/>
        <v>684.29</v>
      </c>
      <c r="E305" s="442">
        <f t="shared" si="281"/>
        <v>684.29</v>
      </c>
      <c r="F305" s="442">
        <f t="shared" si="281"/>
        <v>0</v>
      </c>
      <c r="G305" s="442"/>
      <c r="H305" s="442">
        <v>0</v>
      </c>
      <c r="I305" s="442">
        <f t="shared" si="265"/>
        <v>0</v>
      </c>
      <c r="J305" s="442">
        <f t="shared" ref="J305:L305" si="282">J306</f>
        <v>0</v>
      </c>
      <c r="K305" s="442">
        <f t="shared" si="282"/>
        <v>684.29</v>
      </c>
      <c r="L305" s="442">
        <f t="shared" si="282"/>
        <v>684.29</v>
      </c>
      <c r="M305" s="447">
        <f t="shared" si="274"/>
        <v>0</v>
      </c>
      <c r="N305" s="449"/>
    </row>
    <row r="306" s="38" customFormat="1" customHeight="1" spans="1:14">
      <c r="A306" s="441">
        <v>2120201</v>
      </c>
      <c r="B306" s="147" t="s">
        <v>410</v>
      </c>
      <c r="C306" s="442"/>
      <c r="D306" s="442">
        <v>684.29</v>
      </c>
      <c r="E306" s="442">
        <f t="shared" ref="E306:E310" si="283">C306+D306</f>
        <v>684.29</v>
      </c>
      <c r="F306" s="442"/>
      <c r="G306" s="442"/>
      <c r="H306" s="442">
        <v>0</v>
      </c>
      <c r="I306" s="442">
        <f t="shared" si="265"/>
        <v>0</v>
      </c>
      <c r="J306" s="442"/>
      <c r="K306" s="442">
        <v>684.29</v>
      </c>
      <c r="L306" s="442">
        <f t="shared" ref="L306:L310" si="284">J306+K306</f>
        <v>684.29</v>
      </c>
      <c r="M306" s="447">
        <f t="shared" si="274"/>
        <v>0</v>
      </c>
      <c r="N306" s="448"/>
    </row>
    <row r="307" s="38" customFormat="1" customHeight="1" spans="1:14">
      <c r="A307" s="441">
        <v>21203</v>
      </c>
      <c r="B307" s="147" t="s">
        <v>411</v>
      </c>
      <c r="C307" s="442">
        <f t="shared" ref="C307:F307" si="285">C308</f>
        <v>6730.96</v>
      </c>
      <c r="D307" s="442">
        <f t="shared" si="285"/>
        <v>549</v>
      </c>
      <c r="E307" s="442">
        <f t="shared" si="285"/>
        <v>7279.96</v>
      </c>
      <c r="F307" s="442">
        <f t="shared" si="285"/>
        <v>58</v>
      </c>
      <c r="G307" s="442"/>
      <c r="H307" s="442">
        <v>10</v>
      </c>
      <c r="I307" s="442">
        <f t="shared" si="265"/>
        <v>0</v>
      </c>
      <c r="J307" s="442">
        <f t="shared" ref="J307:L307" si="286">J308</f>
        <v>6798.96</v>
      </c>
      <c r="K307" s="442">
        <f t="shared" si="286"/>
        <v>549</v>
      </c>
      <c r="L307" s="442">
        <f t="shared" si="286"/>
        <v>7347.96</v>
      </c>
      <c r="M307" s="447">
        <f t="shared" si="274"/>
        <v>0.93407106632454</v>
      </c>
      <c r="N307" s="449"/>
    </row>
    <row r="308" s="38" customFormat="1" ht="39" customHeight="1" spans="1:14">
      <c r="A308" s="441">
        <v>2120399</v>
      </c>
      <c r="B308" s="147" t="s">
        <v>412</v>
      </c>
      <c r="C308" s="442">
        <f>30.96+6700</f>
        <v>6730.96</v>
      </c>
      <c r="D308" s="442">
        <v>549</v>
      </c>
      <c r="E308" s="442">
        <f t="shared" si="283"/>
        <v>7279.96</v>
      </c>
      <c r="F308" s="442">
        <v>58</v>
      </c>
      <c r="G308" s="442">
        <v>0</v>
      </c>
      <c r="H308" s="442">
        <v>10</v>
      </c>
      <c r="I308" s="442">
        <f t="shared" si="265"/>
        <v>0</v>
      </c>
      <c r="J308" s="442">
        <f>98.96+6700</f>
        <v>6798.96</v>
      </c>
      <c r="K308" s="442">
        <v>549</v>
      </c>
      <c r="L308" s="442">
        <f t="shared" si="284"/>
        <v>7347.96</v>
      </c>
      <c r="M308" s="447">
        <f t="shared" si="274"/>
        <v>0.93407106632454</v>
      </c>
      <c r="N308" s="448" t="s">
        <v>413</v>
      </c>
    </row>
    <row r="309" s="38" customFormat="1" customHeight="1" spans="1:14">
      <c r="A309" s="441">
        <v>21205</v>
      </c>
      <c r="B309" s="147" t="s">
        <v>395</v>
      </c>
      <c r="C309" s="442">
        <f t="shared" ref="C309:F309" si="287">C310</f>
        <v>793.63</v>
      </c>
      <c r="D309" s="442">
        <f t="shared" si="287"/>
        <v>851</v>
      </c>
      <c r="E309" s="442">
        <f t="shared" si="287"/>
        <v>1644.63</v>
      </c>
      <c r="F309" s="442">
        <f t="shared" si="287"/>
        <v>79.5</v>
      </c>
      <c r="G309" s="442"/>
      <c r="H309" s="442">
        <v>157.49</v>
      </c>
      <c r="I309" s="442">
        <f t="shared" si="265"/>
        <v>0</v>
      </c>
      <c r="J309" s="442">
        <f t="shared" ref="J309:L309" si="288">J310</f>
        <v>1030.63</v>
      </c>
      <c r="K309" s="442">
        <f t="shared" si="288"/>
        <v>851</v>
      </c>
      <c r="L309" s="442">
        <f t="shared" si="288"/>
        <v>1881.63</v>
      </c>
      <c r="M309" s="447">
        <f t="shared" si="274"/>
        <v>14.4105361084256</v>
      </c>
      <c r="N309" s="448"/>
    </row>
    <row r="310" s="38" customFormat="1" ht="40" customHeight="1" spans="1:14">
      <c r="A310" s="441">
        <v>2120501</v>
      </c>
      <c r="B310" s="147" t="s">
        <v>395</v>
      </c>
      <c r="C310" s="442">
        <v>793.63</v>
      </c>
      <c r="D310" s="442">
        <v>851</v>
      </c>
      <c r="E310" s="442">
        <f t="shared" si="283"/>
        <v>1644.63</v>
      </c>
      <c r="F310" s="442">
        <v>79.5</v>
      </c>
      <c r="G310" s="442">
        <v>0</v>
      </c>
      <c r="H310" s="442">
        <v>157.49</v>
      </c>
      <c r="I310" s="442">
        <f t="shared" si="265"/>
        <v>0</v>
      </c>
      <c r="J310" s="442">
        <v>1030.63</v>
      </c>
      <c r="K310" s="442">
        <v>851</v>
      </c>
      <c r="L310" s="442">
        <f t="shared" si="284"/>
        <v>1881.63</v>
      </c>
      <c r="M310" s="447">
        <f t="shared" si="274"/>
        <v>14.4105361084256</v>
      </c>
      <c r="N310" s="448" t="s">
        <v>414</v>
      </c>
    </row>
    <row r="311" s="38" customFormat="1" customHeight="1" spans="1:14">
      <c r="A311" s="441">
        <v>21299</v>
      </c>
      <c r="B311" s="147" t="s">
        <v>415</v>
      </c>
      <c r="C311" s="442">
        <f t="shared" ref="C311:H311" si="289">C312</f>
        <v>0</v>
      </c>
      <c r="D311" s="442">
        <f t="shared" si="289"/>
        <v>23</v>
      </c>
      <c r="E311" s="442">
        <f t="shared" si="289"/>
        <v>23</v>
      </c>
      <c r="F311" s="442">
        <f t="shared" si="289"/>
        <v>0</v>
      </c>
      <c r="G311" s="442">
        <f t="shared" si="289"/>
        <v>0</v>
      </c>
      <c r="H311" s="442">
        <f t="shared" si="289"/>
        <v>0</v>
      </c>
      <c r="I311" s="442">
        <f t="shared" si="265"/>
        <v>8510</v>
      </c>
      <c r="J311" s="442">
        <f t="shared" ref="J311:L311" si="290">J312</f>
        <v>0</v>
      </c>
      <c r="K311" s="442">
        <f t="shared" si="290"/>
        <v>8533</v>
      </c>
      <c r="L311" s="442">
        <f t="shared" si="290"/>
        <v>8533</v>
      </c>
      <c r="M311" s="447">
        <f t="shared" si="274"/>
        <v>37000</v>
      </c>
      <c r="N311" s="449"/>
    </row>
    <row r="312" s="38" customFormat="1" customHeight="1" spans="1:14">
      <c r="A312" s="441">
        <v>2129999</v>
      </c>
      <c r="B312" s="147" t="s">
        <v>415</v>
      </c>
      <c r="C312" s="442"/>
      <c r="D312" s="442">
        <v>23</v>
      </c>
      <c r="E312" s="442">
        <f t="shared" ref="E312:E327" si="291">C312+D312</f>
        <v>23</v>
      </c>
      <c r="F312" s="442"/>
      <c r="G312" s="442"/>
      <c r="H312" s="442">
        <v>0</v>
      </c>
      <c r="I312" s="442">
        <f t="shared" si="265"/>
        <v>8510</v>
      </c>
      <c r="J312" s="442"/>
      <c r="K312" s="442">
        <v>8533</v>
      </c>
      <c r="L312" s="442">
        <f t="shared" ref="L312:L327" si="292">J312+K312</f>
        <v>8533</v>
      </c>
      <c r="M312" s="447">
        <f t="shared" si="274"/>
        <v>37000</v>
      </c>
      <c r="N312" s="448"/>
    </row>
    <row r="313" s="38" customFormat="1" customHeight="1" spans="1:14">
      <c r="A313" s="441">
        <v>213</v>
      </c>
      <c r="B313" s="147" t="s">
        <v>416</v>
      </c>
      <c r="C313" s="442">
        <f t="shared" ref="C313:G313" si="293">C314+C328+C332+C341+C343+C347+C350</f>
        <v>9230.74</v>
      </c>
      <c r="D313" s="442">
        <f t="shared" si="293"/>
        <v>4442.6506</v>
      </c>
      <c r="E313" s="442">
        <f t="shared" si="293"/>
        <v>13673.3906</v>
      </c>
      <c r="F313" s="442">
        <f t="shared" si="293"/>
        <v>372.49</v>
      </c>
      <c r="G313" s="442">
        <f t="shared" si="293"/>
        <v>0</v>
      </c>
      <c r="H313" s="442">
        <v>-11.12</v>
      </c>
      <c r="I313" s="442">
        <f t="shared" si="265"/>
        <v>207.259999999999</v>
      </c>
      <c r="J313" s="442">
        <f t="shared" ref="J313:L313" si="294">J314+J328+J332+J341+J343+J347+J350</f>
        <v>9603.16</v>
      </c>
      <c r="K313" s="442">
        <f t="shared" si="294"/>
        <v>4649.9106</v>
      </c>
      <c r="L313" s="442">
        <f t="shared" si="294"/>
        <v>14253.0706</v>
      </c>
      <c r="M313" s="447">
        <f t="shared" si="274"/>
        <v>4.23947517450426</v>
      </c>
      <c r="N313" s="448"/>
    </row>
    <row r="314" s="38" customFormat="1" customHeight="1" spans="1:14">
      <c r="A314" s="441">
        <v>21301</v>
      </c>
      <c r="B314" s="147" t="s">
        <v>417</v>
      </c>
      <c r="C314" s="442">
        <f t="shared" ref="C314:G314" si="295">C315+C316+C317+C318+C319+C320+0+C323+C325+C327+C321+C322+C324+C326</f>
        <v>2526.56</v>
      </c>
      <c r="D314" s="442">
        <f t="shared" si="295"/>
        <v>513.6536</v>
      </c>
      <c r="E314" s="442">
        <f t="shared" si="295"/>
        <v>3040.2136</v>
      </c>
      <c r="F314" s="442">
        <f t="shared" si="295"/>
        <v>131.84</v>
      </c>
      <c r="G314" s="442">
        <f t="shared" si="295"/>
        <v>0</v>
      </c>
      <c r="H314" s="442">
        <v>5.32999999999999</v>
      </c>
      <c r="I314" s="442">
        <f t="shared" si="265"/>
        <v>87.2199999999999</v>
      </c>
      <c r="J314" s="442">
        <f t="shared" ref="J314:L314" si="296">J315+J316+J317+J318+J319+J320+0+J323+J325+J327+J321+J322+J324+J326</f>
        <v>3141.14</v>
      </c>
      <c r="K314" s="442">
        <f t="shared" si="296"/>
        <v>600.8736</v>
      </c>
      <c r="L314" s="442">
        <f t="shared" si="296"/>
        <v>3742.0136</v>
      </c>
      <c r="M314" s="447">
        <f t="shared" si="274"/>
        <v>23.0839043677721</v>
      </c>
      <c r="N314" s="448"/>
    </row>
    <row r="315" s="38" customFormat="1" customHeight="1" spans="1:14">
      <c r="A315" s="441">
        <v>2130101</v>
      </c>
      <c r="B315" s="147" t="s">
        <v>90</v>
      </c>
      <c r="C315" s="442">
        <v>839.9</v>
      </c>
      <c r="D315" s="442">
        <v>0</v>
      </c>
      <c r="E315" s="442">
        <f t="shared" si="291"/>
        <v>839.9</v>
      </c>
      <c r="F315" s="442">
        <v>0</v>
      </c>
      <c r="G315" s="442">
        <v>0</v>
      </c>
      <c r="H315" s="442">
        <v>4.44999999999999</v>
      </c>
      <c r="I315" s="442">
        <f t="shared" si="265"/>
        <v>0</v>
      </c>
      <c r="J315" s="442">
        <v>844.34</v>
      </c>
      <c r="K315" s="442"/>
      <c r="L315" s="442">
        <f t="shared" si="292"/>
        <v>844.34</v>
      </c>
      <c r="M315" s="447">
        <f t="shared" si="274"/>
        <v>0.528634361233487</v>
      </c>
      <c r="N315" s="448" t="s">
        <v>119</v>
      </c>
    </row>
    <row r="316" s="38" customFormat="1" customHeight="1" spans="1:14">
      <c r="A316" s="441">
        <v>2130104</v>
      </c>
      <c r="B316" s="147" t="s">
        <v>118</v>
      </c>
      <c r="C316" s="442">
        <v>364.7</v>
      </c>
      <c r="D316" s="442">
        <v>0</v>
      </c>
      <c r="E316" s="442">
        <f t="shared" si="291"/>
        <v>364.7</v>
      </c>
      <c r="F316" s="442">
        <v>0</v>
      </c>
      <c r="G316" s="442">
        <v>0</v>
      </c>
      <c r="H316" s="442">
        <v>0.88</v>
      </c>
      <c r="I316" s="442">
        <f t="shared" si="265"/>
        <v>0</v>
      </c>
      <c r="J316" s="442">
        <v>365.57</v>
      </c>
      <c r="K316" s="442"/>
      <c r="L316" s="442">
        <f t="shared" si="292"/>
        <v>365.57</v>
      </c>
      <c r="M316" s="447">
        <f t="shared" si="274"/>
        <v>0.238552234713464</v>
      </c>
      <c r="N316" s="448" t="s">
        <v>119</v>
      </c>
    </row>
    <row r="317" s="38" customFormat="1" customHeight="1" spans="1:14">
      <c r="A317" s="441">
        <v>2130106</v>
      </c>
      <c r="B317" s="147" t="s">
        <v>418</v>
      </c>
      <c r="C317" s="442">
        <v>201</v>
      </c>
      <c r="D317" s="442">
        <v>0</v>
      </c>
      <c r="E317" s="442">
        <f t="shared" si="291"/>
        <v>201</v>
      </c>
      <c r="F317" s="442">
        <v>1</v>
      </c>
      <c r="G317" s="442">
        <v>0</v>
      </c>
      <c r="H317" s="442">
        <v>0</v>
      </c>
      <c r="I317" s="442">
        <f t="shared" si="265"/>
        <v>0</v>
      </c>
      <c r="J317" s="442">
        <v>202</v>
      </c>
      <c r="K317" s="442"/>
      <c r="L317" s="442">
        <f t="shared" si="292"/>
        <v>202</v>
      </c>
      <c r="M317" s="447">
        <f t="shared" si="274"/>
        <v>0.497512437810945</v>
      </c>
      <c r="N317" s="448" t="s">
        <v>419</v>
      </c>
    </row>
    <row r="318" s="38" customFormat="1" ht="37" customHeight="1" spans="1:14">
      <c r="A318" s="441">
        <v>2130108</v>
      </c>
      <c r="B318" s="147" t="s">
        <v>420</v>
      </c>
      <c r="C318" s="442">
        <v>41.2</v>
      </c>
      <c r="D318" s="442">
        <v>7.5</v>
      </c>
      <c r="E318" s="442">
        <f t="shared" si="291"/>
        <v>48.7</v>
      </c>
      <c r="F318" s="442">
        <v>-17</v>
      </c>
      <c r="G318" s="442"/>
      <c r="H318" s="442">
        <v>0</v>
      </c>
      <c r="I318" s="442">
        <f t="shared" si="265"/>
        <v>2.1</v>
      </c>
      <c r="J318" s="442">
        <v>24.2</v>
      </c>
      <c r="K318" s="442">
        <v>9.6</v>
      </c>
      <c r="L318" s="442">
        <f t="shared" si="292"/>
        <v>33.8</v>
      </c>
      <c r="M318" s="447">
        <f t="shared" si="274"/>
        <v>-30.5954825462012</v>
      </c>
      <c r="N318" s="449" t="s">
        <v>421</v>
      </c>
    </row>
    <row r="319" s="38" customFormat="1" ht="37" customHeight="1" spans="1:14">
      <c r="A319" s="441">
        <v>2130109</v>
      </c>
      <c r="B319" s="147" t="s">
        <v>422</v>
      </c>
      <c r="C319" s="442">
        <v>1</v>
      </c>
      <c r="D319" s="442">
        <v>0</v>
      </c>
      <c r="E319" s="442">
        <f t="shared" si="291"/>
        <v>1</v>
      </c>
      <c r="F319" s="442">
        <v>14</v>
      </c>
      <c r="G319" s="442">
        <v>0</v>
      </c>
      <c r="H319" s="442">
        <v>0</v>
      </c>
      <c r="I319" s="442">
        <f t="shared" si="265"/>
        <v>0</v>
      </c>
      <c r="J319" s="442">
        <v>15</v>
      </c>
      <c r="K319" s="442"/>
      <c r="L319" s="442">
        <f t="shared" si="292"/>
        <v>15</v>
      </c>
      <c r="M319" s="447">
        <f t="shared" si="274"/>
        <v>1400</v>
      </c>
      <c r="N319" s="448" t="s">
        <v>423</v>
      </c>
    </row>
    <row r="320" s="38" customFormat="1" customHeight="1" spans="1:14">
      <c r="A320" s="441">
        <v>2130110</v>
      </c>
      <c r="B320" s="147" t="s">
        <v>424</v>
      </c>
      <c r="C320" s="442">
        <v>127.61</v>
      </c>
      <c r="D320" s="442">
        <v>0</v>
      </c>
      <c r="E320" s="442">
        <f t="shared" si="291"/>
        <v>127.61</v>
      </c>
      <c r="F320" s="442">
        <v>0</v>
      </c>
      <c r="G320" s="442"/>
      <c r="H320" s="442">
        <v>0</v>
      </c>
      <c r="I320" s="442">
        <f t="shared" si="265"/>
        <v>0</v>
      </c>
      <c r="J320" s="442">
        <v>127.61</v>
      </c>
      <c r="K320" s="442"/>
      <c r="L320" s="442">
        <f t="shared" si="292"/>
        <v>127.61</v>
      </c>
      <c r="M320" s="447">
        <f t="shared" si="274"/>
        <v>0</v>
      </c>
      <c r="N320" s="449"/>
    </row>
    <row r="321" s="38" customFormat="1" customHeight="1" spans="1:14">
      <c r="A321" s="441">
        <v>2130119</v>
      </c>
      <c r="B321" s="147" t="s">
        <v>425</v>
      </c>
      <c r="C321" s="442">
        <f>40-10</f>
        <v>30</v>
      </c>
      <c r="D321" s="442">
        <v>5</v>
      </c>
      <c r="E321" s="442">
        <f t="shared" si="291"/>
        <v>35</v>
      </c>
      <c r="F321" s="442">
        <v>0</v>
      </c>
      <c r="G321" s="442">
        <v>0</v>
      </c>
      <c r="H321" s="442">
        <v>10</v>
      </c>
      <c r="I321" s="442">
        <f t="shared" si="265"/>
        <v>2.7</v>
      </c>
      <c r="J321" s="442">
        <v>40</v>
      </c>
      <c r="K321" s="442">
        <v>7.7</v>
      </c>
      <c r="L321" s="442">
        <f t="shared" si="292"/>
        <v>47.7</v>
      </c>
      <c r="M321" s="447">
        <f t="shared" si="274"/>
        <v>36.2857142857143</v>
      </c>
      <c r="N321" s="448">
        <v>0</v>
      </c>
    </row>
    <row r="322" s="38" customFormat="1" customHeight="1" spans="1:14">
      <c r="A322" s="441">
        <v>2130122</v>
      </c>
      <c r="B322" s="147" t="s">
        <v>426</v>
      </c>
      <c r="C322" s="442">
        <v>36.13</v>
      </c>
      <c r="D322" s="442">
        <v>5</v>
      </c>
      <c r="E322" s="442">
        <f t="shared" si="291"/>
        <v>41.13</v>
      </c>
      <c r="F322" s="442">
        <v>0</v>
      </c>
      <c r="G322" s="442">
        <v>0</v>
      </c>
      <c r="H322" s="442">
        <v>0</v>
      </c>
      <c r="I322" s="442">
        <f t="shared" si="265"/>
        <v>0</v>
      </c>
      <c r="J322" s="442">
        <v>36.13</v>
      </c>
      <c r="K322" s="442">
        <v>5</v>
      </c>
      <c r="L322" s="442">
        <f t="shared" si="292"/>
        <v>41.13</v>
      </c>
      <c r="M322" s="447">
        <f t="shared" si="274"/>
        <v>0</v>
      </c>
      <c r="N322" s="448">
        <v>0</v>
      </c>
    </row>
    <row r="323" s="38" customFormat="1" ht="51" customHeight="1" spans="1:14">
      <c r="A323" s="441">
        <v>2130135</v>
      </c>
      <c r="B323" s="147" t="s">
        <v>427</v>
      </c>
      <c r="C323" s="442">
        <f>20+140</f>
        <v>160</v>
      </c>
      <c r="D323" s="442">
        <v>150</v>
      </c>
      <c r="E323" s="442">
        <f t="shared" si="291"/>
        <v>310</v>
      </c>
      <c r="F323" s="442">
        <v>-20</v>
      </c>
      <c r="G323" s="442"/>
      <c r="H323" s="442">
        <v>-140</v>
      </c>
      <c r="I323" s="442">
        <f t="shared" si="265"/>
        <v>0.419999999999987</v>
      </c>
      <c r="J323" s="442">
        <v>0</v>
      </c>
      <c r="K323" s="442">
        <v>150.42</v>
      </c>
      <c r="L323" s="442">
        <f t="shared" si="292"/>
        <v>150.42</v>
      </c>
      <c r="M323" s="447">
        <f t="shared" si="274"/>
        <v>-51.4774193548387</v>
      </c>
      <c r="N323" s="449" t="s">
        <v>428</v>
      </c>
    </row>
    <row r="324" s="38" customFormat="1" customHeight="1" spans="1:14">
      <c r="A324" s="441">
        <v>2130148</v>
      </c>
      <c r="B324" s="147" t="s">
        <v>429</v>
      </c>
      <c r="C324" s="442">
        <f>397.4-377.4</f>
        <v>20</v>
      </c>
      <c r="D324" s="442">
        <v>179.14</v>
      </c>
      <c r="E324" s="442">
        <f t="shared" si="291"/>
        <v>199.14</v>
      </c>
      <c r="F324" s="442">
        <v>0</v>
      </c>
      <c r="G324" s="442">
        <v>0</v>
      </c>
      <c r="H324" s="442">
        <v>377.4</v>
      </c>
      <c r="I324" s="442">
        <f t="shared" si="265"/>
        <v>0</v>
      </c>
      <c r="J324" s="442">
        <v>397.4</v>
      </c>
      <c r="K324" s="442">
        <v>179.14</v>
      </c>
      <c r="L324" s="442">
        <f t="shared" si="292"/>
        <v>576.54</v>
      </c>
      <c r="M324" s="447">
        <f t="shared" si="274"/>
        <v>189.514914130762</v>
      </c>
      <c r="N324" s="448" t="s">
        <v>147</v>
      </c>
    </row>
    <row r="325" s="38" customFormat="1" ht="39" customHeight="1" spans="1:14">
      <c r="A325" s="441">
        <v>2130152</v>
      </c>
      <c r="B325" s="147" t="s">
        <v>430</v>
      </c>
      <c r="C325" s="442">
        <v>0</v>
      </c>
      <c r="D325" s="442">
        <v>0</v>
      </c>
      <c r="E325" s="442">
        <f t="shared" si="291"/>
        <v>0</v>
      </c>
      <c r="F325" s="442">
        <v>0.7</v>
      </c>
      <c r="G325" s="442"/>
      <c r="H325" s="442">
        <v>0</v>
      </c>
      <c r="I325" s="442">
        <f t="shared" si="265"/>
        <v>0</v>
      </c>
      <c r="J325" s="442">
        <v>0.7</v>
      </c>
      <c r="K325" s="442"/>
      <c r="L325" s="442">
        <f t="shared" si="292"/>
        <v>0.7</v>
      </c>
      <c r="M325" s="447">
        <v>100</v>
      </c>
      <c r="N325" s="449" t="s">
        <v>431</v>
      </c>
    </row>
    <row r="326" s="38" customFormat="1" ht="62" customHeight="1" spans="1:14">
      <c r="A326" s="441">
        <v>2130153</v>
      </c>
      <c r="B326" s="147" t="s">
        <v>432</v>
      </c>
      <c r="C326" s="442"/>
      <c r="D326" s="442">
        <v>135.9</v>
      </c>
      <c r="E326" s="442">
        <f t="shared" si="291"/>
        <v>135.9</v>
      </c>
      <c r="F326" s="442">
        <v>155</v>
      </c>
      <c r="G326" s="442"/>
      <c r="H326" s="442">
        <v>0</v>
      </c>
      <c r="I326" s="442">
        <f t="shared" si="265"/>
        <v>82</v>
      </c>
      <c r="J326" s="442">
        <f>155.85-0.7</f>
        <v>155.15</v>
      </c>
      <c r="K326" s="442">
        <v>217.9</v>
      </c>
      <c r="L326" s="442">
        <f t="shared" si="292"/>
        <v>373.05</v>
      </c>
      <c r="M326" s="447">
        <f t="shared" ref="M326:M355" si="297">(L326-E326)/E326*100</f>
        <v>174.503311258278</v>
      </c>
      <c r="N326" s="449" t="s">
        <v>433</v>
      </c>
    </row>
    <row r="327" s="38" customFormat="1" ht="53" customHeight="1" spans="1:14">
      <c r="A327" s="441">
        <v>2130199</v>
      </c>
      <c r="B327" s="147" t="s">
        <v>434</v>
      </c>
      <c r="C327" s="442">
        <f>934.89-229.87</f>
        <v>705.02</v>
      </c>
      <c r="D327" s="442">
        <v>31.1136</v>
      </c>
      <c r="E327" s="442">
        <f t="shared" si="291"/>
        <v>736.1336</v>
      </c>
      <c r="F327" s="442">
        <v>-1.86</v>
      </c>
      <c r="G327" s="442"/>
      <c r="H327" s="442">
        <v>229.87</v>
      </c>
      <c r="I327" s="442">
        <f t="shared" si="265"/>
        <v>0</v>
      </c>
      <c r="J327" s="442">
        <v>933.04</v>
      </c>
      <c r="K327" s="442">
        <v>31.1136</v>
      </c>
      <c r="L327" s="442">
        <f t="shared" si="292"/>
        <v>964.1536</v>
      </c>
      <c r="M327" s="447">
        <f t="shared" si="297"/>
        <v>30.975355560458</v>
      </c>
      <c r="N327" s="449" t="s">
        <v>435</v>
      </c>
    </row>
    <row r="328" s="38" customFormat="1" customHeight="1" spans="1:14">
      <c r="A328" s="441">
        <v>21302</v>
      </c>
      <c r="B328" s="147" t="s">
        <v>436</v>
      </c>
      <c r="C328" s="442">
        <f t="shared" ref="C328:L328" si="298">0+C329+C331+C330</f>
        <v>152.35</v>
      </c>
      <c r="D328" s="442">
        <f t="shared" si="298"/>
        <v>321.74</v>
      </c>
      <c r="E328" s="442">
        <f t="shared" si="298"/>
        <v>474.09</v>
      </c>
      <c r="F328" s="442">
        <f t="shared" si="298"/>
        <v>0</v>
      </c>
      <c r="G328" s="442">
        <f t="shared" si="298"/>
        <v>0</v>
      </c>
      <c r="H328" s="442">
        <f t="shared" si="298"/>
        <v>0</v>
      </c>
      <c r="I328" s="442">
        <f t="shared" si="298"/>
        <v>0.239999999999995</v>
      </c>
      <c r="J328" s="442">
        <f t="shared" si="298"/>
        <v>152.35</v>
      </c>
      <c r="K328" s="442">
        <f t="shared" si="298"/>
        <v>321.98</v>
      </c>
      <c r="L328" s="442">
        <f t="shared" si="298"/>
        <v>474.33</v>
      </c>
      <c r="M328" s="447">
        <f t="shared" si="297"/>
        <v>0.0506232993735386</v>
      </c>
      <c r="N328" s="448">
        <v>0</v>
      </c>
    </row>
    <row r="329" s="38" customFormat="1" customHeight="1" spans="1:14">
      <c r="A329" s="441">
        <v>2130209</v>
      </c>
      <c r="B329" s="147" t="s">
        <v>437</v>
      </c>
      <c r="C329" s="442">
        <v>123.85</v>
      </c>
      <c r="D329" s="442">
        <v>215.74</v>
      </c>
      <c r="E329" s="442">
        <f t="shared" ref="E329:E331" si="299">C329+D329</f>
        <v>339.59</v>
      </c>
      <c r="F329" s="442">
        <v>0</v>
      </c>
      <c r="G329" s="442">
        <v>0</v>
      </c>
      <c r="H329" s="442">
        <v>0</v>
      </c>
      <c r="I329" s="442">
        <f t="shared" ref="I329:I331" si="300">K329-D329</f>
        <v>0</v>
      </c>
      <c r="J329" s="442">
        <v>123.85</v>
      </c>
      <c r="K329" s="442">
        <v>215.74</v>
      </c>
      <c r="L329" s="442">
        <f t="shared" ref="L329:L331" si="301">J329+K329</f>
        <v>339.59</v>
      </c>
      <c r="M329" s="447">
        <f t="shared" si="297"/>
        <v>0</v>
      </c>
      <c r="N329" s="448">
        <v>0</v>
      </c>
    </row>
    <row r="330" s="38" customFormat="1" customHeight="1" spans="1:14">
      <c r="A330" s="441">
        <v>2130234</v>
      </c>
      <c r="B330" s="147" t="s">
        <v>438</v>
      </c>
      <c r="C330" s="442"/>
      <c r="D330" s="442">
        <v>106</v>
      </c>
      <c r="E330" s="442">
        <f t="shared" si="299"/>
        <v>106</v>
      </c>
      <c r="F330" s="442"/>
      <c r="G330" s="442"/>
      <c r="H330" s="442"/>
      <c r="I330" s="442">
        <f t="shared" si="300"/>
        <v>0.239999999999995</v>
      </c>
      <c r="J330" s="442"/>
      <c r="K330" s="442">
        <v>106.24</v>
      </c>
      <c r="L330" s="442">
        <f t="shared" si="301"/>
        <v>106.24</v>
      </c>
      <c r="M330" s="447">
        <f t="shared" si="297"/>
        <v>0.226415094339618</v>
      </c>
      <c r="N330" s="448"/>
    </row>
    <row r="331" s="38" customFormat="1" customHeight="1" spans="1:14">
      <c r="A331" s="441">
        <v>2130299</v>
      </c>
      <c r="B331" s="147" t="s">
        <v>439</v>
      </c>
      <c r="C331" s="442">
        <v>28.5</v>
      </c>
      <c r="D331" s="442">
        <v>0</v>
      </c>
      <c r="E331" s="442">
        <f t="shared" si="299"/>
        <v>28.5</v>
      </c>
      <c r="F331" s="442">
        <v>0</v>
      </c>
      <c r="G331" s="442"/>
      <c r="H331" s="442">
        <v>0</v>
      </c>
      <c r="I331" s="442">
        <f t="shared" si="300"/>
        <v>0</v>
      </c>
      <c r="J331" s="442">
        <v>28.5</v>
      </c>
      <c r="K331" s="442"/>
      <c r="L331" s="442">
        <f t="shared" si="301"/>
        <v>28.5</v>
      </c>
      <c r="M331" s="447">
        <f t="shared" si="297"/>
        <v>0</v>
      </c>
      <c r="N331" s="449"/>
    </row>
    <row r="332" s="38" customFormat="1" customHeight="1" spans="1:14">
      <c r="A332" s="441">
        <v>21303</v>
      </c>
      <c r="B332" s="147" t="s">
        <v>440</v>
      </c>
      <c r="C332" s="442">
        <f t="shared" ref="C332:L332" si="302">+C333+C334+C335+C336+C339+C340+C337+C338</f>
        <v>1433.19</v>
      </c>
      <c r="D332" s="442">
        <f t="shared" si="302"/>
        <v>82.8</v>
      </c>
      <c r="E332" s="442">
        <f t="shared" si="302"/>
        <v>1515.99</v>
      </c>
      <c r="F332" s="442">
        <f t="shared" si="302"/>
        <v>-7.35</v>
      </c>
      <c r="G332" s="442">
        <f t="shared" si="302"/>
        <v>0</v>
      </c>
      <c r="H332" s="442">
        <f t="shared" si="302"/>
        <v>154.43</v>
      </c>
      <c r="I332" s="442">
        <f t="shared" si="302"/>
        <v>73.8</v>
      </c>
      <c r="J332" s="442">
        <f t="shared" si="302"/>
        <v>1550.27</v>
      </c>
      <c r="K332" s="442">
        <f t="shared" si="302"/>
        <v>156.6</v>
      </c>
      <c r="L332" s="442">
        <f t="shared" si="302"/>
        <v>1706.87</v>
      </c>
      <c r="M332" s="447">
        <f t="shared" si="297"/>
        <v>12.5911120785757</v>
      </c>
      <c r="N332" s="448"/>
    </row>
    <row r="333" s="38" customFormat="1" customHeight="1" spans="1:14">
      <c r="A333" s="441">
        <v>2130304</v>
      </c>
      <c r="B333" s="147" t="s">
        <v>441</v>
      </c>
      <c r="C333" s="442">
        <v>9.96</v>
      </c>
      <c r="D333" s="442">
        <v>0</v>
      </c>
      <c r="E333" s="442">
        <f t="shared" ref="E333:E340" si="303">C333+D333</f>
        <v>9.96</v>
      </c>
      <c r="F333" s="442">
        <v>0</v>
      </c>
      <c r="G333" s="442"/>
      <c r="H333" s="442">
        <v>0</v>
      </c>
      <c r="I333" s="442">
        <f t="shared" ref="I333:I342" si="304">K333-D333</f>
        <v>0</v>
      </c>
      <c r="J333" s="442">
        <v>9.96</v>
      </c>
      <c r="K333" s="442"/>
      <c r="L333" s="442">
        <f t="shared" ref="L333:L340" si="305">J333+K333</f>
        <v>9.96</v>
      </c>
      <c r="M333" s="447">
        <f t="shared" si="297"/>
        <v>0</v>
      </c>
      <c r="N333" s="449"/>
    </row>
    <row r="334" s="38" customFormat="1" ht="34" customHeight="1" spans="1:14">
      <c r="A334" s="441">
        <v>2130305</v>
      </c>
      <c r="B334" s="147" t="s">
        <v>442</v>
      </c>
      <c r="C334" s="442">
        <f>7950.47-6700-140</f>
        <v>1110.47</v>
      </c>
      <c r="D334" s="442">
        <v>50.8</v>
      </c>
      <c r="E334" s="442">
        <f t="shared" si="303"/>
        <v>1161.27</v>
      </c>
      <c r="F334" s="442">
        <v>0</v>
      </c>
      <c r="G334" s="442">
        <v>0</v>
      </c>
      <c r="H334" s="442">
        <v>140</v>
      </c>
      <c r="I334" s="442">
        <f t="shared" si="304"/>
        <v>0</v>
      </c>
      <c r="J334" s="442">
        <f>7950.47-6700</f>
        <v>1250.47</v>
      </c>
      <c r="K334" s="442">
        <v>50.8</v>
      </c>
      <c r="L334" s="442">
        <f t="shared" si="305"/>
        <v>1301.27</v>
      </c>
      <c r="M334" s="447">
        <f t="shared" si="297"/>
        <v>12.0557665314699</v>
      </c>
      <c r="N334" s="448" t="s">
        <v>443</v>
      </c>
    </row>
    <row r="335" s="38" customFormat="1" customHeight="1" spans="1:14">
      <c r="A335" s="441">
        <v>2130306</v>
      </c>
      <c r="B335" s="147" t="s">
        <v>444</v>
      </c>
      <c r="C335" s="442">
        <v>162.2</v>
      </c>
      <c r="D335" s="442">
        <v>32</v>
      </c>
      <c r="E335" s="442">
        <f t="shared" si="303"/>
        <v>194.2</v>
      </c>
      <c r="F335" s="442">
        <v>0</v>
      </c>
      <c r="G335" s="442">
        <v>0</v>
      </c>
      <c r="H335" s="442">
        <v>0</v>
      </c>
      <c r="I335" s="442">
        <f t="shared" si="304"/>
        <v>0</v>
      </c>
      <c r="J335" s="442">
        <v>162.2</v>
      </c>
      <c r="K335" s="442">
        <v>32</v>
      </c>
      <c r="L335" s="442">
        <f t="shared" si="305"/>
        <v>194.2</v>
      </c>
      <c r="M335" s="447">
        <f t="shared" si="297"/>
        <v>0</v>
      </c>
      <c r="N335" s="448">
        <v>0</v>
      </c>
    </row>
    <row r="336" s="38" customFormat="1" ht="32" customHeight="1" spans="1:14">
      <c r="A336" s="441">
        <v>2130311</v>
      </c>
      <c r="B336" s="147" t="s">
        <v>445</v>
      </c>
      <c r="C336" s="442">
        <v>2.5</v>
      </c>
      <c r="D336" s="442">
        <v>0</v>
      </c>
      <c r="E336" s="442">
        <f t="shared" si="303"/>
        <v>2.5</v>
      </c>
      <c r="F336" s="442">
        <v>0</v>
      </c>
      <c r="G336" s="442"/>
      <c r="H336" s="442">
        <v>0</v>
      </c>
      <c r="I336" s="442">
        <f t="shared" si="304"/>
        <v>73.8</v>
      </c>
      <c r="J336" s="442">
        <v>2.5</v>
      </c>
      <c r="K336" s="442">
        <v>73.8</v>
      </c>
      <c r="L336" s="442">
        <f t="shared" si="305"/>
        <v>76.3</v>
      </c>
      <c r="M336" s="447">
        <f t="shared" si="297"/>
        <v>2952</v>
      </c>
      <c r="N336" s="449"/>
    </row>
    <row r="337" s="38" customFormat="1" customHeight="1" spans="1:14">
      <c r="A337" s="441">
        <v>2130314</v>
      </c>
      <c r="B337" s="147" t="s">
        <v>446</v>
      </c>
      <c r="C337" s="442">
        <v>7.35</v>
      </c>
      <c r="D337" s="442">
        <v>0</v>
      </c>
      <c r="E337" s="442">
        <f t="shared" si="303"/>
        <v>7.35</v>
      </c>
      <c r="F337" s="442">
        <v>-7.35</v>
      </c>
      <c r="G337" s="442"/>
      <c r="H337" s="442">
        <v>0</v>
      </c>
      <c r="I337" s="442">
        <f t="shared" si="304"/>
        <v>0</v>
      </c>
      <c r="J337" s="442">
        <v>0</v>
      </c>
      <c r="K337" s="442"/>
      <c r="L337" s="442">
        <f t="shared" si="305"/>
        <v>0</v>
      </c>
      <c r="M337" s="447">
        <f t="shared" si="297"/>
        <v>-100</v>
      </c>
      <c r="N337" s="449" t="s">
        <v>447</v>
      </c>
    </row>
    <row r="338" s="38" customFormat="1" customHeight="1" spans="1:14">
      <c r="A338" s="441">
        <v>2130315</v>
      </c>
      <c r="B338" s="147" t="s">
        <v>448</v>
      </c>
      <c r="C338" s="442">
        <v>30</v>
      </c>
      <c r="D338" s="442"/>
      <c r="E338" s="442">
        <f t="shared" si="303"/>
        <v>30</v>
      </c>
      <c r="F338" s="442"/>
      <c r="G338" s="442"/>
      <c r="H338" s="442"/>
      <c r="I338" s="442">
        <f t="shared" si="304"/>
        <v>0</v>
      </c>
      <c r="J338" s="442"/>
      <c r="K338" s="442"/>
      <c r="L338" s="442">
        <f t="shared" si="305"/>
        <v>0</v>
      </c>
      <c r="M338" s="447">
        <f t="shared" si="297"/>
        <v>-100</v>
      </c>
      <c r="N338" s="449"/>
    </row>
    <row r="339" s="38" customFormat="1" customHeight="1" spans="1:14">
      <c r="A339" s="441">
        <v>2130317</v>
      </c>
      <c r="B339" s="147" t="s">
        <v>449</v>
      </c>
      <c r="C339" s="442">
        <v>1</v>
      </c>
      <c r="D339" s="442">
        <v>0</v>
      </c>
      <c r="E339" s="442">
        <f t="shared" si="303"/>
        <v>1</v>
      </c>
      <c r="F339" s="442">
        <v>0</v>
      </c>
      <c r="G339" s="442"/>
      <c r="H339" s="442">
        <v>0</v>
      </c>
      <c r="I339" s="442">
        <f t="shared" si="304"/>
        <v>0</v>
      </c>
      <c r="J339" s="442">
        <v>1</v>
      </c>
      <c r="K339" s="442"/>
      <c r="L339" s="442">
        <f t="shared" si="305"/>
        <v>1</v>
      </c>
      <c r="M339" s="447">
        <f t="shared" si="297"/>
        <v>0</v>
      </c>
      <c r="N339" s="449"/>
    </row>
    <row r="340" s="38" customFormat="1" customHeight="1" spans="1:14">
      <c r="A340" s="441">
        <v>2130399</v>
      </c>
      <c r="B340" s="147" t="s">
        <v>450</v>
      </c>
      <c r="C340" s="442">
        <f>139.71-30</f>
        <v>109.71</v>
      </c>
      <c r="D340" s="442">
        <v>0</v>
      </c>
      <c r="E340" s="442">
        <f t="shared" si="303"/>
        <v>109.71</v>
      </c>
      <c r="F340" s="442">
        <v>0</v>
      </c>
      <c r="G340" s="442">
        <v>0</v>
      </c>
      <c r="H340" s="442">
        <f>-15.57+30</f>
        <v>14.43</v>
      </c>
      <c r="I340" s="442">
        <f t="shared" si="304"/>
        <v>0</v>
      </c>
      <c r="J340" s="442">
        <v>124.14</v>
      </c>
      <c r="K340" s="442"/>
      <c r="L340" s="442">
        <f t="shared" si="305"/>
        <v>124.14</v>
      </c>
      <c r="M340" s="447">
        <f t="shared" si="297"/>
        <v>13.1528575334974</v>
      </c>
      <c r="N340" s="448" t="s">
        <v>119</v>
      </c>
    </row>
    <row r="341" s="38" customFormat="1" customHeight="1" spans="1:14">
      <c r="A341" s="441">
        <v>21305</v>
      </c>
      <c r="B341" s="147" t="s">
        <v>451</v>
      </c>
      <c r="C341" s="442">
        <f t="shared" ref="C341:F341" si="306">C342</f>
        <v>17.85</v>
      </c>
      <c r="D341" s="442">
        <f t="shared" si="306"/>
        <v>875</v>
      </c>
      <c r="E341" s="442">
        <f t="shared" si="306"/>
        <v>892.85</v>
      </c>
      <c r="F341" s="442">
        <f t="shared" si="306"/>
        <v>0</v>
      </c>
      <c r="G341" s="442"/>
      <c r="H341" s="442">
        <v>0</v>
      </c>
      <c r="I341" s="442">
        <f t="shared" si="304"/>
        <v>0</v>
      </c>
      <c r="J341" s="442">
        <f t="shared" ref="J341:L341" si="307">J342</f>
        <v>17.86</v>
      </c>
      <c r="K341" s="442">
        <f t="shared" si="307"/>
        <v>875</v>
      </c>
      <c r="L341" s="442">
        <f t="shared" si="307"/>
        <v>892.86</v>
      </c>
      <c r="M341" s="447">
        <f t="shared" si="297"/>
        <v>0.00112000896007066</v>
      </c>
      <c r="N341" s="449"/>
    </row>
    <row r="342" s="38" customFormat="1" customHeight="1" spans="1:14">
      <c r="A342" s="441">
        <v>2130599</v>
      </c>
      <c r="B342" s="147" t="s">
        <v>452</v>
      </c>
      <c r="C342" s="442">
        <v>17.85</v>
      </c>
      <c r="D342" s="442">
        <v>875</v>
      </c>
      <c r="E342" s="442">
        <f t="shared" ref="E342:E346" si="308">C342+D342</f>
        <v>892.85</v>
      </c>
      <c r="F342" s="442">
        <v>0</v>
      </c>
      <c r="G342" s="442"/>
      <c r="H342" s="442">
        <v>0</v>
      </c>
      <c r="I342" s="442">
        <f t="shared" si="304"/>
        <v>0</v>
      </c>
      <c r="J342" s="442">
        <v>17.86</v>
      </c>
      <c r="K342" s="442">
        <v>875</v>
      </c>
      <c r="L342" s="442">
        <f t="shared" ref="L342:L346" si="309">J342+K342</f>
        <v>892.86</v>
      </c>
      <c r="M342" s="447">
        <f t="shared" si="297"/>
        <v>0.00112000896007066</v>
      </c>
      <c r="N342" s="449"/>
    </row>
    <row r="343" s="38" customFormat="1" customHeight="1" spans="1:14">
      <c r="A343" s="441">
        <v>21307</v>
      </c>
      <c r="B343" s="147" t="s">
        <v>453</v>
      </c>
      <c r="C343" s="442">
        <f t="shared" ref="C343:L343" si="310">C345+C346+C344</f>
        <v>212.21</v>
      </c>
      <c r="D343" s="442">
        <f t="shared" si="310"/>
        <v>170.417</v>
      </c>
      <c r="E343" s="442">
        <f t="shared" si="310"/>
        <v>382.627</v>
      </c>
      <c r="F343" s="442">
        <f t="shared" si="310"/>
        <v>0</v>
      </c>
      <c r="G343" s="442">
        <f t="shared" si="310"/>
        <v>0</v>
      </c>
      <c r="H343" s="442">
        <f t="shared" si="310"/>
        <v>10.74</v>
      </c>
      <c r="I343" s="442">
        <f t="shared" si="310"/>
        <v>0</v>
      </c>
      <c r="J343" s="442">
        <f t="shared" si="310"/>
        <v>222.95</v>
      </c>
      <c r="K343" s="442">
        <f t="shared" si="310"/>
        <v>170.417</v>
      </c>
      <c r="L343" s="442">
        <f t="shared" si="310"/>
        <v>393.367</v>
      </c>
      <c r="M343" s="447">
        <f t="shared" si="297"/>
        <v>2.80691116936338</v>
      </c>
      <c r="N343" s="449"/>
    </row>
    <row r="344" s="38" customFormat="1" ht="30" customHeight="1" spans="1:14">
      <c r="A344" s="441">
        <v>2130701</v>
      </c>
      <c r="B344" s="147" t="s">
        <v>454</v>
      </c>
      <c r="C344" s="442"/>
      <c r="D344" s="442">
        <v>62</v>
      </c>
      <c r="E344" s="442">
        <f t="shared" si="308"/>
        <v>62</v>
      </c>
      <c r="F344" s="442"/>
      <c r="G344" s="442"/>
      <c r="H344" s="442"/>
      <c r="I344" s="442">
        <f t="shared" ref="I344:I360" si="311">K344-D344</f>
        <v>0</v>
      </c>
      <c r="J344" s="442"/>
      <c r="K344" s="442">
        <v>62</v>
      </c>
      <c r="L344" s="442">
        <f t="shared" si="309"/>
        <v>62</v>
      </c>
      <c r="M344" s="447">
        <f t="shared" si="297"/>
        <v>0</v>
      </c>
      <c r="N344" s="448"/>
    </row>
    <row r="345" s="38" customFormat="1" ht="30" customHeight="1" spans="1:14">
      <c r="A345" s="441">
        <v>2130705</v>
      </c>
      <c r="B345" s="147" t="s">
        <v>455</v>
      </c>
      <c r="C345" s="442">
        <f>197.95-10.74</f>
        <v>187.21</v>
      </c>
      <c r="D345" s="442">
        <v>108.417</v>
      </c>
      <c r="E345" s="442">
        <f t="shared" si="308"/>
        <v>295.627</v>
      </c>
      <c r="F345" s="442">
        <v>0</v>
      </c>
      <c r="G345" s="442">
        <v>0</v>
      </c>
      <c r="H345" s="442">
        <v>10.74</v>
      </c>
      <c r="I345" s="442">
        <f t="shared" si="311"/>
        <v>0</v>
      </c>
      <c r="J345" s="442">
        <v>197.95</v>
      </c>
      <c r="K345" s="442">
        <v>108.417</v>
      </c>
      <c r="L345" s="442">
        <f t="shared" si="309"/>
        <v>306.367</v>
      </c>
      <c r="M345" s="447">
        <f t="shared" si="297"/>
        <v>3.63295639437535</v>
      </c>
      <c r="N345" s="448" t="s">
        <v>147</v>
      </c>
    </row>
    <row r="346" s="38" customFormat="1" ht="30" customHeight="1" spans="1:14">
      <c r="A346" s="441">
        <v>2130707</v>
      </c>
      <c r="B346" s="147" t="s">
        <v>456</v>
      </c>
      <c r="C346" s="442">
        <v>25</v>
      </c>
      <c r="D346" s="442">
        <v>0</v>
      </c>
      <c r="E346" s="442">
        <f t="shared" si="308"/>
        <v>25</v>
      </c>
      <c r="F346" s="442">
        <v>0</v>
      </c>
      <c r="G346" s="442"/>
      <c r="H346" s="442">
        <v>0</v>
      </c>
      <c r="I346" s="442">
        <f t="shared" si="311"/>
        <v>0</v>
      </c>
      <c r="J346" s="442">
        <v>25</v>
      </c>
      <c r="K346" s="442"/>
      <c r="L346" s="442">
        <f t="shared" si="309"/>
        <v>25</v>
      </c>
      <c r="M346" s="447">
        <f t="shared" si="297"/>
        <v>0</v>
      </c>
      <c r="N346" s="449"/>
    </row>
    <row r="347" s="38" customFormat="1" customHeight="1" spans="1:14">
      <c r="A347" s="441">
        <v>21308</v>
      </c>
      <c r="B347" s="147" t="s">
        <v>457</v>
      </c>
      <c r="C347" s="442">
        <f t="shared" ref="C347:F347" si="312">C348+C349</f>
        <v>29.8</v>
      </c>
      <c r="D347" s="442">
        <f t="shared" si="312"/>
        <v>0</v>
      </c>
      <c r="E347" s="442">
        <f t="shared" si="312"/>
        <v>29.8</v>
      </c>
      <c r="F347" s="442">
        <f t="shared" si="312"/>
        <v>50</v>
      </c>
      <c r="G347" s="442"/>
      <c r="H347" s="442">
        <v>0</v>
      </c>
      <c r="I347" s="442">
        <f t="shared" si="311"/>
        <v>0</v>
      </c>
      <c r="J347" s="442">
        <f t="shared" ref="J347:L347" si="313">J348+J349</f>
        <v>79.8</v>
      </c>
      <c r="K347" s="442">
        <f t="shared" si="313"/>
        <v>0</v>
      </c>
      <c r="L347" s="442">
        <f t="shared" si="313"/>
        <v>79.8</v>
      </c>
      <c r="M347" s="447">
        <f t="shared" si="297"/>
        <v>167.785234899329</v>
      </c>
      <c r="N347" s="449"/>
    </row>
    <row r="348" s="38" customFormat="1" customHeight="1" spans="1:14">
      <c r="A348" s="441">
        <v>2130803</v>
      </c>
      <c r="B348" s="147" t="s">
        <v>458</v>
      </c>
      <c r="C348" s="442">
        <v>20.8</v>
      </c>
      <c r="D348" s="442">
        <v>0</v>
      </c>
      <c r="E348" s="442">
        <f t="shared" ref="E348:E351" si="314">C348+D348</f>
        <v>20.8</v>
      </c>
      <c r="F348" s="442">
        <v>50</v>
      </c>
      <c r="G348" s="442"/>
      <c r="H348" s="442">
        <v>0</v>
      </c>
      <c r="I348" s="442">
        <f t="shared" si="311"/>
        <v>0</v>
      </c>
      <c r="J348" s="442">
        <v>70.8</v>
      </c>
      <c r="K348" s="442"/>
      <c r="L348" s="442">
        <f t="shared" ref="L348:L351" si="315">J348+K348</f>
        <v>70.8</v>
      </c>
      <c r="M348" s="447">
        <f t="shared" si="297"/>
        <v>240.384615384615</v>
      </c>
      <c r="N348" s="449" t="s">
        <v>459</v>
      </c>
    </row>
    <row r="349" s="38" customFormat="1" customHeight="1" spans="1:14">
      <c r="A349" s="441">
        <v>2130804</v>
      </c>
      <c r="B349" s="147" t="s">
        <v>460</v>
      </c>
      <c r="C349" s="442">
        <v>9</v>
      </c>
      <c r="D349" s="442">
        <v>0</v>
      </c>
      <c r="E349" s="442">
        <f t="shared" si="314"/>
        <v>9</v>
      </c>
      <c r="F349" s="442">
        <v>0</v>
      </c>
      <c r="G349" s="442"/>
      <c r="H349" s="442">
        <v>0</v>
      </c>
      <c r="I349" s="442">
        <f t="shared" si="311"/>
        <v>0</v>
      </c>
      <c r="J349" s="442">
        <v>9</v>
      </c>
      <c r="K349" s="442"/>
      <c r="L349" s="442">
        <f t="shared" si="315"/>
        <v>9</v>
      </c>
      <c r="M349" s="447">
        <f t="shared" si="297"/>
        <v>0</v>
      </c>
      <c r="N349" s="448"/>
    </row>
    <row r="350" s="38" customFormat="1" customHeight="1" spans="1:14">
      <c r="A350" s="441">
        <v>21399</v>
      </c>
      <c r="B350" s="147" t="s">
        <v>461</v>
      </c>
      <c r="C350" s="442">
        <f t="shared" ref="C350:F350" si="316">C351</f>
        <v>4858.78</v>
      </c>
      <c r="D350" s="442">
        <f t="shared" si="316"/>
        <v>2479.04</v>
      </c>
      <c r="E350" s="442">
        <f t="shared" si="316"/>
        <v>7337.82</v>
      </c>
      <c r="F350" s="442">
        <f t="shared" si="316"/>
        <v>198</v>
      </c>
      <c r="G350" s="442"/>
      <c r="H350" s="442">
        <v>-0.879999999999999</v>
      </c>
      <c r="I350" s="442">
        <f t="shared" si="311"/>
        <v>46</v>
      </c>
      <c r="J350" s="442">
        <f t="shared" ref="J350:L350" si="317">J351</f>
        <v>4438.79</v>
      </c>
      <c r="K350" s="442">
        <f t="shared" si="317"/>
        <v>2525.04</v>
      </c>
      <c r="L350" s="442">
        <f t="shared" si="317"/>
        <v>6963.83</v>
      </c>
      <c r="M350" s="447">
        <f t="shared" si="297"/>
        <v>-5.09674535488742</v>
      </c>
      <c r="N350" s="449"/>
    </row>
    <row r="351" s="38" customFormat="1" ht="30" customHeight="1" spans="1:14">
      <c r="A351" s="441">
        <v>2139999</v>
      </c>
      <c r="B351" s="147" t="s">
        <v>461</v>
      </c>
      <c r="C351" s="442">
        <f>4241.66+617.12</f>
        <v>4858.78</v>
      </c>
      <c r="D351" s="442">
        <v>2479.04</v>
      </c>
      <c r="E351" s="442">
        <f t="shared" si="314"/>
        <v>7337.82</v>
      </c>
      <c r="F351" s="442">
        <v>198</v>
      </c>
      <c r="G351" s="442"/>
      <c r="H351" s="442">
        <f>-0.88-617.12</f>
        <v>-618</v>
      </c>
      <c r="I351" s="442">
        <f t="shared" si="311"/>
        <v>46</v>
      </c>
      <c r="J351" s="442">
        <v>4438.79</v>
      </c>
      <c r="K351" s="442">
        <v>2525.04</v>
      </c>
      <c r="L351" s="442">
        <f t="shared" si="315"/>
        <v>6963.83</v>
      </c>
      <c r="M351" s="447">
        <f t="shared" si="297"/>
        <v>-5.09674535488742</v>
      </c>
      <c r="N351" s="449" t="s">
        <v>462</v>
      </c>
    </row>
    <row r="352" s="38" customFormat="1" customHeight="1" spans="1:14">
      <c r="A352" s="441">
        <v>214</v>
      </c>
      <c r="B352" s="147" t="s">
        <v>463</v>
      </c>
      <c r="C352" s="442">
        <f t="shared" ref="C352:G352" si="318">C353+C358</f>
        <v>15098.32</v>
      </c>
      <c r="D352" s="442">
        <f t="shared" si="318"/>
        <v>100</v>
      </c>
      <c r="E352" s="442">
        <f t="shared" si="318"/>
        <v>15198.32</v>
      </c>
      <c r="F352" s="442">
        <f t="shared" si="318"/>
        <v>0</v>
      </c>
      <c r="G352" s="442">
        <f t="shared" si="318"/>
        <v>0</v>
      </c>
      <c r="H352" s="442">
        <v>0.05</v>
      </c>
      <c r="I352" s="442">
        <f t="shared" si="311"/>
        <v>487.6845</v>
      </c>
      <c r="J352" s="442">
        <f t="shared" ref="J352:L352" si="319">J353+J358</f>
        <v>15098.36</v>
      </c>
      <c r="K352" s="442">
        <f t="shared" si="319"/>
        <v>587.6845</v>
      </c>
      <c r="L352" s="442">
        <f t="shared" si="319"/>
        <v>15686.0445</v>
      </c>
      <c r="M352" s="447">
        <f t="shared" si="297"/>
        <v>3.20906850230815</v>
      </c>
      <c r="N352" s="448">
        <v>0</v>
      </c>
    </row>
    <row r="353" s="38" customFormat="1" customHeight="1" spans="1:14">
      <c r="A353" s="441">
        <v>21401</v>
      </c>
      <c r="B353" s="147" t="s">
        <v>464</v>
      </c>
      <c r="C353" s="442">
        <f t="shared" ref="C353:H353" si="320">C354+C355+C357+C356</f>
        <v>15096.32</v>
      </c>
      <c r="D353" s="442">
        <f t="shared" si="320"/>
        <v>100</v>
      </c>
      <c r="E353" s="442">
        <f t="shared" si="320"/>
        <v>15196.32</v>
      </c>
      <c r="F353" s="442">
        <f t="shared" si="320"/>
        <v>0</v>
      </c>
      <c r="G353" s="442">
        <f t="shared" si="320"/>
        <v>0</v>
      </c>
      <c r="H353" s="442">
        <f t="shared" si="320"/>
        <v>0.05</v>
      </c>
      <c r="I353" s="442">
        <f t="shared" si="311"/>
        <v>487.6845</v>
      </c>
      <c r="J353" s="442">
        <f t="shared" ref="J353:L353" si="321">J354+J355+J357+J356</f>
        <v>15096.36</v>
      </c>
      <c r="K353" s="442">
        <f t="shared" si="321"/>
        <v>587.6845</v>
      </c>
      <c r="L353" s="442">
        <f t="shared" si="321"/>
        <v>15684.0445</v>
      </c>
      <c r="M353" s="447">
        <f t="shared" si="297"/>
        <v>3.20949085041642</v>
      </c>
      <c r="N353" s="448">
        <v>0</v>
      </c>
    </row>
    <row r="354" s="38" customFormat="1" customHeight="1" spans="1:14">
      <c r="A354" s="441">
        <v>2140104</v>
      </c>
      <c r="B354" s="147" t="s">
        <v>465</v>
      </c>
      <c r="C354" s="442">
        <v>15000</v>
      </c>
      <c r="D354" s="442">
        <v>0</v>
      </c>
      <c r="E354" s="442">
        <f t="shared" ref="E354:E357" si="322">C354+D354</f>
        <v>15000</v>
      </c>
      <c r="F354" s="442">
        <v>0</v>
      </c>
      <c r="G354" s="442">
        <v>0</v>
      </c>
      <c r="H354" s="442">
        <v>0</v>
      </c>
      <c r="I354" s="442">
        <f t="shared" si="311"/>
        <v>0</v>
      </c>
      <c r="J354" s="442">
        <v>15000</v>
      </c>
      <c r="K354" s="442"/>
      <c r="L354" s="442">
        <f t="shared" ref="L354:L357" si="323">J354+K354</f>
        <v>15000</v>
      </c>
      <c r="M354" s="447">
        <f t="shared" si="297"/>
        <v>0</v>
      </c>
      <c r="N354" s="448">
        <v>0</v>
      </c>
    </row>
    <row r="355" s="38" customFormat="1" customHeight="1" spans="1:14">
      <c r="A355" s="441">
        <v>2140106</v>
      </c>
      <c r="B355" s="147" t="s">
        <v>466</v>
      </c>
      <c r="C355" s="442">
        <v>18</v>
      </c>
      <c r="D355" s="442">
        <v>0</v>
      </c>
      <c r="E355" s="442">
        <f t="shared" si="322"/>
        <v>18</v>
      </c>
      <c r="F355" s="442">
        <v>0</v>
      </c>
      <c r="G355" s="442">
        <v>0</v>
      </c>
      <c r="H355" s="442">
        <v>0</v>
      </c>
      <c r="I355" s="442">
        <f t="shared" si="311"/>
        <v>0</v>
      </c>
      <c r="J355" s="442">
        <v>18</v>
      </c>
      <c r="K355" s="442"/>
      <c r="L355" s="442">
        <f t="shared" si="323"/>
        <v>18</v>
      </c>
      <c r="M355" s="447">
        <f t="shared" si="297"/>
        <v>0</v>
      </c>
      <c r="N355" s="448">
        <v>0</v>
      </c>
    </row>
    <row r="356" s="38" customFormat="1" customHeight="1" spans="1:14">
      <c r="A356" s="441">
        <v>2140110</v>
      </c>
      <c r="B356" s="147" t="s">
        <v>467</v>
      </c>
      <c r="C356" s="442"/>
      <c r="D356" s="442"/>
      <c r="E356" s="442"/>
      <c r="F356" s="442"/>
      <c r="G356" s="442"/>
      <c r="H356" s="442"/>
      <c r="I356" s="442">
        <f t="shared" si="311"/>
        <v>377.9</v>
      </c>
      <c r="J356" s="442"/>
      <c r="K356" s="442">
        <v>377.9</v>
      </c>
      <c r="L356" s="442">
        <f t="shared" si="323"/>
        <v>377.9</v>
      </c>
      <c r="M356" s="447">
        <v>100</v>
      </c>
      <c r="N356" s="448"/>
    </row>
    <row r="357" s="38" customFormat="1" ht="29" customHeight="1" spans="1:14">
      <c r="A357" s="441">
        <v>2140199</v>
      </c>
      <c r="B357" s="147" t="s">
        <v>468</v>
      </c>
      <c r="C357" s="442">
        <v>78.32</v>
      </c>
      <c r="D357" s="442">
        <v>100</v>
      </c>
      <c r="E357" s="442">
        <f t="shared" si="322"/>
        <v>178.32</v>
      </c>
      <c r="F357" s="442">
        <v>0</v>
      </c>
      <c r="G357" s="442">
        <v>0</v>
      </c>
      <c r="H357" s="442">
        <v>0.05</v>
      </c>
      <c r="I357" s="442">
        <f t="shared" si="311"/>
        <v>109.7845</v>
      </c>
      <c r="J357" s="442">
        <v>78.36</v>
      </c>
      <c r="K357" s="442">
        <v>209.7845</v>
      </c>
      <c r="L357" s="442">
        <f t="shared" si="323"/>
        <v>288.1445</v>
      </c>
      <c r="M357" s="447">
        <f t="shared" ref="M357:M366" si="324">(L357-E357)/E357*100</f>
        <v>61.5884365186182</v>
      </c>
      <c r="N357" s="448">
        <v>0</v>
      </c>
    </row>
    <row r="358" s="38" customFormat="1" customHeight="1" spans="1:14">
      <c r="A358" s="441">
        <v>21499</v>
      </c>
      <c r="B358" s="147" t="s">
        <v>469</v>
      </c>
      <c r="C358" s="442">
        <f t="shared" ref="C358:G358" si="325">C359</f>
        <v>2</v>
      </c>
      <c r="D358" s="442">
        <f t="shared" si="325"/>
        <v>0</v>
      </c>
      <c r="E358" s="442">
        <f t="shared" si="325"/>
        <v>2</v>
      </c>
      <c r="F358" s="442">
        <f t="shared" si="325"/>
        <v>0</v>
      </c>
      <c r="G358" s="442">
        <f t="shared" si="325"/>
        <v>0</v>
      </c>
      <c r="H358" s="442">
        <v>0</v>
      </c>
      <c r="I358" s="442">
        <f t="shared" si="311"/>
        <v>0</v>
      </c>
      <c r="J358" s="442">
        <f t="shared" ref="J358:L358" si="326">J359</f>
        <v>2</v>
      </c>
      <c r="K358" s="442">
        <f t="shared" si="326"/>
        <v>0</v>
      </c>
      <c r="L358" s="442">
        <f t="shared" si="326"/>
        <v>2</v>
      </c>
      <c r="M358" s="447">
        <f t="shared" si="324"/>
        <v>0</v>
      </c>
      <c r="N358" s="448">
        <v>0</v>
      </c>
    </row>
    <row r="359" s="38" customFormat="1" customHeight="1" spans="1:14">
      <c r="A359" s="441">
        <v>2149999</v>
      </c>
      <c r="B359" s="147" t="s">
        <v>469</v>
      </c>
      <c r="C359" s="442">
        <v>2</v>
      </c>
      <c r="D359" s="442">
        <v>0</v>
      </c>
      <c r="E359" s="442">
        <f t="shared" ref="E359:E364" si="327">C359+D359</f>
        <v>2</v>
      </c>
      <c r="F359" s="442">
        <v>0</v>
      </c>
      <c r="G359" s="442">
        <v>0</v>
      </c>
      <c r="H359" s="442">
        <v>0</v>
      </c>
      <c r="I359" s="442">
        <f t="shared" si="311"/>
        <v>0</v>
      </c>
      <c r="J359" s="442">
        <v>2</v>
      </c>
      <c r="K359" s="442"/>
      <c r="L359" s="442">
        <f t="shared" ref="L359:L364" si="328">J359+K359</f>
        <v>2</v>
      </c>
      <c r="M359" s="447">
        <f t="shared" si="324"/>
        <v>0</v>
      </c>
      <c r="N359" s="448">
        <v>0</v>
      </c>
    </row>
    <row r="360" s="38" customFormat="1" ht="30" customHeight="1" spans="1:14">
      <c r="A360" s="441">
        <v>215</v>
      </c>
      <c r="B360" s="147" t="s">
        <v>470</v>
      </c>
      <c r="C360" s="442">
        <f t="shared" ref="C360:G360" si="329">C361+C365+C367</f>
        <v>601.35</v>
      </c>
      <c r="D360" s="442">
        <f t="shared" si="329"/>
        <v>0</v>
      </c>
      <c r="E360" s="442">
        <f t="shared" si="329"/>
        <v>601.35</v>
      </c>
      <c r="F360" s="442">
        <f t="shared" si="329"/>
        <v>3</v>
      </c>
      <c r="G360" s="442">
        <f t="shared" si="329"/>
        <v>0</v>
      </c>
      <c r="H360" s="442">
        <v>21.15</v>
      </c>
      <c r="I360" s="442">
        <f t="shared" si="311"/>
        <v>163.55</v>
      </c>
      <c r="J360" s="442">
        <f t="shared" ref="J360:L360" si="330">J361+J365+J367</f>
        <v>625.51</v>
      </c>
      <c r="K360" s="442">
        <f t="shared" si="330"/>
        <v>163.55</v>
      </c>
      <c r="L360" s="442">
        <f t="shared" si="330"/>
        <v>789.06</v>
      </c>
      <c r="M360" s="447">
        <f t="shared" si="324"/>
        <v>31.2147667747568</v>
      </c>
      <c r="N360" s="448"/>
    </row>
    <row r="361" s="38" customFormat="1" customHeight="1" spans="1:14">
      <c r="A361" s="441">
        <v>21505</v>
      </c>
      <c r="B361" s="147" t="s">
        <v>471</v>
      </c>
      <c r="C361" s="442">
        <f t="shared" ref="C361:L361" si="331">C362+C363+C364</f>
        <v>281.35</v>
      </c>
      <c r="D361" s="442">
        <f t="shared" si="331"/>
        <v>0</v>
      </c>
      <c r="E361" s="442">
        <f t="shared" si="331"/>
        <v>281.35</v>
      </c>
      <c r="F361" s="442">
        <f t="shared" si="331"/>
        <v>3</v>
      </c>
      <c r="G361" s="442">
        <f t="shared" si="331"/>
        <v>0</v>
      </c>
      <c r="H361" s="442">
        <f t="shared" si="331"/>
        <v>1.23</v>
      </c>
      <c r="I361" s="442">
        <f t="shared" si="331"/>
        <v>18</v>
      </c>
      <c r="J361" s="442">
        <f t="shared" si="331"/>
        <v>285.59</v>
      </c>
      <c r="K361" s="442">
        <f t="shared" si="331"/>
        <v>18</v>
      </c>
      <c r="L361" s="442">
        <f t="shared" si="331"/>
        <v>303.59</v>
      </c>
      <c r="M361" s="447">
        <f t="shared" si="324"/>
        <v>7.90474497956282</v>
      </c>
      <c r="N361" s="448"/>
    </row>
    <row r="362" s="38" customFormat="1" customHeight="1" spans="1:14">
      <c r="A362" s="441">
        <v>2150501</v>
      </c>
      <c r="B362" s="147" t="s">
        <v>90</v>
      </c>
      <c r="C362" s="442">
        <v>74.42</v>
      </c>
      <c r="D362" s="442">
        <v>0</v>
      </c>
      <c r="E362" s="442">
        <f t="shared" si="327"/>
        <v>74.42</v>
      </c>
      <c r="F362" s="442">
        <v>0</v>
      </c>
      <c r="G362" s="442"/>
      <c r="H362" s="442">
        <v>0.73</v>
      </c>
      <c r="I362" s="442">
        <f t="shared" ref="I362:I375" si="332">K362-D362</f>
        <v>0</v>
      </c>
      <c r="J362" s="442">
        <v>75.15</v>
      </c>
      <c r="K362" s="442"/>
      <c r="L362" s="442">
        <f t="shared" si="328"/>
        <v>75.15</v>
      </c>
      <c r="M362" s="447">
        <f t="shared" si="324"/>
        <v>0.980919107766735</v>
      </c>
      <c r="N362" s="449" t="s">
        <v>119</v>
      </c>
    </row>
    <row r="363" s="38" customFormat="1" customHeight="1" spans="1:14">
      <c r="A363" s="441">
        <v>2150550</v>
      </c>
      <c r="B363" s="147" t="s">
        <v>118</v>
      </c>
      <c r="C363" s="442">
        <v>127.93</v>
      </c>
      <c r="D363" s="442">
        <v>0</v>
      </c>
      <c r="E363" s="442">
        <f t="shared" si="327"/>
        <v>127.93</v>
      </c>
      <c r="F363" s="442">
        <v>0</v>
      </c>
      <c r="G363" s="442">
        <v>0</v>
      </c>
      <c r="H363" s="442">
        <v>0.500000000000004</v>
      </c>
      <c r="I363" s="442">
        <f t="shared" si="332"/>
        <v>0</v>
      </c>
      <c r="J363" s="442">
        <v>128.44</v>
      </c>
      <c r="K363" s="442"/>
      <c r="L363" s="442">
        <f t="shared" si="328"/>
        <v>128.44</v>
      </c>
      <c r="M363" s="447">
        <f t="shared" si="324"/>
        <v>0.398655514734613</v>
      </c>
      <c r="N363" s="448" t="s">
        <v>119</v>
      </c>
    </row>
    <row r="364" s="38" customFormat="1" ht="32" customHeight="1" spans="1:14">
      <c r="A364" s="441">
        <v>2150599</v>
      </c>
      <c r="B364" s="147" t="s">
        <v>472</v>
      </c>
      <c r="C364" s="442">
        <v>79</v>
      </c>
      <c r="D364" s="442">
        <v>0</v>
      </c>
      <c r="E364" s="442">
        <f t="shared" si="327"/>
        <v>79</v>
      </c>
      <c r="F364" s="442">
        <v>3</v>
      </c>
      <c r="G364" s="442"/>
      <c r="H364" s="442">
        <v>0</v>
      </c>
      <c r="I364" s="442">
        <f t="shared" si="332"/>
        <v>18</v>
      </c>
      <c r="J364" s="442">
        <v>82</v>
      </c>
      <c r="K364" s="442">
        <v>18</v>
      </c>
      <c r="L364" s="442">
        <f t="shared" si="328"/>
        <v>100</v>
      </c>
      <c r="M364" s="447">
        <f t="shared" si="324"/>
        <v>26.5822784810127</v>
      </c>
      <c r="N364" s="448" t="s">
        <v>473</v>
      </c>
    </row>
    <row r="365" s="38" customFormat="1" ht="32" customHeight="1" spans="1:14">
      <c r="A365" s="441">
        <v>21508</v>
      </c>
      <c r="B365" s="147" t="s">
        <v>474</v>
      </c>
      <c r="C365" s="442">
        <f t="shared" ref="C365:G365" si="333">C366</f>
        <v>320</v>
      </c>
      <c r="D365" s="442">
        <f t="shared" si="333"/>
        <v>0</v>
      </c>
      <c r="E365" s="442">
        <f t="shared" si="333"/>
        <v>320</v>
      </c>
      <c r="F365" s="442">
        <f t="shared" si="333"/>
        <v>0</v>
      </c>
      <c r="G365" s="442">
        <f t="shared" si="333"/>
        <v>0</v>
      </c>
      <c r="H365" s="442">
        <v>0</v>
      </c>
      <c r="I365" s="442">
        <f t="shared" si="332"/>
        <v>145.55</v>
      </c>
      <c r="J365" s="442">
        <f t="shared" ref="J365:L365" si="334">J366</f>
        <v>320</v>
      </c>
      <c r="K365" s="442">
        <f t="shared" si="334"/>
        <v>145.55</v>
      </c>
      <c r="L365" s="442">
        <f t="shared" si="334"/>
        <v>465.55</v>
      </c>
      <c r="M365" s="447">
        <f t="shared" si="324"/>
        <v>45.484375</v>
      </c>
      <c r="N365" s="448">
        <v>0</v>
      </c>
    </row>
    <row r="366" s="38" customFormat="1" customHeight="1" spans="1:14">
      <c r="A366" s="441">
        <v>2150805</v>
      </c>
      <c r="B366" s="147" t="s">
        <v>475</v>
      </c>
      <c r="C366" s="442">
        <v>320</v>
      </c>
      <c r="D366" s="442">
        <v>0</v>
      </c>
      <c r="E366" s="442">
        <f t="shared" ref="E366:E371" si="335">C366+D366</f>
        <v>320</v>
      </c>
      <c r="F366" s="442">
        <v>0</v>
      </c>
      <c r="G366" s="442">
        <v>0</v>
      </c>
      <c r="H366" s="442">
        <v>0</v>
      </c>
      <c r="I366" s="442">
        <f t="shared" si="332"/>
        <v>145.55</v>
      </c>
      <c r="J366" s="442">
        <v>320</v>
      </c>
      <c r="K366" s="442">
        <v>145.55</v>
      </c>
      <c r="L366" s="442">
        <f t="shared" ref="L366:L371" si="336">J366+K366</f>
        <v>465.55</v>
      </c>
      <c r="M366" s="447">
        <f t="shared" si="324"/>
        <v>45.484375</v>
      </c>
      <c r="N366" s="448">
        <v>0</v>
      </c>
    </row>
    <row r="367" s="38" customFormat="1" ht="34" customHeight="1" spans="1:14">
      <c r="A367" s="441">
        <v>21599</v>
      </c>
      <c r="B367" s="147" t="s">
        <v>476</v>
      </c>
      <c r="C367" s="442">
        <f t="shared" ref="C367:G367" si="337">C368</f>
        <v>0</v>
      </c>
      <c r="D367" s="442">
        <f t="shared" si="337"/>
        <v>0</v>
      </c>
      <c r="E367" s="442">
        <f t="shared" si="337"/>
        <v>0</v>
      </c>
      <c r="F367" s="442">
        <f t="shared" si="337"/>
        <v>0</v>
      </c>
      <c r="G367" s="442">
        <f t="shared" si="337"/>
        <v>0</v>
      </c>
      <c r="H367" s="442">
        <v>19.92</v>
      </c>
      <c r="I367" s="442">
        <f t="shared" si="332"/>
        <v>0</v>
      </c>
      <c r="J367" s="442">
        <f t="shared" ref="J367:L367" si="338">J368</f>
        <v>19.92</v>
      </c>
      <c r="K367" s="442">
        <f t="shared" si="338"/>
        <v>0</v>
      </c>
      <c r="L367" s="442">
        <f t="shared" si="338"/>
        <v>19.92</v>
      </c>
      <c r="M367" s="447">
        <v>100</v>
      </c>
      <c r="N367" s="448"/>
    </row>
    <row r="368" s="38" customFormat="1" ht="36" customHeight="1" spans="1:14">
      <c r="A368" s="441">
        <v>2159999</v>
      </c>
      <c r="B368" s="147" t="s">
        <v>476</v>
      </c>
      <c r="C368" s="442">
        <v>0</v>
      </c>
      <c r="D368" s="442"/>
      <c r="E368" s="442">
        <f t="shared" si="335"/>
        <v>0</v>
      </c>
      <c r="F368" s="442">
        <v>0</v>
      </c>
      <c r="G368" s="442">
        <v>0</v>
      </c>
      <c r="H368" s="442">
        <v>19.92</v>
      </c>
      <c r="I368" s="442">
        <f t="shared" si="332"/>
        <v>0</v>
      </c>
      <c r="J368" s="442">
        <v>19.92</v>
      </c>
      <c r="K368" s="442"/>
      <c r="L368" s="442">
        <f t="shared" si="336"/>
        <v>19.92</v>
      </c>
      <c r="M368" s="447">
        <v>100</v>
      </c>
      <c r="N368" s="448" t="s">
        <v>477</v>
      </c>
    </row>
    <row r="369" s="38" customFormat="1" customHeight="1" spans="1:14">
      <c r="A369" s="441">
        <v>216</v>
      </c>
      <c r="B369" s="147" t="s">
        <v>478</v>
      </c>
      <c r="C369" s="442">
        <f t="shared" ref="C369:G369" si="339">C370+C372+C374</f>
        <v>288.89</v>
      </c>
      <c r="D369" s="442">
        <f t="shared" si="339"/>
        <v>56.54</v>
      </c>
      <c r="E369" s="442">
        <f t="shared" si="339"/>
        <v>345.43</v>
      </c>
      <c r="F369" s="442">
        <f t="shared" si="339"/>
        <v>-0.49</v>
      </c>
      <c r="G369" s="442">
        <f t="shared" si="339"/>
        <v>0</v>
      </c>
      <c r="H369" s="442">
        <v>1.02</v>
      </c>
      <c r="I369" s="442">
        <f t="shared" si="332"/>
        <v>316.311103</v>
      </c>
      <c r="J369" s="442">
        <f t="shared" ref="J369:L369" si="340">J370+J372+J374</f>
        <v>289.43</v>
      </c>
      <c r="K369" s="442">
        <f t="shared" si="340"/>
        <v>372.851103</v>
      </c>
      <c r="L369" s="442">
        <f t="shared" si="340"/>
        <v>662.281103</v>
      </c>
      <c r="M369" s="447">
        <f t="shared" ref="M369:M376" si="341">(L369-E369)/E369*100</f>
        <v>91.7265735460151</v>
      </c>
      <c r="N369" s="448">
        <v>0</v>
      </c>
    </row>
    <row r="370" s="38" customFormat="1" customHeight="1" spans="1:14">
      <c r="A370" s="441">
        <v>21602</v>
      </c>
      <c r="B370" s="147" t="s">
        <v>479</v>
      </c>
      <c r="C370" s="442">
        <f t="shared" ref="C370:F370" si="342">C371</f>
        <v>119.94</v>
      </c>
      <c r="D370" s="442">
        <f t="shared" si="342"/>
        <v>23.94</v>
      </c>
      <c r="E370" s="442">
        <f t="shared" si="342"/>
        <v>143.88</v>
      </c>
      <c r="F370" s="442">
        <f t="shared" si="342"/>
        <v>-0.49</v>
      </c>
      <c r="G370" s="442"/>
      <c r="H370" s="442">
        <v>1.02</v>
      </c>
      <c r="I370" s="442">
        <f t="shared" si="332"/>
        <v>0</v>
      </c>
      <c r="J370" s="442">
        <f t="shared" ref="J370:L370" si="343">J371</f>
        <v>120.48</v>
      </c>
      <c r="K370" s="442">
        <f t="shared" si="343"/>
        <v>23.94</v>
      </c>
      <c r="L370" s="442">
        <f t="shared" si="343"/>
        <v>144.42</v>
      </c>
      <c r="M370" s="447">
        <f t="shared" si="341"/>
        <v>0.375312760633876</v>
      </c>
      <c r="N370" s="449"/>
    </row>
    <row r="371" s="38" customFormat="1" ht="33" customHeight="1" spans="1:14">
      <c r="A371" s="441">
        <v>2160299</v>
      </c>
      <c r="B371" s="147" t="s">
        <v>480</v>
      </c>
      <c r="C371" s="442">
        <v>119.94</v>
      </c>
      <c r="D371" s="442">
        <v>23.94</v>
      </c>
      <c r="E371" s="442">
        <f t="shared" si="335"/>
        <v>143.88</v>
      </c>
      <c r="F371" s="442">
        <v>-0.49</v>
      </c>
      <c r="G371" s="442"/>
      <c r="H371" s="442">
        <v>1.02</v>
      </c>
      <c r="I371" s="442">
        <f t="shared" si="332"/>
        <v>0</v>
      </c>
      <c r="J371" s="442">
        <v>120.48</v>
      </c>
      <c r="K371" s="442">
        <v>23.94</v>
      </c>
      <c r="L371" s="442">
        <f t="shared" si="336"/>
        <v>144.42</v>
      </c>
      <c r="M371" s="447">
        <f t="shared" si="341"/>
        <v>0.375312760633876</v>
      </c>
      <c r="N371" s="449" t="s">
        <v>119</v>
      </c>
    </row>
    <row r="372" s="38" customFormat="1" ht="24" customHeight="1" spans="1:14">
      <c r="A372" s="441">
        <v>21606</v>
      </c>
      <c r="B372" s="147" t="s">
        <v>481</v>
      </c>
      <c r="C372" s="442">
        <f t="shared" ref="C372:F372" si="344">C373</f>
        <v>151.95</v>
      </c>
      <c r="D372" s="442">
        <f t="shared" si="344"/>
        <v>32.6</v>
      </c>
      <c r="E372" s="442">
        <f t="shared" si="344"/>
        <v>184.55</v>
      </c>
      <c r="F372" s="442">
        <f t="shared" si="344"/>
        <v>0</v>
      </c>
      <c r="G372" s="442"/>
      <c r="H372" s="442">
        <v>0</v>
      </c>
      <c r="I372" s="442">
        <f t="shared" si="332"/>
        <v>316.311103</v>
      </c>
      <c r="J372" s="442">
        <f t="shared" ref="J372:L372" si="345">J373</f>
        <v>151.95</v>
      </c>
      <c r="K372" s="442">
        <f t="shared" si="345"/>
        <v>348.911103</v>
      </c>
      <c r="L372" s="442">
        <f t="shared" si="345"/>
        <v>500.861103</v>
      </c>
      <c r="M372" s="447">
        <f t="shared" si="341"/>
        <v>171.395883500406</v>
      </c>
      <c r="N372" s="449"/>
    </row>
    <row r="373" s="38" customFormat="1" ht="33" customHeight="1" spans="1:14">
      <c r="A373" s="441">
        <v>2160699</v>
      </c>
      <c r="B373" s="147" t="s">
        <v>482</v>
      </c>
      <c r="C373" s="442">
        <v>151.95</v>
      </c>
      <c r="D373" s="442">
        <v>32.6</v>
      </c>
      <c r="E373" s="442">
        <f t="shared" ref="E373:E378" si="346">C373+D373</f>
        <v>184.55</v>
      </c>
      <c r="F373" s="442">
        <v>0</v>
      </c>
      <c r="G373" s="442"/>
      <c r="H373" s="442">
        <v>0</v>
      </c>
      <c r="I373" s="442">
        <f t="shared" si="332"/>
        <v>316.311103</v>
      </c>
      <c r="J373" s="442">
        <v>151.95</v>
      </c>
      <c r="K373" s="442">
        <v>348.911103</v>
      </c>
      <c r="L373" s="442">
        <f t="shared" ref="L373:L378" si="347">J373+K373</f>
        <v>500.861103</v>
      </c>
      <c r="M373" s="447">
        <f t="shared" si="341"/>
        <v>171.395883500406</v>
      </c>
      <c r="N373" s="448"/>
    </row>
    <row r="374" s="38" customFormat="1" ht="33" customHeight="1" spans="1:14">
      <c r="A374" s="441">
        <v>21699</v>
      </c>
      <c r="B374" s="147" t="s">
        <v>483</v>
      </c>
      <c r="C374" s="442">
        <f t="shared" ref="C374:F374" si="348">C375</f>
        <v>17</v>
      </c>
      <c r="D374" s="442">
        <f t="shared" si="348"/>
        <v>0</v>
      </c>
      <c r="E374" s="442">
        <f t="shared" si="348"/>
        <v>17</v>
      </c>
      <c r="F374" s="442">
        <f t="shared" si="348"/>
        <v>0</v>
      </c>
      <c r="G374" s="442"/>
      <c r="H374" s="442">
        <v>0</v>
      </c>
      <c r="I374" s="442">
        <f t="shared" si="332"/>
        <v>0</v>
      </c>
      <c r="J374" s="442">
        <f t="shared" ref="J374:L374" si="349">J375</f>
        <v>17</v>
      </c>
      <c r="K374" s="442">
        <f t="shared" si="349"/>
        <v>0</v>
      </c>
      <c r="L374" s="442">
        <f t="shared" si="349"/>
        <v>17</v>
      </c>
      <c r="M374" s="447">
        <f t="shared" si="341"/>
        <v>0</v>
      </c>
      <c r="N374" s="449"/>
    </row>
    <row r="375" s="38" customFormat="1" ht="33" customHeight="1" spans="1:14">
      <c r="A375" s="441">
        <v>2169999</v>
      </c>
      <c r="B375" s="147" t="s">
        <v>483</v>
      </c>
      <c r="C375" s="442">
        <v>17</v>
      </c>
      <c r="D375" s="442">
        <v>0</v>
      </c>
      <c r="E375" s="442">
        <f t="shared" si="346"/>
        <v>17</v>
      </c>
      <c r="F375" s="442">
        <v>0</v>
      </c>
      <c r="G375" s="442"/>
      <c r="H375" s="442">
        <v>0</v>
      </c>
      <c r="I375" s="442">
        <f t="shared" si="332"/>
        <v>0</v>
      </c>
      <c r="J375" s="442">
        <v>17</v>
      </c>
      <c r="K375" s="442"/>
      <c r="L375" s="442">
        <f t="shared" si="347"/>
        <v>17</v>
      </c>
      <c r="M375" s="447">
        <f t="shared" si="341"/>
        <v>0</v>
      </c>
      <c r="N375" s="449"/>
    </row>
    <row r="376" s="38" customFormat="1" customHeight="1" spans="1:14">
      <c r="A376" s="441">
        <v>217</v>
      </c>
      <c r="B376" s="147" t="s">
        <v>484</v>
      </c>
      <c r="C376" s="442">
        <f t="shared" ref="C376:L376" si="350">C377+C379</f>
        <v>5</v>
      </c>
      <c r="D376" s="442">
        <f t="shared" si="350"/>
        <v>5</v>
      </c>
      <c r="E376" s="442">
        <f t="shared" si="350"/>
        <v>10</v>
      </c>
      <c r="F376" s="442">
        <f t="shared" si="350"/>
        <v>50</v>
      </c>
      <c r="G376" s="442">
        <f t="shared" si="350"/>
        <v>0</v>
      </c>
      <c r="H376" s="442">
        <f t="shared" si="350"/>
        <v>0</v>
      </c>
      <c r="I376" s="442">
        <f t="shared" si="350"/>
        <v>0</v>
      </c>
      <c r="J376" s="442">
        <f t="shared" si="350"/>
        <v>55</v>
      </c>
      <c r="K376" s="442">
        <f t="shared" si="350"/>
        <v>5</v>
      </c>
      <c r="L376" s="442">
        <f t="shared" si="350"/>
        <v>60</v>
      </c>
      <c r="M376" s="447">
        <f t="shared" si="341"/>
        <v>500</v>
      </c>
      <c r="N376" s="448"/>
    </row>
    <row r="377" s="38" customFormat="1" ht="30" customHeight="1" spans="1:14">
      <c r="A377" s="441">
        <v>21702</v>
      </c>
      <c r="B377" s="147" t="s">
        <v>485</v>
      </c>
      <c r="C377" s="442">
        <f t="shared" ref="C377:G377" si="351">C378</f>
        <v>0</v>
      </c>
      <c r="D377" s="442">
        <f t="shared" si="351"/>
        <v>0</v>
      </c>
      <c r="E377" s="442">
        <f t="shared" si="351"/>
        <v>0</v>
      </c>
      <c r="F377" s="442">
        <f t="shared" si="351"/>
        <v>50</v>
      </c>
      <c r="G377" s="442">
        <f t="shared" si="351"/>
        <v>0</v>
      </c>
      <c r="H377" s="442">
        <v>0</v>
      </c>
      <c r="I377" s="442">
        <f t="shared" ref="I377:I381" si="352">K377-D377</f>
        <v>0</v>
      </c>
      <c r="J377" s="442">
        <f t="shared" ref="J377:L377" si="353">J378</f>
        <v>50</v>
      </c>
      <c r="K377" s="442">
        <f t="shared" si="353"/>
        <v>0</v>
      </c>
      <c r="L377" s="442">
        <f t="shared" si="353"/>
        <v>50</v>
      </c>
      <c r="M377" s="447">
        <v>100</v>
      </c>
      <c r="N377" s="448" t="s">
        <v>486</v>
      </c>
    </row>
    <row r="378" s="38" customFormat="1" ht="30" customHeight="1" spans="1:14">
      <c r="A378" s="441">
        <v>2170299</v>
      </c>
      <c r="B378" s="147" t="s">
        <v>487</v>
      </c>
      <c r="C378" s="442">
        <v>0</v>
      </c>
      <c r="D378" s="442"/>
      <c r="E378" s="442">
        <f t="shared" si="346"/>
        <v>0</v>
      </c>
      <c r="F378" s="442">
        <v>50</v>
      </c>
      <c r="G378" s="442">
        <v>0</v>
      </c>
      <c r="H378" s="442">
        <v>0</v>
      </c>
      <c r="I378" s="442">
        <f t="shared" si="352"/>
        <v>0</v>
      </c>
      <c r="J378" s="442">
        <v>50</v>
      </c>
      <c r="K378" s="442"/>
      <c r="L378" s="442">
        <f t="shared" si="347"/>
        <v>50</v>
      </c>
      <c r="M378" s="447">
        <v>100</v>
      </c>
      <c r="N378" s="448" t="s">
        <v>486</v>
      </c>
    </row>
    <row r="379" s="38" customFormat="1" customHeight="1" spans="1:14">
      <c r="A379" s="441">
        <v>21799</v>
      </c>
      <c r="B379" s="147" t="s">
        <v>488</v>
      </c>
      <c r="C379" s="442">
        <f t="shared" ref="C379:F379" si="354">C380</f>
        <v>5</v>
      </c>
      <c r="D379" s="442">
        <f t="shared" si="354"/>
        <v>5</v>
      </c>
      <c r="E379" s="442">
        <f t="shared" si="354"/>
        <v>10</v>
      </c>
      <c r="F379" s="442">
        <f t="shared" si="354"/>
        <v>0</v>
      </c>
      <c r="G379" s="442"/>
      <c r="H379" s="442">
        <v>0</v>
      </c>
      <c r="I379" s="442">
        <f t="shared" si="352"/>
        <v>0</v>
      </c>
      <c r="J379" s="442">
        <f t="shared" ref="J379:L379" si="355">J380</f>
        <v>5</v>
      </c>
      <c r="K379" s="442">
        <f t="shared" si="355"/>
        <v>5</v>
      </c>
      <c r="L379" s="442">
        <f t="shared" si="355"/>
        <v>10</v>
      </c>
      <c r="M379" s="447">
        <f t="shared" ref="M379:M392" si="356">(L379-E379)/E379*100</f>
        <v>0</v>
      </c>
      <c r="N379" s="449"/>
    </row>
    <row r="380" s="38" customFormat="1" customHeight="1" spans="1:14">
      <c r="A380" s="441">
        <v>2179999</v>
      </c>
      <c r="B380" s="147" t="s">
        <v>488</v>
      </c>
      <c r="C380" s="442">
        <v>5</v>
      </c>
      <c r="D380" s="442">
        <v>5</v>
      </c>
      <c r="E380" s="442">
        <f t="shared" ref="E380:E387" si="357">C380+D380</f>
        <v>10</v>
      </c>
      <c r="F380" s="442">
        <v>0</v>
      </c>
      <c r="G380" s="442"/>
      <c r="H380" s="442">
        <v>0</v>
      </c>
      <c r="I380" s="442">
        <f t="shared" si="352"/>
        <v>0</v>
      </c>
      <c r="J380" s="442">
        <v>5</v>
      </c>
      <c r="K380" s="442">
        <v>5</v>
      </c>
      <c r="L380" s="442">
        <f t="shared" ref="L380:L387" si="358">J380+K380</f>
        <v>10</v>
      </c>
      <c r="M380" s="447">
        <f t="shared" si="356"/>
        <v>0</v>
      </c>
      <c r="N380" s="449"/>
    </row>
    <row r="381" s="38" customFormat="1" ht="30" customHeight="1" spans="1:14">
      <c r="A381" s="441">
        <v>220</v>
      </c>
      <c r="B381" s="147" t="s">
        <v>489</v>
      </c>
      <c r="C381" s="442">
        <f t="shared" ref="C381:G381" si="359">C382+C388</f>
        <v>1764.02</v>
      </c>
      <c r="D381" s="442">
        <f t="shared" si="359"/>
        <v>75</v>
      </c>
      <c r="E381" s="442">
        <f t="shared" si="359"/>
        <v>1839.02</v>
      </c>
      <c r="F381" s="442">
        <f t="shared" si="359"/>
        <v>-16.23</v>
      </c>
      <c r="G381" s="442">
        <f t="shared" si="359"/>
        <v>-77</v>
      </c>
      <c r="H381" s="442">
        <v>101.56</v>
      </c>
      <c r="I381" s="442">
        <f t="shared" si="352"/>
        <v>0</v>
      </c>
      <c r="J381" s="442">
        <f t="shared" ref="J381:L381" si="360">J382+J388</f>
        <v>1772.37</v>
      </c>
      <c r="K381" s="442">
        <f t="shared" si="360"/>
        <v>75</v>
      </c>
      <c r="L381" s="442">
        <f t="shared" si="360"/>
        <v>1847.37</v>
      </c>
      <c r="M381" s="447">
        <f t="shared" si="356"/>
        <v>0.454046176768069</v>
      </c>
      <c r="N381" s="448"/>
    </row>
    <row r="382" s="38" customFormat="1" customHeight="1" spans="1:14">
      <c r="A382" s="441">
        <v>22001</v>
      </c>
      <c r="B382" s="147" t="s">
        <v>490</v>
      </c>
      <c r="C382" s="442">
        <f t="shared" ref="C382:L382" si="361">C383+C385+C386+C387+C384</f>
        <v>1755.02</v>
      </c>
      <c r="D382" s="442">
        <f t="shared" si="361"/>
        <v>75</v>
      </c>
      <c r="E382" s="442">
        <f t="shared" si="361"/>
        <v>1830.02</v>
      </c>
      <c r="F382" s="442">
        <f t="shared" si="361"/>
        <v>-7.23</v>
      </c>
      <c r="G382" s="442">
        <f t="shared" si="361"/>
        <v>-77</v>
      </c>
      <c r="H382" s="442">
        <f t="shared" si="361"/>
        <v>101.56</v>
      </c>
      <c r="I382" s="442">
        <f t="shared" si="361"/>
        <v>0</v>
      </c>
      <c r="J382" s="442">
        <f t="shared" si="361"/>
        <v>1772.37</v>
      </c>
      <c r="K382" s="442">
        <f t="shared" si="361"/>
        <v>75</v>
      </c>
      <c r="L382" s="442">
        <f t="shared" si="361"/>
        <v>1847.37</v>
      </c>
      <c r="M382" s="447">
        <f t="shared" si="356"/>
        <v>0.948077070195962</v>
      </c>
      <c r="N382" s="448"/>
    </row>
    <row r="383" s="38" customFormat="1" customHeight="1" spans="1:14">
      <c r="A383" s="441">
        <v>2200101</v>
      </c>
      <c r="B383" s="147" t="s">
        <v>90</v>
      </c>
      <c r="C383" s="442">
        <v>432.3</v>
      </c>
      <c r="D383" s="442">
        <v>0</v>
      </c>
      <c r="E383" s="442">
        <f t="shared" si="357"/>
        <v>432.3</v>
      </c>
      <c r="F383" s="442">
        <v>-1.43</v>
      </c>
      <c r="G383" s="442">
        <v>0</v>
      </c>
      <c r="H383" s="442">
        <v>55.81</v>
      </c>
      <c r="I383" s="442">
        <f t="shared" ref="I383:I436" si="362">K383-D383</f>
        <v>0</v>
      </c>
      <c r="J383" s="442">
        <v>486.68</v>
      </c>
      <c r="K383" s="442"/>
      <c r="L383" s="442">
        <f t="shared" si="358"/>
        <v>486.68</v>
      </c>
      <c r="M383" s="447">
        <f t="shared" si="356"/>
        <v>12.5792273883877</v>
      </c>
      <c r="N383" s="448" t="s">
        <v>119</v>
      </c>
    </row>
    <row r="384" s="38" customFormat="1" customHeight="1" spans="1:14">
      <c r="A384" s="441">
        <v>2200106</v>
      </c>
      <c r="B384" s="147" t="s">
        <v>491</v>
      </c>
      <c r="C384" s="442">
        <v>384.71</v>
      </c>
      <c r="D384" s="442">
        <v>75</v>
      </c>
      <c r="E384" s="442">
        <f t="shared" si="357"/>
        <v>459.71</v>
      </c>
      <c r="F384" s="442">
        <v>0</v>
      </c>
      <c r="G384" s="442">
        <v>0</v>
      </c>
      <c r="H384" s="442">
        <v>0</v>
      </c>
      <c r="I384" s="442">
        <f t="shared" si="362"/>
        <v>0</v>
      </c>
      <c r="J384" s="442">
        <v>384.72</v>
      </c>
      <c r="K384" s="442">
        <v>75</v>
      </c>
      <c r="L384" s="442">
        <f t="shared" si="358"/>
        <v>459.72</v>
      </c>
      <c r="M384" s="447">
        <f t="shared" si="356"/>
        <v>0.0021752844184481</v>
      </c>
      <c r="N384" s="448">
        <v>0</v>
      </c>
    </row>
    <row r="385" s="38" customFormat="1" customHeight="1" spans="1:14">
      <c r="A385" s="441">
        <v>2200120</v>
      </c>
      <c r="B385" s="147" t="s">
        <v>492</v>
      </c>
      <c r="C385" s="442">
        <v>58.58</v>
      </c>
      <c r="D385" s="442">
        <v>0</v>
      </c>
      <c r="E385" s="442">
        <f t="shared" si="357"/>
        <v>58.58</v>
      </c>
      <c r="F385" s="442">
        <v>-5.8</v>
      </c>
      <c r="G385" s="442"/>
      <c r="H385" s="442">
        <v>0</v>
      </c>
      <c r="I385" s="442">
        <f t="shared" si="362"/>
        <v>0</v>
      </c>
      <c r="J385" s="442">
        <v>52.78</v>
      </c>
      <c r="K385" s="442"/>
      <c r="L385" s="442">
        <f t="shared" si="358"/>
        <v>52.78</v>
      </c>
      <c r="M385" s="447">
        <f t="shared" si="356"/>
        <v>-9.9009900990099</v>
      </c>
      <c r="N385" s="449" t="s">
        <v>493</v>
      </c>
    </row>
    <row r="386" s="38" customFormat="1" customHeight="1" spans="1:14">
      <c r="A386" s="441">
        <v>2200150</v>
      </c>
      <c r="B386" s="147" t="s">
        <v>118</v>
      </c>
      <c r="C386" s="442">
        <v>462.43</v>
      </c>
      <c r="D386" s="442">
        <v>0</v>
      </c>
      <c r="E386" s="442">
        <f t="shared" si="357"/>
        <v>462.43</v>
      </c>
      <c r="F386" s="442">
        <v>0</v>
      </c>
      <c r="G386" s="442">
        <v>0</v>
      </c>
      <c r="H386" s="442">
        <v>45.75</v>
      </c>
      <c r="I386" s="442">
        <f t="shared" si="362"/>
        <v>0</v>
      </c>
      <c r="J386" s="442">
        <v>508.19</v>
      </c>
      <c r="K386" s="442"/>
      <c r="L386" s="442">
        <f t="shared" si="358"/>
        <v>508.19</v>
      </c>
      <c r="M386" s="447">
        <f t="shared" si="356"/>
        <v>9.89555175918517</v>
      </c>
      <c r="N386" s="448" t="s">
        <v>119</v>
      </c>
    </row>
    <row r="387" s="38" customFormat="1" ht="31" customHeight="1" spans="1:14">
      <c r="A387" s="441">
        <v>2200199</v>
      </c>
      <c r="B387" s="147" t="s">
        <v>494</v>
      </c>
      <c r="C387" s="442">
        <v>417</v>
      </c>
      <c r="D387" s="442">
        <v>0</v>
      </c>
      <c r="E387" s="442">
        <f t="shared" si="357"/>
        <v>417</v>
      </c>
      <c r="F387" s="442">
        <v>0</v>
      </c>
      <c r="G387" s="442">
        <v>-77</v>
      </c>
      <c r="H387" s="442">
        <v>0</v>
      </c>
      <c r="I387" s="442">
        <f t="shared" si="362"/>
        <v>0</v>
      </c>
      <c r="J387" s="442">
        <v>340</v>
      </c>
      <c r="K387" s="442"/>
      <c r="L387" s="442">
        <f t="shared" si="358"/>
        <v>340</v>
      </c>
      <c r="M387" s="447">
        <f t="shared" si="356"/>
        <v>-18.4652278177458</v>
      </c>
      <c r="N387" s="449" t="s">
        <v>495</v>
      </c>
    </row>
    <row r="388" s="38" customFormat="1" ht="31" customHeight="1" spans="1:14">
      <c r="A388" s="441">
        <v>22099</v>
      </c>
      <c r="B388" s="147" t="s">
        <v>496</v>
      </c>
      <c r="C388" s="442">
        <f t="shared" ref="C388:F388" si="363">C389</f>
        <v>9</v>
      </c>
      <c r="D388" s="442">
        <f t="shared" si="363"/>
        <v>0</v>
      </c>
      <c r="E388" s="442">
        <f t="shared" si="363"/>
        <v>9</v>
      </c>
      <c r="F388" s="442">
        <f t="shared" si="363"/>
        <v>-9</v>
      </c>
      <c r="G388" s="442"/>
      <c r="H388" s="442">
        <v>0</v>
      </c>
      <c r="I388" s="442">
        <f t="shared" si="362"/>
        <v>0</v>
      </c>
      <c r="J388" s="442">
        <f t="shared" ref="J388:L388" si="364">J389</f>
        <v>0</v>
      </c>
      <c r="K388" s="442">
        <f t="shared" si="364"/>
        <v>0</v>
      </c>
      <c r="L388" s="442">
        <f t="shared" si="364"/>
        <v>0</v>
      </c>
      <c r="M388" s="447">
        <f t="shared" si="356"/>
        <v>-100</v>
      </c>
      <c r="N388" s="448"/>
    </row>
    <row r="389" s="38" customFormat="1" ht="33" customHeight="1" spans="1:14">
      <c r="A389" s="441">
        <v>2209999</v>
      </c>
      <c r="B389" s="147" t="s">
        <v>496</v>
      </c>
      <c r="C389" s="442">
        <v>9</v>
      </c>
      <c r="D389" s="442">
        <v>0</v>
      </c>
      <c r="E389" s="442">
        <f t="shared" ref="E389:E395" si="365">C389+D389</f>
        <v>9</v>
      </c>
      <c r="F389" s="442">
        <v>-9</v>
      </c>
      <c r="G389" s="442"/>
      <c r="H389" s="442">
        <v>0</v>
      </c>
      <c r="I389" s="442">
        <f t="shared" si="362"/>
        <v>0</v>
      </c>
      <c r="J389" s="442">
        <v>0</v>
      </c>
      <c r="K389" s="442"/>
      <c r="L389" s="442">
        <f t="shared" ref="L389:L396" si="366">J389+K389</f>
        <v>0</v>
      </c>
      <c r="M389" s="447">
        <f t="shared" si="356"/>
        <v>-100</v>
      </c>
      <c r="N389" s="448" t="s">
        <v>497</v>
      </c>
    </row>
    <row r="390" s="38" customFormat="1" customHeight="1" spans="1:14">
      <c r="A390" s="441">
        <v>221</v>
      </c>
      <c r="B390" s="147" t="s">
        <v>498</v>
      </c>
      <c r="C390" s="442">
        <f t="shared" ref="C390:G390" si="367">C391+C397</f>
        <v>2076.34</v>
      </c>
      <c r="D390" s="442">
        <f t="shared" si="367"/>
        <v>2445.45</v>
      </c>
      <c r="E390" s="442">
        <f t="shared" si="367"/>
        <v>4521.79</v>
      </c>
      <c r="F390" s="442">
        <f t="shared" si="367"/>
        <v>1.58</v>
      </c>
      <c r="G390" s="442">
        <f t="shared" si="367"/>
        <v>0</v>
      </c>
      <c r="H390" s="442">
        <v>778.15</v>
      </c>
      <c r="I390" s="442">
        <f t="shared" si="362"/>
        <v>158</v>
      </c>
      <c r="J390" s="442">
        <f t="shared" ref="J390:L390" si="368">J391+J397</f>
        <v>2856.06</v>
      </c>
      <c r="K390" s="442">
        <f t="shared" si="368"/>
        <v>2603.45</v>
      </c>
      <c r="L390" s="442">
        <f t="shared" si="368"/>
        <v>5459.51</v>
      </c>
      <c r="M390" s="447">
        <f t="shared" si="356"/>
        <v>20.7378051612304</v>
      </c>
      <c r="N390" s="448"/>
    </row>
    <row r="391" s="38" customFormat="1" customHeight="1" spans="1:14">
      <c r="A391" s="441">
        <v>22101</v>
      </c>
      <c r="B391" s="147" t="s">
        <v>499</v>
      </c>
      <c r="C391" s="442">
        <f t="shared" ref="C391:H391" si="369">C394+C395+C392+C393+C396</f>
        <v>456.57</v>
      </c>
      <c r="D391" s="442">
        <f t="shared" si="369"/>
        <v>2445.45</v>
      </c>
      <c r="E391" s="442">
        <f t="shared" si="369"/>
        <v>2902.02</v>
      </c>
      <c r="F391" s="442">
        <f t="shared" si="369"/>
        <v>0</v>
      </c>
      <c r="G391" s="442">
        <f t="shared" si="369"/>
        <v>0</v>
      </c>
      <c r="H391" s="442">
        <f t="shared" si="369"/>
        <v>0</v>
      </c>
      <c r="I391" s="442">
        <f t="shared" si="362"/>
        <v>158</v>
      </c>
      <c r="J391" s="442">
        <f t="shared" ref="J391:L391" si="370">J394+J395+J392+J393+J396</f>
        <v>456.57</v>
      </c>
      <c r="K391" s="442">
        <f t="shared" si="370"/>
        <v>2603.45</v>
      </c>
      <c r="L391" s="442">
        <f t="shared" si="370"/>
        <v>3060.02</v>
      </c>
      <c r="M391" s="447">
        <f t="shared" si="356"/>
        <v>5.4444834977016</v>
      </c>
      <c r="N391" s="448"/>
    </row>
    <row r="392" s="38" customFormat="1" customHeight="1" spans="1:14">
      <c r="A392" s="441">
        <v>2210105</v>
      </c>
      <c r="B392" s="147" t="s">
        <v>500</v>
      </c>
      <c r="C392" s="442"/>
      <c r="D392" s="442">
        <v>7</v>
      </c>
      <c r="E392" s="442">
        <f t="shared" si="365"/>
        <v>7</v>
      </c>
      <c r="F392" s="442"/>
      <c r="G392" s="442"/>
      <c r="H392" s="442"/>
      <c r="I392" s="442">
        <f t="shared" si="362"/>
        <v>0</v>
      </c>
      <c r="J392" s="442"/>
      <c r="K392" s="442">
        <v>7</v>
      </c>
      <c r="L392" s="442">
        <f t="shared" si="366"/>
        <v>7</v>
      </c>
      <c r="M392" s="447">
        <f t="shared" si="356"/>
        <v>0</v>
      </c>
      <c r="N392" s="448"/>
    </row>
    <row r="393" s="38" customFormat="1" customHeight="1" spans="1:14">
      <c r="A393" s="441">
        <v>2210106</v>
      </c>
      <c r="B393" s="147" t="s">
        <v>501</v>
      </c>
      <c r="C393" s="442"/>
      <c r="D393" s="442"/>
      <c r="E393" s="442"/>
      <c r="F393" s="442"/>
      <c r="G393" s="442"/>
      <c r="H393" s="442"/>
      <c r="I393" s="442">
        <f t="shared" si="362"/>
        <v>32</v>
      </c>
      <c r="J393" s="442"/>
      <c r="K393" s="442">
        <v>32</v>
      </c>
      <c r="L393" s="442">
        <f t="shared" si="366"/>
        <v>32</v>
      </c>
      <c r="M393" s="447">
        <v>100</v>
      </c>
      <c r="N393" s="448"/>
    </row>
    <row r="394" s="38" customFormat="1" ht="35" customHeight="1" spans="1:14">
      <c r="A394" s="441">
        <v>2210107</v>
      </c>
      <c r="B394" s="147" t="s">
        <v>502</v>
      </c>
      <c r="C394" s="442">
        <v>95.6</v>
      </c>
      <c r="D394" s="442">
        <v>254</v>
      </c>
      <c r="E394" s="442">
        <f t="shared" si="365"/>
        <v>349.6</v>
      </c>
      <c r="F394" s="442">
        <v>0</v>
      </c>
      <c r="G394" s="442">
        <v>0</v>
      </c>
      <c r="H394" s="442">
        <v>-92.18</v>
      </c>
      <c r="I394" s="442">
        <f t="shared" si="362"/>
        <v>0</v>
      </c>
      <c r="J394" s="442">
        <v>3.42</v>
      </c>
      <c r="K394" s="442">
        <v>254</v>
      </c>
      <c r="L394" s="442">
        <f t="shared" si="366"/>
        <v>257.42</v>
      </c>
      <c r="M394" s="447">
        <f t="shared" ref="M394:M404" si="371">(L394-E394)/E394*100</f>
        <v>-26.3672768878719</v>
      </c>
      <c r="N394" s="448" t="s">
        <v>503</v>
      </c>
    </row>
    <row r="395" s="38" customFormat="1" ht="35" customHeight="1" spans="1:14">
      <c r="A395" s="441">
        <v>2210108</v>
      </c>
      <c r="B395" s="147" t="s">
        <v>504</v>
      </c>
      <c r="C395" s="442">
        <v>360.97</v>
      </c>
      <c r="D395" s="442">
        <v>2184.45</v>
      </c>
      <c r="E395" s="442">
        <f t="shared" si="365"/>
        <v>2545.42</v>
      </c>
      <c r="F395" s="442">
        <v>0</v>
      </c>
      <c r="G395" s="442">
        <v>0</v>
      </c>
      <c r="H395" s="442">
        <v>92.18</v>
      </c>
      <c r="I395" s="442">
        <f t="shared" si="362"/>
        <v>0</v>
      </c>
      <c r="J395" s="442">
        <v>453.15</v>
      </c>
      <c r="K395" s="442">
        <v>2184.45</v>
      </c>
      <c r="L395" s="442">
        <f t="shared" si="366"/>
        <v>2637.6</v>
      </c>
      <c r="M395" s="447">
        <f t="shared" si="371"/>
        <v>3.62140629051394</v>
      </c>
      <c r="N395" s="448" t="s">
        <v>503</v>
      </c>
    </row>
    <row r="396" s="38" customFormat="1" ht="32" customHeight="1" spans="1:14">
      <c r="A396" s="441">
        <v>2210199</v>
      </c>
      <c r="B396" s="147" t="s">
        <v>505</v>
      </c>
      <c r="C396" s="442"/>
      <c r="D396" s="442"/>
      <c r="E396" s="442"/>
      <c r="F396" s="442"/>
      <c r="G396" s="442"/>
      <c r="H396" s="442"/>
      <c r="I396" s="442">
        <f t="shared" si="362"/>
        <v>126</v>
      </c>
      <c r="J396" s="442"/>
      <c r="K396" s="442">
        <v>126</v>
      </c>
      <c r="L396" s="442">
        <f t="shared" si="366"/>
        <v>126</v>
      </c>
      <c r="M396" s="447">
        <v>100</v>
      </c>
      <c r="N396" s="448"/>
    </row>
    <row r="397" s="38" customFormat="1" customHeight="1" spans="1:14">
      <c r="A397" s="441">
        <v>22102</v>
      </c>
      <c r="B397" s="147" t="s">
        <v>506</v>
      </c>
      <c r="C397" s="442">
        <f t="shared" ref="C397:F397" si="372">C398</f>
        <v>1619.77</v>
      </c>
      <c r="D397" s="442">
        <f t="shared" si="372"/>
        <v>0</v>
      </c>
      <c r="E397" s="442">
        <f t="shared" si="372"/>
        <v>1619.77</v>
      </c>
      <c r="F397" s="442">
        <f t="shared" si="372"/>
        <v>1.58</v>
      </c>
      <c r="G397" s="442"/>
      <c r="H397" s="442">
        <v>778.15</v>
      </c>
      <c r="I397" s="442">
        <f t="shared" si="362"/>
        <v>0</v>
      </c>
      <c r="J397" s="442">
        <f t="shared" ref="J397:L397" si="373">J398</f>
        <v>2399.49</v>
      </c>
      <c r="K397" s="442">
        <f t="shared" si="373"/>
        <v>0</v>
      </c>
      <c r="L397" s="442">
        <f t="shared" si="373"/>
        <v>2399.49</v>
      </c>
      <c r="M397" s="447">
        <f t="shared" si="371"/>
        <v>48.1376985621415</v>
      </c>
      <c r="N397" s="449"/>
    </row>
    <row r="398" s="38" customFormat="1" customHeight="1" spans="1:14">
      <c r="A398" s="441">
        <v>2210201</v>
      </c>
      <c r="B398" s="147" t="s">
        <v>507</v>
      </c>
      <c r="C398" s="442">
        <v>1619.77</v>
      </c>
      <c r="D398" s="442">
        <v>0</v>
      </c>
      <c r="E398" s="442">
        <f t="shared" ref="E398:E402" si="374">C398+D398</f>
        <v>1619.77</v>
      </c>
      <c r="F398" s="442">
        <v>1.58</v>
      </c>
      <c r="G398" s="442">
        <v>0</v>
      </c>
      <c r="H398" s="442">
        <v>778.15</v>
      </c>
      <c r="I398" s="442">
        <f t="shared" si="362"/>
        <v>0</v>
      </c>
      <c r="J398" s="442">
        <v>2399.49</v>
      </c>
      <c r="K398" s="442"/>
      <c r="L398" s="442">
        <f t="shared" ref="L398:L402" si="375">J398+K398</f>
        <v>2399.49</v>
      </c>
      <c r="M398" s="447">
        <f t="shared" si="371"/>
        <v>48.1376985621415</v>
      </c>
      <c r="N398" s="448" t="s">
        <v>119</v>
      </c>
    </row>
    <row r="399" s="38" customFormat="1" customHeight="1" spans="1:14">
      <c r="A399" s="441">
        <v>222</v>
      </c>
      <c r="B399" s="147" t="s">
        <v>508</v>
      </c>
      <c r="C399" s="442">
        <f t="shared" ref="C399:G399" si="376">C400+C403</f>
        <v>492</v>
      </c>
      <c r="D399" s="442">
        <f t="shared" si="376"/>
        <v>0</v>
      </c>
      <c r="E399" s="442">
        <f t="shared" si="376"/>
        <v>492</v>
      </c>
      <c r="F399" s="442">
        <f t="shared" si="376"/>
        <v>6</v>
      </c>
      <c r="G399" s="442">
        <f t="shared" si="376"/>
        <v>0</v>
      </c>
      <c r="H399" s="442">
        <v>19.98</v>
      </c>
      <c r="I399" s="442">
        <f t="shared" si="362"/>
        <v>0</v>
      </c>
      <c r="J399" s="442">
        <f t="shared" ref="J399:L399" si="377">J400+J403</f>
        <v>517.98</v>
      </c>
      <c r="K399" s="442">
        <f t="shared" si="377"/>
        <v>0</v>
      </c>
      <c r="L399" s="442">
        <f t="shared" si="377"/>
        <v>517.98</v>
      </c>
      <c r="M399" s="447">
        <f t="shared" si="371"/>
        <v>5.28048780487805</v>
      </c>
      <c r="N399" s="448"/>
    </row>
    <row r="400" s="38" customFormat="1" customHeight="1" spans="1:14">
      <c r="A400" s="441">
        <v>22201</v>
      </c>
      <c r="B400" s="147" t="s">
        <v>509</v>
      </c>
      <c r="C400" s="442">
        <f t="shared" ref="C400:F400" si="378">C401+C402</f>
        <v>462</v>
      </c>
      <c r="D400" s="442">
        <f t="shared" si="378"/>
        <v>0</v>
      </c>
      <c r="E400" s="442">
        <f t="shared" si="378"/>
        <v>462</v>
      </c>
      <c r="F400" s="442">
        <f t="shared" si="378"/>
        <v>0</v>
      </c>
      <c r="G400" s="442"/>
      <c r="H400" s="442">
        <v>19.98</v>
      </c>
      <c r="I400" s="442">
        <f t="shared" si="362"/>
        <v>0</v>
      </c>
      <c r="J400" s="442">
        <f t="shared" ref="J400:L400" si="379">J401+J402</f>
        <v>481.98</v>
      </c>
      <c r="K400" s="442">
        <f t="shared" si="379"/>
        <v>0</v>
      </c>
      <c r="L400" s="442">
        <f t="shared" si="379"/>
        <v>481.98</v>
      </c>
      <c r="M400" s="447">
        <f t="shared" si="371"/>
        <v>4.32467532467533</v>
      </c>
      <c r="N400" s="448"/>
    </row>
    <row r="401" s="38" customFormat="1" customHeight="1" spans="1:14">
      <c r="A401" s="441">
        <v>2220115</v>
      </c>
      <c r="B401" s="147" t="s">
        <v>510</v>
      </c>
      <c r="C401" s="442">
        <v>434</v>
      </c>
      <c r="D401" s="442">
        <v>0</v>
      </c>
      <c r="E401" s="442">
        <f t="shared" si="374"/>
        <v>434</v>
      </c>
      <c r="F401" s="442">
        <v>0</v>
      </c>
      <c r="G401" s="442"/>
      <c r="H401" s="442">
        <v>0</v>
      </c>
      <c r="I401" s="442">
        <f t="shared" si="362"/>
        <v>0</v>
      </c>
      <c r="J401" s="442">
        <v>434</v>
      </c>
      <c r="K401" s="442"/>
      <c r="L401" s="442">
        <f t="shared" si="375"/>
        <v>434</v>
      </c>
      <c r="M401" s="447">
        <f t="shared" si="371"/>
        <v>0</v>
      </c>
      <c r="N401" s="448"/>
    </row>
    <row r="402" s="38" customFormat="1" customHeight="1" spans="1:14">
      <c r="A402" s="441">
        <v>2220199</v>
      </c>
      <c r="B402" s="147" t="s">
        <v>511</v>
      </c>
      <c r="C402" s="442">
        <v>28</v>
      </c>
      <c r="D402" s="442">
        <v>0</v>
      </c>
      <c r="E402" s="442">
        <f t="shared" si="374"/>
        <v>28</v>
      </c>
      <c r="F402" s="442">
        <v>0</v>
      </c>
      <c r="G402" s="442"/>
      <c r="H402" s="442">
        <v>19.98</v>
      </c>
      <c r="I402" s="442">
        <f t="shared" si="362"/>
        <v>0</v>
      </c>
      <c r="J402" s="442">
        <v>47.98</v>
      </c>
      <c r="K402" s="442"/>
      <c r="L402" s="442">
        <f t="shared" si="375"/>
        <v>47.98</v>
      </c>
      <c r="M402" s="447">
        <f t="shared" si="371"/>
        <v>71.3571428571428</v>
      </c>
      <c r="N402" s="448" t="s">
        <v>512</v>
      </c>
    </row>
    <row r="403" s="38" customFormat="1" customHeight="1" spans="1:14">
      <c r="A403" s="441">
        <v>22205</v>
      </c>
      <c r="B403" s="147" t="s">
        <v>513</v>
      </c>
      <c r="C403" s="442">
        <f t="shared" ref="C403:G403" si="380">C404+C405</f>
        <v>30</v>
      </c>
      <c r="D403" s="442">
        <f t="shared" si="380"/>
        <v>0</v>
      </c>
      <c r="E403" s="442">
        <f t="shared" si="380"/>
        <v>30</v>
      </c>
      <c r="F403" s="442">
        <f t="shared" si="380"/>
        <v>6</v>
      </c>
      <c r="G403" s="442">
        <f t="shared" si="380"/>
        <v>0</v>
      </c>
      <c r="H403" s="442">
        <v>0</v>
      </c>
      <c r="I403" s="442">
        <f t="shared" si="362"/>
        <v>0</v>
      </c>
      <c r="J403" s="442">
        <f t="shared" ref="J403:L403" si="381">J404+J405</f>
        <v>36</v>
      </c>
      <c r="K403" s="442">
        <f t="shared" si="381"/>
        <v>0</v>
      </c>
      <c r="L403" s="442">
        <f t="shared" si="381"/>
        <v>36</v>
      </c>
      <c r="M403" s="447">
        <f t="shared" si="371"/>
        <v>20</v>
      </c>
      <c r="N403" s="448"/>
    </row>
    <row r="404" s="38" customFormat="1" customHeight="1" spans="1:14">
      <c r="A404" s="441">
        <v>2220503</v>
      </c>
      <c r="B404" s="147" t="s">
        <v>514</v>
      </c>
      <c r="C404" s="442">
        <v>30</v>
      </c>
      <c r="D404" s="442">
        <v>0</v>
      </c>
      <c r="E404" s="442">
        <f t="shared" ref="E404:E413" si="382">C404+D404</f>
        <v>30</v>
      </c>
      <c r="F404" s="442">
        <v>0</v>
      </c>
      <c r="G404" s="442"/>
      <c r="H404" s="442">
        <v>0</v>
      </c>
      <c r="I404" s="442">
        <f t="shared" si="362"/>
        <v>0</v>
      </c>
      <c r="J404" s="442">
        <v>30</v>
      </c>
      <c r="K404" s="442"/>
      <c r="L404" s="442">
        <f t="shared" ref="L404:L410" si="383">J404+K404</f>
        <v>30</v>
      </c>
      <c r="M404" s="447">
        <f t="shared" si="371"/>
        <v>0</v>
      </c>
      <c r="N404" s="448"/>
    </row>
    <row r="405" s="38" customFormat="1" ht="35" customHeight="1" spans="1:14">
      <c r="A405" s="441">
        <v>2220599</v>
      </c>
      <c r="B405" s="147" t="s">
        <v>515</v>
      </c>
      <c r="C405" s="442">
        <v>0</v>
      </c>
      <c r="D405" s="442"/>
      <c r="E405" s="442">
        <f t="shared" si="382"/>
        <v>0</v>
      </c>
      <c r="F405" s="442">
        <v>6</v>
      </c>
      <c r="G405" s="442">
        <v>0</v>
      </c>
      <c r="H405" s="442">
        <v>0</v>
      </c>
      <c r="I405" s="442">
        <f t="shared" si="362"/>
        <v>0</v>
      </c>
      <c r="J405" s="442">
        <v>6</v>
      </c>
      <c r="K405" s="442"/>
      <c r="L405" s="442">
        <f t="shared" si="383"/>
        <v>6</v>
      </c>
      <c r="M405" s="447">
        <v>100</v>
      </c>
      <c r="N405" s="448" t="s">
        <v>516</v>
      </c>
    </row>
    <row r="406" s="38" customFormat="1" ht="33" customHeight="1" spans="1:14">
      <c r="A406" s="441">
        <v>224</v>
      </c>
      <c r="B406" s="147" t="s">
        <v>517</v>
      </c>
      <c r="C406" s="442">
        <f t="shared" ref="C406:G406" si="384">C407+C414+C419+C417</f>
        <v>1859.97</v>
      </c>
      <c r="D406" s="442">
        <f t="shared" si="384"/>
        <v>229.31</v>
      </c>
      <c r="E406" s="442">
        <f t="shared" si="384"/>
        <v>2089.28</v>
      </c>
      <c r="F406" s="442">
        <f t="shared" si="384"/>
        <v>160.09</v>
      </c>
      <c r="G406" s="442">
        <f t="shared" si="384"/>
        <v>0</v>
      </c>
      <c r="H406" s="442">
        <v>63.02</v>
      </c>
      <c r="I406" s="442">
        <f t="shared" si="362"/>
        <v>0</v>
      </c>
      <c r="J406" s="442">
        <f t="shared" ref="J406:L406" si="385">J407+J414+J419+J417</f>
        <v>2083.07</v>
      </c>
      <c r="K406" s="442">
        <f t="shared" si="385"/>
        <v>229.31</v>
      </c>
      <c r="L406" s="442">
        <f t="shared" si="385"/>
        <v>2312.38</v>
      </c>
      <c r="M406" s="447">
        <f t="shared" ref="M406:M437" si="386">(L406-E406)/E406*100</f>
        <v>10.6783198039516</v>
      </c>
      <c r="N406" s="448"/>
    </row>
    <row r="407" s="38" customFormat="1" customHeight="1" spans="1:14">
      <c r="A407" s="441">
        <v>22401</v>
      </c>
      <c r="B407" s="147" t="s">
        <v>518</v>
      </c>
      <c r="C407" s="442">
        <f t="shared" ref="C407:G407" si="387">C408+C410+C412+C413+C411+C409</f>
        <v>1320.39</v>
      </c>
      <c r="D407" s="442">
        <f t="shared" si="387"/>
        <v>18</v>
      </c>
      <c r="E407" s="442">
        <f t="shared" si="387"/>
        <v>1338.39</v>
      </c>
      <c r="F407" s="442">
        <f t="shared" si="387"/>
        <v>-0.91</v>
      </c>
      <c r="G407" s="442">
        <f t="shared" si="387"/>
        <v>0</v>
      </c>
      <c r="H407" s="442">
        <v>63.02</v>
      </c>
      <c r="I407" s="442">
        <f t="shared" si="362"/>
        <v>0</v>
      </c>
      <c r="J407" s="442">
        <f t="shared" ref="J407:L407" si="388">J408+J410+J412+J413+J411+J409</f>
        <v>1382.49</v>
      </c>
      <c r="K407" s="442">
        <f t="shared" si="388"/>
        <v>18</v>
      </c>
      <c r="L407" s="442">
        <f t="shared" si="388"/>
        <v>1400.49</v>
      </c>
      <c r="M407" s="447">
        <f t="shared" si="386"/>
        <v>4.63990316723826</v>
      </c>
      <c r="N407" s="448"/>
    </row>
    <row r="408" s="38" customFormat="1" customHeight="1" spans="1:14">
      <c r="A408" s="441">
        <v>2240101</v>
      </c>
      <c r="B408" s="147" t="s">
        <v>90</v>
      </c>
      <c r="C408" s="442">
        <v>291.9</v>
      </c>
      <c r="D408" s="442">
        <v>0</v>
      </c>
      <c r="E408" s="442">
        <f t="shared" si="382"/>
        <v>291.9</v>
      </c>
      <c r="F408" s="442">
        <v>-0.91</v>
      </c>
      <c r="G408" s="442">
        <v>0</v>
      </c>
      <c r="H408" s="442">
        <v>35.01</v>
      </c>
      <c r="I408" s="442">
        <f t="shared" si="362"/>
        <v>0</v>
      </c>
      <c r="J408" s="442">
        <v>325.99</v>
      </c>
      <c r="K408" s="442"/>
      <c r="L408" s="442">
        <f t="shared" si="383"/>
        <v>325.99</v>
      </c>
      <c r="M408" s="447">
        <f t="shared" si="386"/>
        <v>11.6786570743405</v>
      </c>
      <c r="N408" s="448" t="s">
        <v>285</v>
      </c>
    </row>
    <row r="409" s="38" customFormat="1" customHeight="1" spans="1:14">
      <c r="A409" s="441">
        <v>2240104</v>
      </c>
      <c r="B409" s="147" t="s">
        <v>519</v>
      </c>
      <c r="C409" s="442">
        <v>4</v>
      </c>
      <c r="D409" s="442">
        <v>0</v>
      </c>
      <c r="E409" s="442">
        <f t="shared" si="382"/>
        <v>4</v>
      </c>
      <c r="F409" s="442">
        <v>0</v>
      </c>
      <c r="G409" s="442">
        <v>0</v>
      </c>
      <c r="H409" s="442">
        <v>0</v>
      </c>
      <c r="I409" s="442">
        <f t="shared" si="362"/>
        <v>0</v>
      </c>
      <c r="J409" s="442">
        <v>4</v>
      </c>
      <c r="K409" s="442"/>
      <c r="L409" s="442">
        <f t="shared" si="383"/>
        <v>4</v>
      </c>
      <c r="M409" s="447">
        <f t="shared" si="386"/>
        <v>0</v>
      </c>
      <c r="N409" s="448">
        <v>0</v>
      </c>
    </row>
    <row r="410" s="38" customFormat="1" customHeight="1" spans="1:14">
      <c r="A410" s="441">
        <v>2240106</v>
      </c>
      <c r="B410" s="147" t="s">
        <v>520</v>
      </c>
      <c r="C410" s="442">
        <v>157.19</v>
      </c>
      <c r="D410" s="442">
        <v>0</v>
      </c>
      <c r="E410" s="442">
        <f t="shared" si="382"/>
        <v>157.19</v>
      </c>
      <c r="F410" s="442">
        <v>0</v>
      </c>
      <c r="G410" s="442"/>
      <c r="H410" s="442">
        <v>0</v>
      </c>
      <c r="I410" s="442">
        <f t="shared" si="362"/>
        <v>0</v>
      </c>
      <c r="J410" s="442">
        <v>157.19</v>
      </c>
      <c r="K410" s="442"/>
      <c r="L410" s="442">
        <f t="shared" si="383"/>
        <v>157.19</v>
      </c>
      <c r="M410" s="447">
        <f t="shared" si="386"/>
        <v>0</v>
      </c>
      <c r="N410" s="448"/>
    </row>
    <row r="411" s="38" customFormat="1" customHeight="1" spans="1:14">
      <c r="A411" s="441" t="s">
        <v>521</v>
      </c>
      <c r="B411" s="147" t="s">
        <v>522</v>
      </c>
      <c r="C411" s="442">
        <v>83</v>
      </c>
      <c r="D411" s="442"/>
      <c r="E411" s="442">
        <f t="shared" si="382"/>
        <v>83</v>
      </c>
      <c r="F411" s="442">
        <v>0</v>
      </c>
      <c r="G411" s="442">
        <v>0</v>
      </c>
      <c r="H411" s="442">
        <v>0</v>
      </c>
      <c r="I411" s="442">
        <f t="shared" si="362"/>
        <v>0</v>
      </c>
      <c r="J411" s="442">
        <v>83</v>
      </c>
      <c r="K411" s="442"/>
      <c r="L411" s="442">
        <f>K411+J411</f>
        <v>83</v>
      </c>
      <c r="M411" s="447">
        <f t="shared" si="386"/>
        <v>0</v>
      </c>
      <c r="N411" s="448">
        <v>0</v>
      </c>
    </row>
    <row r="412" s="38" customFormat="1" customHeight="1" spans="1:14">
      <c r="A412" s="441">
        <v>2240150</v>
      </c>
      <c r="B412" s="147" t="s">
        <v>118</v>
      </c>
      <c r="C412" s="442">
        <v>73.42</v>
      </c>
      <c r="D412" s="442">
        <v>0</v>
      </c>
      <c r="E412" s="442">
        <f t="shared" si="382"/>
        <v>73.42</v>
      </c>
      <c r="F412" s="442">
        <v>0</v>
      </c>
      <c r="G412" s="442"/>
      <c r="H412" s="442">
        <v>28.01</v>
      </c>
      <c r="I412" s="442">
        <f t="shared" si="362"/>
        <v>0</v>
      </c>
      <c r="J412" s="442">
        <v>101.43</v>
      </c>
      <c r="K412" s="442"/>
      <c r="L412" s="442">
        <f t="shared" ref="L412:L416" si="389">J412+K412</f>
        <v>101.43</v>
      </c>
      <c r="M412" s="447">
        <f t="shared" si="386"/>
        <v>38.1503677472079</v>
      </c>
      <c r="N412" s="448" t="s">
        <v>285</v>
      </c>
    </row>
    <row r="413" s="38" customFormat="1" customHeight="1" spans="1:14">
      <c r="A413" s="441">
        <v>2240199</v>
      </c>
      <c r="B413" s="147" t="s">
        <v>523</v>
      </c>
      <c r="C413" s="442">
        <v>710.88</v>
      </c>
      <c r="D413" s="442">
        <v>18</v>
      </c>
      <c r="E413" s="442">
        <f t="shared" si="382"/>
        <v>728.88</v>
      </c>
      <c r="F413" s="442">
        <v>0</v>
      </c>
      <c r="G413" s="442">
        <v>0</v>
      </c>
      <c r="H413" s="442">
        <v>0</v>
      </c>
      <c r="I413" s="442">
        <f t="shared" si="362"/>
        <v>0</v>
      </c>
      <c r="J413" s="442">
        <v>710.88</v>
      </c>
      <c r="K413" s="442">
        <v>18</v>
      </c>
      <c r="L413" s="442">
        <f t="shared" si="389"/>
        <v>728.88</v>
      </c>
      <c r="M413" s="447">
        <f t="shared" si="386"/>
        <v>0</v>
      </c>
      <c r="N413" s="448">
        <v>0</v>
      </c>
    </row>
    <row r="414" s="38" customFormat="1" customHeight="1" spans="1:14">
      <c r="A414" s="441">
        <v>22402</v>
      </c>
      <c r="B414" s="147" t="s">
        <v>524</v>
      </c>
      <c r="C414" s="442">
        <f t="shared" ref="C414:G414" si="390">C416+C415</f>
        <v>430.27</v>
      </c>
      <c r="D414" s="442">
        <f t="shared" si="390"/>
        <v>43</v>
      </c>
      <c r="E414" s="442">
        <f t="shared" si="390"/>
        <v>473.27</v>
      </c>
      <c r="F414" s="442">
        <f t="shared" si="390"/>
        <v>199</v>
      </c>
      <c r="G414" s="442">
        <f t="shared" si="390"/>
        <v>0</v>
      </c>
      <c r="H414" s="442">
        <v>0</v>
      </c>
      <c r="I414" s="442">
        <f t="shared" si="362"/>
        <v>0</v>
      </c>
      <c r="J414" s="442">
        <f t="shared" ref="J414:L414" si="391">J416+J415</f>
        <v>629.27</v>
      </c>
      <c r="K414" s="442">
        <f t="shared" si="391"/>
        <v>43</v>
      </c>
      <c r="L414" s="442">
        <f t="shared" si="391"/>
        <v>672.27</v>
      </c>
      <c r="M414" s="447">
        <f t="shared" si="386"/>
        <v>42.0478796458681</v>
      </c>
      <c r="N414" s="448"/>
    </row>
    <row r="415" s="38" customFormat="1" ht="30" customHeight="1" spans="1:14">
      <c r="A415" s="441">
        <v>2240204</v>
      </c>
      <c r="B415" s="147" t="s">
        <v>525</v>
      </c>
      <c r="C415" s="442">
        <v>0</v>
      </c>
      <c r="D415" s="442">
        <v>43</v>
      </c>
      <c r="E415" s="442">
        <f t="shared" ref="E415:E418" si="392">C415+D415</f>
        <v>43</v>
      </c>
      <c r="F415" s="442">
        <v>119</v>
      </c>
      <c r="G415" s="442">
        <v>0</v>
      </c>
      <c r="H415" s="442">
        <v>0</v>
      </c>
      <c r="I415" s="442">
        <f t="shared" si="362"/>
        <v>0</v>
      </c>
      <c r="J415" s="442">
        <v>119</v>
      </c>
      <c r="K415" s="442">
        <v>43</v>
      </c>
      <c r="L415" s="442">
        <f t="shared" si="389"/>
        <v>162</v>
      </c>
      <c r="M415" s="447">
        <f t="shared" si="386"/>
        <v>276.744186046512</v>
      </c>
      <c r="N415" s="448" t="s">
        <v>526</v>
      </c>
    </row>
    <row r="416" s="38" customFormat="1" ht="30" customHeight="1" spans="1:14">
      <c r="A416" s="441">
        <v>2240299</v>
      </c>
      <c r="B416" s="147" t="s">
        <v>527</v>
      </c>
      <c r="C416" s="442">
        <v>430.27</v>
      </c>
      <c r="D416" s="442">
        <v>0</v>
      </c>
      <c r="E416" s="442">
        <f t="shared" si="392"/>
        <v>430.27</v>
      </c>
      <c r="F416" s="442">
        <v>80</v>
      </c>
      <c r="G416" s="442">
        <v>0</v>
      </c>
      <c r="H416" s="442">
        <v>0</v>
      </c>
      <c r="I416" s="442">
        <f t="shared" si="362"/>
        <v>0</v>
      </c>
      <c r="J416" s="442">
        <v>510.27</v>
      </c>
      <c r="K416" s="442"/>
      <c r="L416" s="442">
        <f t="shared" si="389"/>
        <v>510.27</v>
      </c>
      <c r="M416" s="447">
        <f t="shared" si="386"/>
        <v>18.5929765031259</v>
      </c>
      <c r="N416" s="448" t="s">
        <v>528</v>
      </c>
    </row>
    <row r="417" s="38" customFormat="1" customHeight="1" spans="1:14">
      <c r="A417" s="441">
        <v>22405</v>
      </c>
      <c r="B417" s="147" t="s">
        <v>529</v>
      </c>
      <c r="C417" s="442">
        <f t="shared" ref="C417:G417" si="393">C418</f>
        <v>2</v>
      </c>
      <c r="D417" s="442">
        <f t="shared" si="393"/>
        <v>0</v>
      </c>
      <c r="E417" s="442">
        <f t="shared" si="393"/>
        <v>2</v>
      </c>
      <c r="F417" s="442">
        <f t="shared" si="393"/>
        <v>0</v>
      </c>
      <c r="G417" s="442">
        <f t="shared" si="393"/>
        <v>0</v>
      </c>
      <c r="H417" s="442">
        <v>0</v>
      </c>
      <c r="I417" s="442">
        <f t="shared" si="362"/>
        <v>0</v>
      </c>
      <c r="J417" s="442">
        <f t="shared" ref="J417:L417" si="394">J418</f>
        <v>2</v>
      </c>
      <c r="K417" s="442">
        <f t="shared" si="394"/>
        <v>0</v>
      </c>
      <c r="L417" s="442">
        <f t="shared" si="394"/>
        <v>2</v>
      </c>
      <c r="M417" s="447">
        <f t="shared" si="386"/>
        <v>0</v>
      </c>
      <c r="N417" s="448"/>
    </row>
    <row r="418" s="38" customFormat="1" customHeight="1" spans="1:14">
      <c r="A418" s="441">
        <v>2240599</v>
      </c>
      <c r="B418" s="147" t="s">
        <v>530</v>
      </c>
      <c r="C418" s="442">
        <v>2</v>
      </c>
      <c r="D418" s="442">
        <v>0</v>
      </c>
      <c r="E418" s="442">
        <f t="shared" si="392"/>
        <v>2</v>
      </c>
      <c r="F418" s="442">
        <v>0</v>
      </c>
      <c r="G418" s="442">
        <v>0</v>
      </c>
      <c r="H418" s="442">
        <v>0</v>
      </c>
      <c r="I418" s="442">
        <f t="shared" si="362"/>
        <v>0</v>
      </c>
      <c r="J418" s="442">
        <v>2</v>
      </c>
      <c r="K418" s="442"/>
      <c r="L418" s="442">
        <f t="shared" ref="L418:L421" si="395">J418+K418</f>
        <v>2</v>
      </c>
      <c r="M418" s="447">
        <f t="shared" si="386"/>
        <v>0</v>
      </c>
      <c r="N418" s="448">
        <v>0</v>
      </c>
    </row>
    <row r="419" s="38" customFormat="1" customHeight="1" spans="1:14">
      <c r="A419" s="441">
        <v>22406</v>
      </c>
      <c r="B419" s="147" t="s">
        <v>531</v>
      </c>
      <c r="C419" s="442">
        <f t="shared" ref="C419:G419" si="396">C420+C421</f>
        <v>107.31</v>
      </c>
      <c r="D419" s="442">
        <f t="shared" si="396"/>
        <v>168.31</v>
      </c>
      <c r="E419" s="442">
        <f t="shared" si="396"/>
        <v>275.62</v>
      </c>
      <c r="F419" s="442">
        <f t="shared" si="396"/>
        <v>-38</v>
      </c>
      <c r="G419" s="442">
        <f t="shared" si="396"/>
        <v>0</v>
      </c>
      <c r="H419" s="442">
        <v>0</v>
      </c>
      <c r="I419" s="442">
        <f t="shared" si="362"/>
        <v>0</v>
      </c>
      <c r="J419" s="442">
        <f t="shared" ref="J419:L419" si="397">J420+J421</f>
        <v>69.31</v>
      </c>
      <c r="K419" s="442">
        <f t="shared" si="397"/>
        <v>168.31</v>
      </c>
      <c r="L419" s="442">
        <f t="shared" si="397"/>
        <v>237.62</v>
      </c>
      <c r="M419" s="447">
        <f t="shared" si="386"/>
        <v>-13.7870981786518</v>
      </c>
      <c r="N419" s="448"/>
    </row>
    <row r="420" s="38" customFormat="1" ht="44" customHeight="1" spans="1:14">
      <c r="A420" s="441">
        <v>2240601</v>
      </c>
      <c r="B420" s="147" t="s">
        <v>532</v>
      </c>
      <c r="C420" s="442">
        <v>94.31</v>
      </c>
      <c r="D420" s="442">
        <v>168.31</v>
      </c>
      <c r="E420" s="442">
        <f t="shared" ref="E420:E425" si="398">C420+D420</f>
        <v>262.62</v>
      </c>
      <c r="F420" s="442">
        <v>-48</v>
      </c>
      <c r="G420" s="442">
        <v>0</v>
      </c>
      <c r="H420" s="442">
        <v>0</v>
      </c>
      <c r="I420" s="442">
        <f t="shared" si="362"/>
        <v>0</v>
      </c>
      <c r="J420" s="442">
        <v>46.31</v>
      </c>
      <c r="K420" s="442">
        <v>168.31</v>
      </c>
      <c r="L420" s="442">
        <f t="shared" si="395"/>
        <v>214.62</v>
      </c>
      <c r="M420" s="447">
        <f t="shared" si="386"/>
        <v>-18.2773589216358</v>
      </c>
      <c r="N420" s="448" t="s">
        <v>533</v>
      </c>
    </row>
    <row r="421" s="38" customFormat="1" ht="37" customHeight="1" spans="1:14">
      <c r="A421" s="441">
        <v>2240699</v>
      </c>
      <c r="B421" s="147" t="s">
        <v>534</v>
      </c>
      <c r="C421" s="442">
        <v>13</v>
      </c>
      <c r="D421" s="442">
        <v>0</v>
      </c>
      <c r="E421" s="442">
        <f t="shared" si="398"/>
        <v>13</v>
      </c>
      <c r="F421" s="442">
        <v>10</v>
      </c>
      <c r="G421" s="442">
        <v>0</v>
      </c>
      <c r="H421" s="442">
        <v>0</v>
      </c>
      <c r="I421" s="442">
        <f t="shared" si="362"/>
        <v>0</v>
      </c>
      <c r="J421" s="442">
        <v>23</v>
      </c>
      <c r="K421" s="442"/>
      <c r="L421" s="442">
        <f t="shared" si="395"/>
        <v>23</v>
      </c>
      <c r="M421" s="447">
        <f t="shared" si="386"/>
        <v>76.9230769230769</v>
      </c>
      <c r="N421" s="448" t="s">
        <v>535</v>
      </c>
    </row>
    <row r="422" s="38" customFormat="1" customHeight="1" spans="1:14">
      <c r="A422" s="441">
        <v>227</v>
      </c>
      <c r="B422" s="147" t="s">
        <v>536</v>
      </c>
      <c r="C422" s="442">
        <v>2255</v>
      </c>
      <c r="D422" s="442"/>
      <c r="E422" s="442">
        <v>2255</v>
      </c>
      <c r="F422" s="442">
        <v>0</v>
      </c>
      <c r="G422" s="442">
        <v>0</v>
      </c>
      <c r="H422" s="442">
        <v>-1000</v>
      </c>
      <c r="I422" s="442">
        <f t="shared" si="362"/>
        <v>0</v>
      </c>
      <c r="J422" s="442">
        <v>1255</v>
      </c>
      <c r="K422" s="442"/>
      <c r="L422" s="442">
        <v>1255</v>
      </c>
      <c r="M422" s="447">
        <f t="shared" si="386"/>
        <v>-44.3458980044346</v>
      </c>
      <c r="N422" s="448">
        <v>0</v>
      </c>
    </row>
    <row r="423" s="38" customFormat="1" customHeight="1" spans="1:14">
      <c r="A423" s="441">
        <v>229</v>
      </c>
      <c r="B423" s="147" t="s">
        <v>537</v>
      </c>
      <c r="C423" s="442">
        <f t="shared" ref="C423:G423" si="399">C424</f>
        <v>22053.89</v>
      </c>
      <c r="D423" s="442">
        <f t="shared" si="399"/>
        <v>10</v>
      </c>
      <c r="E423" s="442">
        <f t="shared" si="399"/>
        <v>22063.89</v>
      </c>
      <c r="F423" s="442">
        <f t="shared" si="399"/>
        <v>5798.5</v>
      </c>
      <c r="G423" s="442">
        <f t="shared" si="399"/>
        <v>0</v>
      </c>
      <c r="H423" s="442">
        <v>-6957.48</v>
      </c>
      <c r="I423" s="442">
        <f t="shared" si="362"/>
        <v>0</v>
      </c>
      <c r="J423" s="442">
        <f t="shared" ref="J423:L423" si="400">J424</f>
        <v>20851.9</v>
      </c>
      <c r="K423" s="442">
        <f t="shared" si="400"/>
        <v>10</v>
      </c>
      <c r="L423" s="442">
        <f t="shared" si="400"/>
        <v>20861.9</v>
      </c>
      <c r="M423" s="447">
        <f t="shared" si="386"/>
        <v>-5.44777008949917</v>
      </c>
      <c r="N423" s="448">
        <v>0</v>
      </c>
    </row>
    <row r="424" s="38" customFormat="1" customHeight="1" spans="1:14">
      <c r="A424" s="441">
        <v>22999</v>
      </c>
      <c r="B424" s="147" t="s">
        <v>537</v>
      </c>
      <c r="C424" s="442">
        <f t="shared" ref="C424:G424" si="401">C425</f>
        <v>22053.89</v>
      </c>
      <c r="D424" s="442">
        <f t="shared" si="401"/>
        <v>10</v>
      </c>
      <c r="E424" s="442">
        <f t="shared" si="401"/>
        <v>22063.89</v>
      </c>
      <c r="F424" s="442">
        <f t="shared" si="401"/>
        <v>5798.5</v>
      </c>
      <c r="G424" s="442">
        <f t="shared" si="401"/>
        <v>0</v>
      </c>
      <c r="H424" s="442">
        <v>-6957.48</v>
      </c>
      <c r="I424" s="442">
        <f t="shared" si="362"/>
        <v>0</v>
      </c>
      <c r="J424" s="442">
        <f t="shared" ref="J424:L424" si="402">J425</f>
        <v>20851.9</v>
      </c>
      <c r="K424" s="442">
        <f t="shared" si="402"/>
        <v>10</v>
      </c>
      <c r="L424" s="442">
        <f t="shared" si="402"/>
        <v>20861.9</v>
      </c>
      <c r="M424" s="447">
        <f t="shared" si="386"/>
        <v>-5.44777008949917</v>
      </c>
      <c r="N424" s="448"/>
    </row>
    <row r="425" s="38" customFormat="1" customHeight="1" spans="1:14">
      <c r="A425" s="441">
        <v>2299999</v>
      </c>
      <c r="B425" s="147" t="s">
        <v>537</v>
      </c>
      <c r="C425" s="442">
        <f>22010.88+43.01</f>
        <v>22053.89</v>
      </c>
      <c r="D425" s="442">
        <v>10</v>
      </c>
      <c r="E425" s="442">
        <f t="shared" si="398"/>
        <v>22063.89</v>
      </c>
      <c r="F425" s="442">
        <f>5801-2.5</f>
        <v>5798.5</v>
      </c>
      <c r="G425" s="442">
        <v>0</v>
      </c>
      <c r="H425" s="442">
        <f>-6957.48-43.01</f>
        <v>-7000.49</v>
      </c>
      <c r="I425" s="442">
        <f t="shared" si="362"/>
        <v>0</v>
      </c>
      <c r="J425" s="442">
        <f>20854.4-2.5</f>
        <v>20851.9</v>
      </c>
      <c r="K425" s="442">
        <v>10</v>
      </c>
      <c r="L425" s="442">
        <f>J425+K425</f>
        <v>20861.9</v>
      </c>
      <c r="M425" s="447">
        <f t="shared" si="386"/>
        <v>-5.44777008949917</v>
      </c>
      <c r="N425" s="448" t="s">
        <v>538</v>
      </c>
    </row>
    <row r="426" s="38" customFormat="1" customHeight="1" spans="1:14">
      <c r="A426" s="441">
        <v>230</v>
      </c>
      <c r="B426" s="147" t="s">
        <v>539</v>
      </c>
      <c r="C426" s="442">
        <f t="shared" ref="C426:G426" si="403">C427</f>
        <v>10775.96</v>
      </c>
      <c r="D426" s="442">
        <f t="shared" si="403"/>
        <v>0</v>
      </c>
      <c r="E426" s="442">
        <f t="shared" si="403"/>
        <v>10775.96</v>
      </c>
      <c r="F426" s="442">
        <f t="shared" si="403"/>
        <v>160</v>
      </c>
      <c r="G426" s="442">
        <f t="shared" si="403"/>
        <v>0</v>
      </c>
      <c r="H426" s="442">
        <v>0</v>
      </c>
      <c r="I426" s="442">
        <f t="shared" si="362"/>
        <v>0</v>
      </c>
      <c r="J426" s="442">
        <f t="shared" ref="J426:L426" si="404">J427</f>
        <v>10935.96</v>
      </c>
      <c r="K426" s="442">
        <f t="shared" si="404"/>
        <v>0</v>
      </c>
      <c r="L426" s="442">
        <f t="shared" si="404"/>
        <v>10935.96</v>
      </c>
      <c r="M426" s="447">
        <f t="shared" si="386"/>
        <v>1.48478650626023</v>
      </c>
      <c r="N426" s="448">
        <v>0</v>
      </c>
    </row>
    <row r="427" s="38" customFormat="1" customHeight="1" spans="1:14">
      <c r="A427" s="441">
        <v>23006</v>
      </c>
      <c r="B427" s="147" t="s">
        <v>540</v>
      </c>
      <c r="C427" s="442">
        <f t="shared" ref="C427:G427" si="405">C428</f>
        <v>10775.96</v>
      </c>
      <c r="D427" s="442">
        <f t="shared" si="405"/>
        <v>0</v>
      </c>
      <c r="E427" s="442">
        <f t="shared" si="405"/>
        <v>10775.96</v>
      </c>
      <c r="F427" s="442">
        <f t="shared" si="405"/>
        <v>160</v>
      </c>
      <c r="G427" s="442">
        <f t="shared" si="405"/>
        <v>0</v>
      </c>
      <c r="H427" s="442">
        <v>0</v>
      </c>
      <c r="I427" s="442">
        <f t="shared" si="362"/>
        <v>0</v>
      </c>
      <c r="J427" s="442">
        <f t="shared" ref="J427:L427" si="406">J428</f>
        <v>10935.96</v>
      </c>
      <c r="K427" s="442">
        <f t="shared" si="406"/>
        <v>0</v>
      </c>
      <c r="L427" s="442">
        <f t="shared" si="406"/>
        <v>10935.96</v>
      </c>
      <c r="M427" s="447">
        <f t="shared" si="386"/>
        <v>1.48478650626023</v>
      </c>
      <c r="N427" s="448"/>
    </row>
    <row r="428" s="38" customFormat="1" customHeight="1" spans="1:14">
      <c r="A428" s="441">
        <v>2300602</v>
      </c>
      <c r="B428" s="147" t="s">
        <v>541</v>
      </c>
      <c r="C428" s="442">
        <v>10775.96</v>
      </c>
      <c r="D428" s="442">
        <v>0</v>
      </c>
      <c r="E428" s="442">
        <f>C428+D428</f>
        <v>10775.96</v>
      </c>
      <c r="F428" s="442">
        <v>160</v>
      </c>
      <c r="G428" s="442">
        <v>0</v>
      </c>
      <c r="H428" s="442">
        <v>0</v>
      </c>
      <c r="I428" s="442">
        <f t="shared" si="362"/>
        <v>0</v>
      </c>
      <c r="J428" s="442">
        <v>10935.96</v>
      </c>
      <c r="K428" s="442"/>
      <c r="L428" s="442">
        <f>J428+K428</f>
        <v>10935.96</v>
      </c>
      <c r="M428" s="447">
        <f t="shared" si="386"/>
        <v>1.48478650626023</v>
      </c>
      <c r="N428" s="448"/>
    </row>
    <row r="429" s="38" customFormat="1" customHeight="1" spans="1:14">
      <c r="A429" s="441">
        <v>231</v>
      </c>
      <c r="B429" s="147" t="s">
        <v>542</v>
      </c>
      <c r="C429" s="442">
        <f t="shared" ref="C429:G429" si="407">C430</f>
        <v>10144.1</v>
      </c>
      <c r="D429" s="442">
        <f t="shared" si="407"/>
        <v>0</v>
      </c>
      <c r="E429" s="442">
        <f t="shared" si="407"/>
        <v>10144.1</v>
      </c>
      <c r="F429" s="442">
        <f t="shared" si="407"/>
        <v>0</v>
      </c>
      <c r="G429" s="442">
        <f t="shared" si="407"/>
        <v>0</v>
      </c>
      <c r="H429" s="442">
        <v>0</v>
      </c>
      <c r="I429" s="442">
        <f t="shared" si="362"/>
        <v>0</v>
      </c>
      <c r="J429" s="442">
        <f t="shared" ref="J429:L429" si="408">J430</f>
        <v>10144.1</v>
      </c>
      <c r="K429" s="442">
        <f t="shared" si="408"/>
        <v>0</v>
      </c>
      <c r="L429" s="442">
        <f t="shared" si="408"/>
        <v>10144.1</v>
      </c>
      <c r="M429" s="447">
        <f t="shared" si="386"/>
        <v>0</v>
      </c>
      <c r="N429" s="448">
        <v>0</v>
      </c>
    </row>
    <row r="430" s="38" customFormat="1" ht="32" customHeight="1" spans="1:14">
      <c r="A430" s="441">
        <v>23103</v>
      </c>
      <c r="B430" s="147" t="s">
        <v>543</v>
      </c>
      <c r="C430" s="442">
        <f t="shared" ref="C430:F430" si="409">C431</f>
        <v>10144.1</v>
      </c>
      <c r="D430" s="442">
        <f t="shared" si="409"/>
        <v>0</v>
      </c>
      <c r="E430" s="442">
        <f t="shared" si="409"/>
        <v>10144.1</v>
      </c>
      <c r="F430" s="442">
        <f t="shared" si="409"/>
        <v>0</v>
      </c>
      <c r="G430" s="442"/>
      <c r="H430" s="442">
        <v>0</v>
      </c>
      <c r="I430" s="442">
        <f t="shared" si="362"/>
        <v>0</v>
      </c>
      <c r="J430" s="442">
        <f t="shared" ref="J430:L430" si="410">J431</f>
        <v>10144.1</v>
      </c>
      <c r="K430" s="442">
        <f t="shared" si="410"/>
        <v>0</v>
      </c>
      <c r="L430" s="442">
        <f t="shared" si="410"/>
        <v>10144.1</v>
      </c>
      <c r="M430" s="447">
        <f t="shared" si="386"/>
        <v>0</v>
      </c>
      <c r="N430" s="448"/>
    </row>
    <row r="431" s="38" customFormat="1" ht="32" customHeight="1" spans="1:14">
      <c r="A431" s="441">
        <v>2310301</v>
      </c>
      <c r="B431" s="147" t="s">
        <v>544</v>
      </c>
      <c r="C431" s="442">
        <v>10144.1</v>
      </c>
      <c r="D431" s="442">
        <v>0</v>
      </c>
      <c r="E431" s="442">
        <f>C431+D431</f>
        <v>10144.1</v>
      </c>
      <c r="F431" s="442">
        <v>0</v>
      </c>
      <c r="G431" s="442">
        <v>0</v>
      </c>
      <c r="H431" s="442">
        <v>0</v>
      </c>
      <c r="I431" s="442">
        <f t="shared" si="362"/>
        <v>0</v>
      </c>
      <c r="J431" s="442">
        <v>10144.1</v>
      </c>
      <c r="K431" s="442"/>
      <c r="L431" s="442">
        <f>J431+K431</f>
        <v>10144.1</v>
      </c>
      <c r="M431" s="447">
        <f t="shared" si="386"/>
        <v>0</v>
      </c>
      <c r="N431" s="448">
        <v>0</v>
      </c>
    </row>
    <row r="432" s="38" customFormat="1" customHeight="1" spans="1:14">
      <c r="A432" s="441">
        <v>232</v>
      </c>
      <c r="B432" s="147" t="s">
        <v>545</v>
      </c>
      <c r="C432" s="442">
        <f t="shared" ref="C432:G432" si="411">C433</f>
        <v>3891.43</v>
      </c>
      <c r="D432" s="442">
        <f t="shared" si="411"/>
        <v>0</v>
      </c>
      <c r="E432" s="442">
        <f t="shared" si="411"/>
        <v>3891.43</v>
      </c>
      <c r="F432" s="442">
        <f t="shared" si="411"/>
        <v>74.65</v>
      </c>
      <c r="G432" s="442">
        <f t="shared" si="411"/>
        <v>0</v>
      </c>
      <c r="H432" s="442">
        <v>0</v>
      </c>
      <c r="I432" s="442">
        <f t="shared" si="362"/>
        <v>0</v>
      </c>
      <c r="J432" s="442">
        <f t="shared" ref="J432:L432" si="412">J433</f>
        <v>3966.08</v>
      </c>
      <c r="K432" s="442">
        <f t="shared" si="412"/>
        <v>0</v>
      </c>
      <c r="L432" s="442">
        <f t="shared" si="412"/>
        <v>3966.08</v>
      </c>
      <c r="M432" s="447">
        <f t="shared" si="386"/>
        <v>1.9183179448172</v>
      </c>
      <c r="N432" s="448">
        <v>0</v>
      </c>
    </row>
    <row r="433" s="38" customFormat="1" ht="32" customHeight="1" spans="1:14">
      <c r="A433" s="441">
        <v>23203</v>
      </c>
      <c r="B433" s="147" t="s">
        <v>546</v>
      </c>
      <c r="C433" s="442">
        <f t="shared" ref="C433:F433" si="413">C434</f>
        <v>3891.43</v>
      </c>
      <c r="D433" s="442">
        <f t="shared" si="413"/>
        <v>0</v>
      </c>
      <c r="E433" s="442">
        <f t="shared" si="413"/>
        <v>3891.43</v>
      </c>
      <c r="F433" s="442">
        <f t="shared" si="413"/>
        <v>74.65</v>
      </c>
      <c r="G433" s="442"/>
      <c r="H433" s="442">
        <v>0</v>
      </c>
      <c r="I433" s="442">
        <f t="shared" si="362"/>
        <v>0</v>
      </c>
      <c r="J433" s="442">
        <f t="shared" ref="J433:L433" si="414">J434</f>
        <v>3966.08</v>
      </c>
      <c r="K433" s="442">
        <f t="shared" si="414"/>
        <v>0</v>
      </c>
      <c r="L433" s="442">
        <f t="shared" si="414"/>
        <v>3966.08</v>
      </c>
      <c r="M433" s="447">
        <f t="shared" si="386"/>
        <v>1.9183179448172</v>
      </c>
      <c r="N433" s="448"/>
    </row>
    <row r="434" s="38" customFormat="1" ht="32" customHeight="1" spans="1:14">
      <c r="A434" s="441">
        <v>2320301</v>
      </c>
      <c r="B434" s="147" t="s">
        <v>547</v>
      </c>
      <c r="C434" s="442">
        <v>3891.43</v>
      </c>
      <c r="D434" s="442">
        <v>0</v>
      </c>
      <c r="E434" s="442">
        <f>C434+D434</f>
        <v>3891.43</v>
      </c>
      <c r="F434" s="442">
        <v>74.65</v>
      </c>
      <c r="G434" s="442"/>
      <c r="H434" s="442">
        <v>0</v>
      </c>
      <c r="I434" s="442">
        <f t="shared" si="362"/>
        <v>0</v>
      </c>
      <c r="J434" s="442">
        <v>3966.08</v>
      </c>
      <c r="K434" s="442"/>
      <c r="L434" s="442">
        <f>J434+K434</f>
        <v>3966.08</v>
      </c>
      <c r="M434" s="447">
        <f t="shared" si="386"/>
        <v>1.9183179448172</v>
      </c>
      <c r="N434" s="448" t="s">
        <v>548</v>
      </c>
    </row>
    <row r="435" s="38" customFormat="1" ht="25" customHeight="1" spans="1:14">
      <c r="A435" s="441">
        <v>233</v>
      </c>
      <c r="B435" s="147" t="s">
        <v>549</v>
      </c>
      <c r="C435" s="442">
        <f t="shared" ref="C435:G435" si="415">C436</f>
        <v>105.81</v>
      </c>
      <c r="D435" s="442"/>
      <c r="E435" s="442">
        <f t="shared" si="415"/>
        <v>105.81</v>
      </c>
      <c r="F435" s="442">
        <f t="shared" si="415"/>
        <v>0</v>
      </c>
      <c r="G435" s="442">
        <f t="shared" si="415"/>
        <v>0</v>
      </c>
      <c r="H435" s="442">
        <v>0</v>
      </c>
      <c r="I435" s="442">
        <f t="shared" si="362"/>
        <v>0</v>
      </c>
      <c r="J435" s="442">
        <f t="shared" ref="J435:L435" si="416">J436</f>
        <v>105.81</v>
      </c>
      <c r="K435" s="442">
        <f t="shared" si="416"/>
        <v>0</v>
      </c>
      <c r="L435" s="442">
        <f t="shared" si="416"/>
        <v>105.81</v>
      </c>
      <c r="M435" s="447">
        <f t="shared" si="386"/>
        <v>0</v>
      </c>
      <c r="N435" s="448">
        <v>0</v>
      </c>
    </row>
    <row r="436" s="38" customFormat="1" ht="32" customHeight="1" spans="1:14">
      <c r="A436" s="441">
        <v>23303</v>
      </c>
      <c r="B436" s="147" t="s">
        <v>550</v>
      </c>
      <c r="C436" s="442">
        <v>105.81</v>
      </c>
      <c r="D436" s="442"/>
      <c r="E436" s="442">
        <v>105.81</v>
      </c>
      <c r="F436" s="442">
        <v>0</v>
      </c>
      <c r="G436" s="442"/>
      <c r="H436" s="442">
        <v>0</v>
      </c>
      <c r="I436" s="442">
        <f t="shared" si="362"/>
        <v>0</v>
      </c>
      <c r="J436" s="442">
        <v>105.81</v>
      </c>
      <c r="K436" s="442"/>
      <c r="L436" s="442">
        <v>105.81</v>
      </c>
      <c r="M436" s="447">
        <f t="shared" si="386"/>
        <v>0</v>
      </c>
      <c r="N436" s="448"/>
    </row>
    <row r="437" s="432" customFormat="1" customHeight="1" spans="1:15">
      <c r="A437" s="452" t="s">
        <v>84</v>
      </c>
      <c r="B437" s="452"/>
      <c r="C437" s="346">
        <f t="shared" ref="C437:G437" si="417">C6+C95+C102+C125+C148+C157+C174+C246+C287+C298+C313+C352+C360+C369+C376+C381+C390+C399+C406+C422+C423+C426+C429+C432+C435</f>
        <v>231104.75</v>
      </c>
      <c r="D437" s="346">
        <f>D6+D95+D102+D125+D148+D157+D174+D246+D287+D298+D313+D352+D360+D369+D376+D381+D390+D399+D406+D422+D423+D426+D429+D432+D435+0.2</f>
        <v>58643.6153</v>
      </c>
      <c r="E437" s="346">
        <f>E6+E95+E102+E125+E148+E157+E174+E246+E287+E298+E313+E352+E360+E369+E376+E381+E390+E399+E406+E422+E423+E426+E429+E432+E435+0.2</f>
        <v>289748.3653</v>
      </c>
      <c r="F437" s="346">
        <f t="shared" si="417"/>
        <v>6399.7</v>
      </c>
      <c r="G437" s="346">
        <f t="shared" si="417"/>
        <v>-138</v>
      </c>
      <c r="H437" s="346">
        <v>0.150000000001342</v>
      </c>
      <c r="I437" s="346">
        <f t="shared" ref="I437:L437" si="418">I6+I95+I102+I125+I148+I157+I174+I246+I287+I298+I313+I352+I360+I369+I376+I381+I390+I399+I406+I422+I423+I426+I429+I432+I435</f>
        <v>19854.535903</v>
      </c>
      <c r="J437" s="346">
        <f t="shared" si="418"/>
        <v>237366.68</v>
      </c>
      <c r="K437" s="346">
        <f t="shared" si="418"/>
        <v>78497.951203</v>
      </c>
      <c r="L437" s="346">
        <f t="shared" si="418"/>
        <v>315864.631203</v>
      </c>
      <c r="M437" s="453">
        <f t="shared" si="386"/>
        <v>9.01342993806356</v>
      </c>
      <c r="N437" s="454"/>
      <c r="O437" s="455"/>
    </row>
  </sheetData>
  <autoFilter ref="A5:N437">
    <extLst/>
  </autoFilter>
  <mergeCells count="9">
    <mergeCell ref="A2:N2"/>
    <mergeCell ref="C4:E4"/>
    <mergeCell ref="F4:I4"/>
    <mergeCell ref="J4:L4"/>
    <mergeCell ref="A437:B437"/>
    <mergeCell ref="A4:A5"/>
    <mergeCell ref="B4:B5"/>
    <mergeCell ref="M4:M5"/>
    <mergeCell ref="N4:N5"/>
  </mergeCells>
  <printOptions horizontalCentered="1"/>
  <pageMargins left="0.393055555555556" right="0.393055555555556" top="0.590277777777778" bottom="0.590277777777778" header="0.196527777777778" footer="0.196527777777778"/>
  <pageSetup paperSize="9" scale="76" fitToHeight="0" orientation="landscape"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868"/>
  <sheetViews>
    <sheetView showZeros="0" tabSelected="1" zoomScale="90" zoomScaleNormal="90" workbookViewId="0">
      <pane ySplit="6" topLeftCell="A290" activePane="bottomLeft" state="frozen"/>
      <selection/>
      <selection pane="bottomLeft" activeCell="H297" sqref="H297"/>
    </sheetView>
  </sheetViews>
  <sheetFormatPr defaultColWidth="9" defaultRowHeight="30" customHeight="1"/>
  <cols>
    <col min="1" max="1" width="5.625" style="336" customWidth="1"/>
    <col min="2" max="2" width="10.625" style="337" hidden="1" customWidth="1"/>
    <col min="3" max="3" width="20.625" style="1" customWidth="1"/>
    <col min="4" max="4" width="40.625" style="1" customWidth="1"/>
    <col min="5" max="5" width="15.625" style="338" customWidth="1"/>
    <col min="6" max="7" width="15.625" style="338" hidden="1" customWidth="1"/>
    <col min="8" max="10" width="15.625" style="338" customWidth="1"/>
    <col min="11" max="11" width="59.5" style="339" customWidth="1"/>
    <col min="12" max="12" width="12.625" style="1"/>
    <col min="13" max="16384" width="9" style="1"/>
  </cols>
  <sheetData>
    <row r="1" ht="20" customHeight="1" spans="1:1">
      <c r="A1" s="336" t="s">
        <v>551</v>
      </c>
    </row>
    <row r="2" s="29" customFormat="1" customHeight="1" spans="1:11">
      <c r="A2" s="340" t="s">
        <v>552</v>
      </c>
      <c r="B2" s="340"/>
      <c r="C2" s="340"/>
      <c r="D2" s="340"/>
      <c r="E2" s="341"/>
      <c r="F2" s="341"/>
      <c r="G2" s="341"/>
      <c r="H2" s="341"/>
      <c r="I2" s="341"/>
      <c r="J2" s="341"/>
      <c r="K2" s="379"/>
    </row>
    <row r="3" s="29" customFormat="1" ht="20" customHeight="1" spans="1:11">
      <c r="A3" s="342"/>
      <c r="B3" s="343"/>
      <c r="E3" s="344"/>
      <c r="F3" s="344"/>
      <c r="G3" s="344"/>
      <c r="H3" s="344"/>
      <c r="I3" s="344"/>
      <c r="J3" s="380"/>
      <c r="K3" s="381" t="s">
        <v>22</v>
      </c>
    </row>
    <row r="4" s="29" customFormat="1" customHeight="1" spans="1:11">
      <c r="A4" s="255" t="s">
        <v>553</v>
      </c>
      <c r="B4" s="15" t="s">
        <v>554</v>
      </c>
      <c r="C4" s="15" t="s">
        <v>555</v>
      </c>
      <c r="D4" s="15" t="s">
        <v>556</v>
      </c>
      <c r="E4" s="345" t="s">
        <v>24</v>
      </c>
      <c r="F4" s="346"/>
      <c r="G4" s="345" t="s">
        <v>557</v>
      </c>
      <c r="H4" s="294" t="s">
        <v>558</v>
      </c>
      <c r="I4" s="294"/>
      <c r="J4" s="294" t="s">
        <v>26</v>
      </c>
      <c r="K4" s="15" t="s">
        <v>28</v>
      </c>
    </row>
    <row r="5" s="29" customFormat="1" customHeight="1" spans="1:11">
      <c r="A5" s="255"/>
      <c r="B5" s="15"/>
      <c r="C5" s="15"/>
      <c r="D5" s="15"/>
      <c r="E5" s="347"/>
      <c r="F5" s="294" t="s">
        <v>559</v>
      </c>
      <c r="G5" s="347"/>
      <c r="H5" s="294" t="s">
        <v>560</v>
      </c>
      <c r="I5" s="294" t="s">
        <v>561</v>
      </c>
      <c r="J5" s="294"/>
      <c r="K5" s="15"/>
    </row>
    <row r="6" s="29" customFormat="1" hidden="1" customHeight="1" spans="1:11">
      <c r="A6" s="348" t="s">
        <v>562</v>
      </c>
      <c r="B6" s="15"/>
      <c r="C6" s="143">
        <v>1</v>
      </c>
      <c r="D6" s="149">
        <v>2</v>
      </c>
      <c r="E6" s="349">
        <v>3</v>
      </c>
      <c r="F6" s="349">
        <v>4</v>
      </c>
      <c r="G6" s="349">
        <v>5</v>
      </c>
      <c r="H6" s="349">
        <v>6</v>
      </c>
      <c r="I6" s="349">
        <v>7</v>
      </c>
      <c r="J6" s="349"/>
      <c r="K6" s="79"/>
    </row>
    <row r="7" s="29" customFormat="1" customHeight="1" spans="1:11">
      <c r="A7" s="350" t="s">
        <v>84</v>
      </c>
      <c r="B7" s="351"/>
      <c r="C7" s="351"/>
      <c r="D7" s="352"/>
      <c r="E7" s="298">
        <f>E8+E21+E22+E23</f>
        <v>231105.056578</v>
      </c>
      <c r="F7" s="298">
        <f t="shared" ref="E7:J7" si="0">F8+F21+F22+F23</f>
        <v>627.205416</v>
      </c>
      <c r="G7" s="298">
        <f t="shared" si="0"/>
        <v>100768.431436</v>
      </c>
      <c r="H7" s="298">
        <f t="shared" si="0"/>
        <v>41520.830411</v>
      </c>
      <c r="I7" s="298">
        <f t="shared" si="0"/>
        <v>6261.876665</v>
      </c>
      <c r="J7" s="298">
        <f t="shared" si="0"/>
        <v>237366.933243</v>
      </c>
      <c r="K7" s="79"/>
    </row>
    <row r="8" s="329" customFormat="1" customHeight="1" spans="1:11">
      <c r="A8" s="353">
        <v>1</v>
      </c>
      <c r="B8" s="354" t="s">
        <v>563</v>
      </c>
      <c r="C8" s="354"/>
      <c r="D8" s="354"/>
      <c r="E8" s="355">
        <f t="shared" ref="E8:G8" si="1">SUM(E9:E20)</f>
        <v>103894.302113</v>
      </c>
      <c r="F8" s="355">
        <f t="shared" si="1"/>
        <v>0</v>
      </c>
      <c r="G8" s="355">
        <f t="shared" si="1"/>
        <v>50329.372666</v>
      </c>
      <c r="H8" s="355">
        <v>5814.91</v>
      </c>
      <c r="I8" s="355">
        <f>SUM(I9:I20)</f>
        <v>5814.905</v>
      </c>
      <c r="J8" s="355">
        <f>SUM(J9:J20)</f>
        <v>109709.207113</v>
      </c>
      <c r="K8" s="382" t="s">
        <v>564</v>
      </c>
    </row>
    <row r="9" s="330" customFormat="1" hidden="1" customHeight="1" spans="1:11">
      <c r="A9" s="356"/>
      <c r="B9" s="357" t="s">
        <v>565</v>
      </c>
      <c r="C9" s="358" t="s">
        <v>566</v>
      </c>
      <c r="D9" s="358" t="s">
        <v>567</v>
      </c>
      <c r="E9" s="359">
        <v>11566.74</v>
      </c>
      <c r="F9" s="359"/>
      <c r="G9" s="359">
        <v>4627.502855</v>
      </c>
      <c r="H9" s="359">
        <v>1990.55</v>
      </c>
      <c r="I9" s="359">
        <v>1990.55</v>
      </c>
      <c r="J9" s="383">
        <f t="shared" ref="J9:J20" si="2">E9+I9</f>
        <v>13557.29</v>
      </c>
      <c r="K9" s="384" t="s">
        <v>568</v>
      </c>
    </row>
    <row r="10" s="330" customFormat="1" ht="50.1" hidden="1" customHeight="1" spans="1:11">
      <c r="A10" s="356"/>
      <c r="B10" s="357" t="s">
        <v>569</v>
      </c>
      <c r="C10" s="358" t="s">
        <v>566</v>
      </c>
      <c r="D10" s="358" t="s">
        <v>567</v>
      </c>
      <c r="E10" s="359">
        <v>68416.62</v>
      </c>
      <c r="F10" s="359"/>
      <c r="G10" s="359">
        <v>34250.8</v>
      </c>
      <c r="H10" s="359">
        <v>2906.12</v>
      </c>
      <c r="I10" s="359">
        <v>2906.12</v>
      </c>
      <c r="J10" s="383">
        <f t="shared" si="2"/>
        <v>71322.74</v>
      </c>
      <c r="K10" s="384" t="s">
        <v>570</v>
      </c>
    </row>
    <row r="11" s="330" customFormat="1" hidden="1" customHeight="1" spans="1:11">
      <c r="A11" s="356"/>
      <c r="B11" s="360" t="s">
        <v>571</v>
      </c>
      <c r="C11" s="358" t="s">
        <v>571</v>
      </c>
      <c r="D11" s="358" t="s">
        <v>567</v>
      </c>
      <c r="E11" s="359">
        <v>6.07</v>
      </c>
      <c r="F11" s="359"/>
      <c r="G11" s="359"/>
      <c r="H11" s="359"/>
      <c r="I11" s="359"/>
      <c r="J11" s="383">
        <f t="shared" si="2"/>
        <v>6.07</v>
      </c>
      <c r="K11" s="384"/>
    </row>
    <row r="12" s="330" customFormat="1" hidden="1" customHeight="1" spans="1:11">
      <c r="A12" s="356"/>
      <c r="B12" s="357" t="s">
        <v>572</v>
      </c>
      <c r="C12" s="358" t="s">
        <v>566</v>
      </c>
      <c r="D12" s="358" t="s">
        <v>567</v>
      </c>
      <c r="E12" s="359">
        <v>2076.436813</v>
      </c>
      <c r="F12" s="359"/>
      <c r="G12" s="359">
        <v>1095.372142</v>
      </c>
      <c r="H12" s="359">
        <v>200</v>
      </c>
      <c r="I12" s="359">
        <v>200</v>
      </c>
      <c r="J12" s="383">
        <f t="shared" si="2"/>
        <v>2276.436813</v>
      </c>
      <c r="K12" s="384" t="s">
        <v>573</v>
      </c>
    </row>
    <row r="13" s="330" customFormat="1" hidden="1" customHeight="1" spans="1:11">
      <c r="A13" s="356"/>
      <c r="B13" s="357" t="s">
        <v>574</v>
      </c>
      <c r="C13" s="358" t="s">
        <v>566</v>
      </c>
      <c r="D13" s="358" t="s">
        <v>567</v>
      </c>
      <c r="E13" s="359">
        <v>6898.4</v>
      </c>
      <c r="F13" s="359"/>
      <c r="G13" s="359">
        <v>3649.451443</v>
      </c>
      <c r="H13" s="359">
        <v>291.99</v>
      </c>
      <c r="I13" s="359">
        <v>291.99</v>
      </c>
      <c r="J13" s="383">
        <f t="shared" si="2"/>
        <v>7190.39</v>
      </c>
      <c r="K13" s="384" t="s">
        <v>575</v>
      </c>
    </row>
    <row r="14" s="331" customFormat="1" hidden="1" customHeight="1" spans="1:11">
      <c r="A14" s="356"/>
      <c r="B14" s="357" t="s">
        <v>576</v>
      </c>
      <c r="C14" s="358" t="s">
        <v>577</v>
      </c>
      <c r="D14" s="358" t="s">
        <v>578</v>
      </c>
      <c r="E14" s="359">
        <v>6000</v>
      </c>
      <c r="F14" s="359"/>
      <c r="G14" s="359">
        <v>3600</v>
      </c>
      <c r="H14" s="359"/>
      <c r="I14" s="359"/>
      <c r="J14" s="383">
        <f t="shared" si="2"/>
        <v>6000</v>
      </c>
      <c r="K14" s="384"/>
    </row>
    <row r="15" s="331" customFormat="1" hidden="1" customHeight="1" spans="1:11">
      <c r="A15" s="356"/>
      <c r="B15" s="357" t="s">
        <v>576</v>
      </c>
      <c r="C15" s="358" t="s">
        <v>566</v>
      </c>
      <c r="D15" s="358" t="s">
        <v>567</v>
      </c>
      <c r="E15" s="359">
        <v>5927.0053</v>
      </c>
      <c r="F15" s="359">
        <v>0</v>
      </c>
      <c r="G15" s="359">
        <v>2992.676226</v>
      </c>
      <c r="H15" s="359">
        <v>229.345</v>
      </c>
      <c r="I15" s="359">
        <v>229.345</v>
      </c>
      <c r="J15" s="383">
        <f t="shared" si="2"/>
        <v>6156.3503</v>
      </c>
      <c r="K15" s="384" t="s">
        <v>579</v>
      </c>
    </row>
    <row r="16" s="331" customFormat="1" ht="50.1" hidden="1" customHeight="1" spans="1:11">
      <c r="A16" s="356"/>
      <c r="B16" s="357" t="s">
        <v>580</v>
      </c>
      <c r="C16" s="358" t="s">
        <v>581</v>
      </c>
      <c r="D16" s="358" t="s">
        <v>582</v>
      </c>
      <c r="E16" s="359">
        <v>300</v>
      </c>
      <c r="F16" s="359"/>
      <c r="G16" s="359">
        <f>248-138</f>
        <v>110</v>
      </c>
      <c r="H16" s="359">
        <v>120</v>
      </c>
      <c r="I16" s="359">
        <v>120</v>
      </c>
      <c r="J16" s="383">
        <f t="shared" si="2"/>
        <v>420</v>
      </c>
      <c r="K16" s="384" t="s">
        <v>583</v>
      </c>
    </row>
    <row r="17" s="330" customFormat="1" hidden="1" customHeight="1" spans="1:11">
      <c r="A17" s="356"/>
      <c r="B17" s="357" t="s">
        <v>580</v>
      </c>
      <c r="C17" s="358" t="s">
        <v>566</v>
      </c>
      <c r="D17" s="358" t="s">
        <v>567</v>
      </c>
      <c r="E17" s="359">
        <f>2703.03-E18-E19-E20</f>
        <v>2653.13</v>
      </c>
      <c r="F17" s="359"/>
      <c r="G17" s="359"/>
      <c r="H17" s="359">
        <v>-2.1</v>
      </c>
      <c r="I17" s="359">
        <v>-2.1</v>
      </c>
      <c r="J17" s="383">
        <f t="shared" si="2"/>
        <v>2651.03</v>
      </c>
      <c r="K17" s="384" t="s">
        <v>584</v>
      </c>
    </row>
    <row r="18" s="330" customFormat="1" hidden="1" customHeight="1" spans="1:11">
      <c r="A18" s="356"/>
      <c r="B18" s="357" t="s">
        <v>580</v>
      </c>
      <c r="C18" s="358" t="s">
        <v>585</v>
      </c>
      <c r="D18" s="358" t="s">
        <v>586</v>
      </c>
      <c r="E18" s="359">
        <v>14.1</v>
      </c>
      <c r="F18" s="359"/>
      <c r="G18" s="359">
        <v>1.6</v>
      </c>
      <c r="H18" s="361">
        <v>9</v>
      </c>
      <c r="I18" s="361">
        <v>9</v>
      </c>
      <c r="J18" s="383">
        <f t="shared" si="2"/>
        <v>23.1</v>
      </c>
      <c r="K18" s="385" t="s">
        <v>587</v>
      </c>
    </row>
    <row r="19" s="330" customFormat="1" hidden="1" customHeight="1" spans="1:11">
      <c r="A19" s="356"/>
      <c r="B19" s="357" t="s">
        <v>580</v>
      </c>
      <c r="C19" s="358" t="s">
        <v>588</v>
      </c>
      <c r="D19" s="358" t="s">
        <v>589</v>
      </c>
      <c r="E19" s="359">
        <v>20.8</v>
      </c>
      <c r="F19" s="359"/>
      <c r="G19" s="359">
        <f>21-19.38</f>
        <v>1.62</v>
      </c>
      <c r="H19" s="361">
        <v>40</v>
      </c>
      <c r="I19" s="361">
        <v>40</v>
      </c>
      <c r="J19" s="383">
        <f t="shared" si="2"/>
        <v>60.8</v>
      </c>
      <c r="K19" s="385" t="s">
        <v>590</v>
      </c>
    </row>
    <row r="20" s="330" customFormat="1" hidden="1" customHeight="1" spans="1:11">
      <c r="A20" s="356"/>
      <c r="B20" s="357" t="s">
        <v>580</v>
      </c>
      <c r="C20" s="358" t="s">
        <v>591</v>
      </c>
      <c r="D20" s="358" t="s">
        <v>592</v>
      </c>
      <c r="E20" s="359">
        <v>15</v>
      </c>
      <c r="F20" s="359"/>
      <c r="G20" s="359">
        <v>0.35</v>
      </c>
      <c r="H20" s="361">
        <v>37</v>
      </c>
      <c r="I20" s="361">
        <v>30</v>
      </c>
      <c r="J20" s="383">
        <f t="shared" si="2"/>
        <v>45</v>
      </c>
      <c r="K20" s="385" t="s">
        <v>593</v>
      </c>
    </row>
    <row r="21" s="332" customFormat="1" customHeight="1" spans="1:11">
      <c r="A21" s="353">
        <v>2</v>
      </c>
      <c r="B21" s="362" t="s">
        <v>594</v>
      </c>
      <c r="C21" s="363"/>
      <c r="D21" s="364"/>
      <c r="E21" s="365">
        <v>38343.37</v>
      </c>
      <c r="F21" s="366"/>
      <c r="G21" s="366"/>
      <c r="H21" s="366"/>
      <c r="I21" s="366"/>
      <c r="J21" s="365">
        <v>38343.37</v>
      </c>
      <c r="K21" s="386" t="s">
        <v>595</v>
      </c>
    </row>
    <row r="22" s="332" customFormat="1" customHeight="1" spans="1:11">
      <c r="A22" s="353">
        <v>3</v>
      </c>
      <c r="B22" s="362" t="s">
        <v>596</v>
      </c>
      <c r="C22" s="363"/>
      <c r="D22" s="364"/>
      <c r="E22" s="366">
        <v>7500</v>
      </c>
      <c r="F22" s="366"/>
      <c r="G22" s="366"/>
      <c r="H22" s="365">
        <v>0</v>
      </c>
      <c r="I22" s="365">
        <v>0</v>
      </c>
      <c r="J22" s="365">
        <v>7500</v>
      </c>
      <c r="K22" s="386"/>
    </row>
    <row r="23" s="333" customFormat="1" customHeight="1" spans="1:11">
      <c r="A23" s="353">
        <v>4</v>
      </c>
      <c r="B23" s="367" t="s">
        <v>597</v>
      </c>
      <c r="C23" s="368"/>
      <c r="D23" s="369"/>
      <c r="E23" s="365">
        <f t="shared" ref="E23:J23" si="3">SUM(E24:E868)/2</f>
        <v>81367.384465</v>
      </c>
      <c r="F23" s="365">
        <f t="shared" si="3"/>
        <v>627.205416</v>
      </c>
      <c r="G23" s="365">
        <f t="shared" si="3"/>
        <v>50439.05877</v>
      </c>
      <c r="H23" s="365">
        <f t="shared" si="3"/>
        <v>35705.920411</v>
      </c>
      <c r="I23" s="365">
        <f t="shared" si="3"/>
        <v>446.971665000002</v>
      </c>
      <c r="J23" s="365">
        <f t="shared" si="3"/>
        <v>81814.35613</v>
      </c>
      <c r="K23" s="387"/>
    </row>
    <row r="24" s="29" customFormat="1" ht="26" customHeight="1" spans="1:11">
      <c r="A24" s="370">
        <v>5</v>
      </c>
      <c r="B24" s="126" t="s">
        <v>572</v>
      </c>
      <c r="C24" s="371" t="s">
        <v>598</v>
      </c>
      <c r="D24" s="371" t="s">
        <v>599</v>
      </c>
      <c r="E24" s="372">
        <v>7.2</v>
      </c>
      <c r="F24" s="372"/>
      <c r="G24" s="372">
        <v>7.2</v>
      </c>
      <c r="H24" s="372">
        <v>0</v>
      </c>
      <c r="I24" s="372">
        <v>0</v>
      </c>
      <c r="J24" s="372">
        <f t="shared" ref="J24:J41" si="4">E24+I24</f>
        <v>7.2</v>
      </c>
      <c r="K24" s="79"/>
    </row>
    <row r="25" s="29" customFormat="1" ht="26" customHeight="1" spans="1:11">
      <c r="A25" s="370">
        <v>6</v>
      </c>
      <c r="B25" s="126" t="s">
        <v>565</v>
      </c>
      <c r="C25" s="371" t="s">
        <v>598</v>
      </c>
      <c r="D25" s="147" t="s">
        <v>600</v>
      </c>
      <c r="E25" s="123">
        <v>61.11</v>
      </c>
      <c r="F25" s="123"/>
      <c r="G25" s="123">
        <f>E25-10.6</f>
        <v>50.51</v>
      </c>
      <c r="H25" s="123">
        <v>-61.11</v>
      </c>
      <c r="I25" s="123">
        <v>-61.11</v>
      </c>
      <c r="J25" s="372">
        <f t="shared" si="4"/>
        <v>0</v>
      </c>
      <c r="K25" s="79" t="s">
        <v>601</v>
      </c>
    </row>
    <row r="26" s="29" customFormat="1" customHeight="1" spans="1:11">
      <c r="A26" s="370">
        <v>7</v>
      </c>
      <c r="B26" s="126" t="s">
        <v>565</v>
      </c>
      <c r="C26" s="371" t="s">
        <v>598</v>
      </c>
      <c r="D26" s="79" t="s">
        <v>602</v>
      </c>
      <c r="E26" s="123">
        <v>76.8</v>
      </c>
      <c r="F26" s="123"/>
      <c r="G26" s="123">
        <f>E26-44.8</f>
        <v>32</v>
      </c>
      <c r="H26" s="123">
        <v>15.75</v>
      </c>
      <c r="I26" s="123">
        <v>15.75</v>
      </c>
      <c r="J26" s="372">
        <f t="shared" si="4"/>
        <v>92.55</v>
      </c>
      <c r="K26" s="79" t="s">
        <v>603</v>
      </c>
    </row>
    <row r="27" s="29" customFormat="1" ht="26" customHeight="1" spans="1:11">
      <c r="A27" s="370">
        <v>8</v>
      </c>
      <c r="B27" s="126" t="s">
        <v>565</v>
      </c>
      <c r="C27" s="371" t="s">
        <v>598</v>
      </c>
      <c r="D27" s="147" t="s">
        <v>604</v>
      </c>
      <c r="E27" s="123">
        <v>36</v>
      </c>
      <c r="F27" s="123"/>
      <c r="G27" s="123">
        <v>0</v>
      </c>
      <c r="H27" s="123">
        <f>6*3/4</f>
        <v>4.5</v>
      </c>
      <c r="I27" s="123">
        <f>6*3/4</f>
        <v>4.5</v>
      </c>
      <c r="J27" s="372">
        <f t="shared" si="4"/>
        <v>40.5</v>
      </c>
      <c r="K27" s="79" t="s">
        <v>605</v>
      </c>
    </row>
    <row r="28" s="29" customFormat="1" ht="26" customHeight="1" spans="1:11">
      <c r="A28" s="370">
        <v>9</v>
      </c>
      <c r="B28" s="126" t="s">
        <v>565</v>
      </c>
      <c r="C28" s="371" t="s">
        <v>598</v>
      </c>
      <c r="D28" s="147" t="s">
        <v>606</v>
      </c>
      <c r="E28" s="123">
        <v>1373.93</v>
      </c>
      <c r="F28" s="123"/>
      <c r="G28" s="123">
        <f>E28-417.761652-73.90076</f>
        <v>882.267588</v>
      </c>
      <c r="H28" s="123">
        <v>90</v>
      </c>
      <c r="I28" s="123">
        <v>90</v>
      </c>
      <c r="J28" s="372">
        <f t="shared" si="4"/>
        <v>1463.93</v>
      </c>
      <c r="K28" s="79" t="s">
        <v>607</v>
      </c>
    </row>
    <row r="29" s="29" customFormat="1" ht="26" customHeight="1" spans="1:11">
      <c r="A29" s="370">
        <v>10</v>
      </c>
      <c r="B29" s="126" t="s">
        <v>565</v>
      </c>
      <c r="C29" s="371" t="s">
        <v>598</v>
      </c>
      <c r="D29" s="147" t="s">
        <v>608</v>
      </c>
      <c r="E29" s="123">
        <v>100</v>
      </c>
      <c r="F29" s="123"/>
      <c r="G29" s="123">
        <f>E29-55.491684</f>
        <v>44.508316</v>
      </c>
      <c r="H29" s="123">
        <v>0.3</v>
      </c>
      <c r="I29" s="123">
        <v>0.3</v>
      </c>
      <c r="J29" s="372">
        <f t="shared" si="4"/>
        <v>100.3</v>
      </c>
      <c r="K29" s="79" t="s">
        <v>609</v>
      </c>
    </row>
    <row r="30" s="29" customFormat="1" ht="26" customHeight="1" spans="1:11">
      <c r="A30" s="370">
        <v>11</v>
      </c>
      <c r="B30" s="126" t="s">
        <v>565</v>
      </c>
      <c r="C30" s="371" t="s">
        <v>598</v>
      </c>
      <c r="D30" s="147" t="s">
        <v>610</v>
      </c>
      <c r="E30" s="123">
        <v>1399.2</v>
      </c>
      <c r="F30" s="123"/>
      <c r="G30" s="123">
        <f>E30-249.76</f>
        <v>1149.44</v>
      </c>
      <c r="H30" s="123">
        <v>-845</v>
      </c>
      <c r="I30" s="123">
        <v>-845</v>
      </c>
      <c r="J30" s="372">
        <f t="shared" si="4"/>
        <v>554.2</v>
      </c>
      <c r="K30" s="79" t="s">
        <v>611</v>
      </c>
    </row>
    <row r="31" s="29" customFormat="1" ht="26" customHeight="1" spans="1:11">
      <c r="A31" s="370">
        <v>12</v>
      </c>
      <c r="B31" s="126" t="s">
        <v>565</v>
      </c>
      <c r="C31" s="371" t="s">
        <v>598</v>
      </c>
      <c r="D31" s="79" t="s">
        <v>612</v>
      </c>
      <c r="E31" s="123">
        <v>84.29</v>
      </c>
      <c r="F31" s="123"/>
      <c r="G31" s="123">
        <f>E31-38.913338</f>
        <v>45.376662</v>
      </c>
      <c r="H31" s="123"/>
      <c r="I31" s="123"/>
      <c r="J31" s="372">
        <f t="shared" si="4"/>
        <v>84.29</v>
      </c>
      <c r="K31" s="79"/>
    </row>
    <row r="32" s="29" customFormat="1" ht="26" customHeight="1" spans="1:11">
      <c r="A32" s="370">
        <v>13</v>
      </c>
      <c r="B32" s="126" t="s">
        <v>565</v>
      </c>
      <c r="C32" s="371" t="s">
        <v>598</v>
      </c>
      <c r="D32" s="147" t="s">
        <v>613</v>
      </c>
      <c r="E32" s="123">
        <v>96.48</v>
      </c>
      <c r="F32" s="123"/>
      <c r="G32" s="123">
        <f>E32-50.81</f>
        <v>45.67</v>
      </c>
      <c r="H32" s="123"/>
      <c r="I32" s="123"/>
      <c r="J32" s="372">
        <f t="shared" si="4"/>
        <v>96.48</v>
      </c>
      <c r="K32" s="79"/>
    </row>
    <row r="33" s="29" customFormat="1" ht="26" customHeight="1" spans="1:11">
      <c r="A33" s="370">
        <v>14</v>
      </c>
      <c r="B33" s="126" t="s">
        <v>565</v>
      </c>
      <c r="C33" s="371" t="s">
        <v>598</v>
      </c>
      <c r="D33" s="147" t="s">
        <v>614</v>
      </c>
      <c r="E33" s="123">
        <v>189.9</v>
      </c>
      <c r="F33" s="123"/>
      <c r="G33" s="123">
        <f>E33-103.03593</f>
        <v>86.86407</v>
      </c>
      <c r="H33" s="123"/>
      <c r="I33" s="123"/>
      <c r="J33" s="372">
        <f t="shared" si="4"/>
        <v>189.9</v>
      </c>
      <c r="K33" s="79"/>
    </row>
    <row r="34" s="29" customFormat="1" ht="26" customHeight="1" spans="1:11">
      <c r="A34" s="370">
        <v>15</v>
      </c>
      <c r="B34" s="126" t="s">
        <v>565</v>
      </c>
      <c r="C34" s="371" t="s">
        <v>598</v>
      </c>
      <c r="D34" s="147" t="s">
        <v>615</v>
      </c>
      <c r="E34" s="123">
        <v>157.19</v>
      </c>
      <c r="F34" s="123"/>
      <c r="G34" s="123">
        <f>E34-91</f>
        <v>66.19</v>
      </c>
      <c r="H34" s="123"/>
      <c r="I34" s="123"/>
      <c r="J34" s="372">
        <f t="shared" si="4"/>
        <v>157.19</v>
      </c>
      <c r="K34" s="79"/>
    </row>
    <row r="35" s="29" customFormat="1" ht="26" customHeight="1" spans="1:11">
      <c r="A35" s="370">
        <v>16</v>
      </c>
      <c r="B35" s="126" t="s">
        <v>565</v>
      </c>
      <c r="C35" s="371" t="s">
        <v>598</v>
      </c>
      <c r="D35" s="147" t="s">
        <v>616</v>
      </c>
      <c r="E35" s="123">
        <v>61.11</v>
      </c>
      <c r="F35" s="123"/>
      <c r="G35" s="123">
        <f>E35-37.1</f>
        <v>24.01</v>
      </c>
      <c r="H35" s="123"/>
      <c r="I35" s="123"/>
      <c r="J35" s="372">
        <f t="shared" si="4"/>
        <v>61.11</v>
      </c>
      <c r="K35" s="79"/>
    </row>
    <row r="36" s="29" customFormat="1" ht="26" customHeight="1" spans="1:11">
      <c r="A36" s="370">
        <v>17</v>
      </c>
      <c r="B36" s="126" t="s">
        <v>565</v>
      </c>
      <c r="C36" s="371" t="s">
        <v>598</v>
      </c>
      <c r="D36" s="147" t="s">
        <v>617</v>
      </c>
      <c r="E36" s="123">
        <v>148</v>
      </c>
      <c r="F36" s="123"/>
      <c r="G36" s="123">
        <v>148</v>
      </c>
      <c r="H36" s="123"/>
      <c r="I36" s="123"/>
      <c r="J36" s="372">
        <f t="shared" si="4"/>
        <v>148</v>
      </c>
      <c r="K36" s="79"/>
    </row>
    <row r="37" s="29" customFormat="1" ht="26" customHeight="1" spans="1:11">
      <c r="A37" s="370">
        <v>18</v>
      </c>
      <c r="B37" s="126" t="s">
        <v>565</v>
      </c>
      <c r="C37" s="371" t="s">
        <v>598</v>
      </c>
      <c r="D37" s="147" t="s">
        <v>618</v>
      </c>
      <c r="E37" s="123">
        <v>54</v>
      </c>
      <c r="F37" s="123"/>
      <c r="G37" s="123">
        <v>54</v>
      </c>
      <c r="H37" s="123"/>
      <c r="I37" s="123"/>
      <c r="J37" s="372">
        <f t="shared" si="4"/>
        <v>54</v>
      </c>
      <c r="K37" s="79"/>
    </row>
    <row r="38" s="29" customFormat="1" ht="26" customHeight="1" spans="1:11">
      <c r="A38" s="370">
        <v>19</v>
      </c>
      <c r="B38" s="126" t="s">
        <v>565</v>
      </c>
      <c r="C38" s="371" t="s">
        <v>598</v>
      </c>
      <c r="D38" s="147" t="s">
        <v>619</v>
      </c>
      <c r="E38" s="123">
        <v>20.66</v>
      </c>
      <c r="F38" s="123"/>
      <c r="G38" s="123">
        <v>20.66</v>
      </c>
      <c r="H38" s="123"/>
      <c r="I38" s="123"/>
      <c r="J38" s="372">
        <f t="shared" si="4"/>
        <v>20.66</v>
      </c>
      <c r="K38" s="79"/>
    </row>
    <row r="39" s="29" customFormat="1" ht="26" customHeight="1" spans="1:11">
      <c r="A39" s="370">
        <v>20</v>
      </c>
      <c r="B39" s="126" t="s">
        <v>565</v>
      </c>
      <c r="C39" s="371" t="s">
        <v>598</v>
      </c>
      <c r="D39" s="147" t="s">
        <v>620</v>
      </c>
      <c r="E39" s="123">
        <v>81.8</v>
      </c>
      <c r="F39" s="123"/>
      <c r="G39" s="123">
        <v>81.8</v>
      </c>
      <c r="H39" s="123"/>
      <c r="I39" s="123"/>
      <c r="J39" s="372">
        <f t="shared" si="4"/>
        <v>81.8</v>
      </c>
      <c r="K39" s="79"/>
    </row>
    <row r="40" s="29" customFormat="1" ht="26" customHeight="1" spans="1:11">
      <c r="A40" s="370">
        <v>21</v>
      </c>
      <c r="B40" s="126" t="s">
        <v>565</v>
      </c>
      <c r="C40" s="371" t="s">
        <v>598</v>
      </c>
      <c r="D40" s="147" t="s">
        <v>621</v>
      </c>
      <c r="E40" s="123">
        <v>35</v>
      </c>
      <c r="F40" s="123"/>
      <c r="G40" s="123">
        <v>35</v>
      </c>
      <c r="H40" s="123"/>
      <c r="I40" s="123"/>
      <c r="J40" s="372">
        <f t="shared" si="4"/>
        <v>35</v>
      </c>
      <c r="K40" s="79"/>
    </row>
    <row r="41" s="29" customFormat="1" ht="26" customHeight="1" spans="1:11">
      <c r="A41" s="370">
        <v>22</v>
      </c>
      <c r="B41" s="126" t="s">
        <v>565</v>
      </c>
      <c r="C41" s="371" t="s">
        <v>598</v>
      </c>
      <c r="D41" s="147" t="s">
        <v>622</v>
      </c>
      <c r="E41" s="123">
        <v>242.81</v>
      </c>
      <c r="F41" s="123"/>
      <c r="G41" s="123">
        <v>242.81</v>
      </c>
      <c r="H41" s="123"/>
      <c r="I41" s="123"/>
      <c r="J41" s="372">
        <f t="shared" si="4"/>
        <v>242.81</v>
      </c>
      <c r="K41" s="79"/>
    </row>
    <row r="42" s="29" customFormat="1" customHeight="1" spans="1:11">
      <c r="A42" s="370">
        <v>23</v>
      </c>
      <c r="B42" s="126" t="s">
        <v>565</v>
      </c>
      <c r="C42" s="371" t="s">
        <v>598</v>
      </c>
      <c r="D42" s="79" t="s">
        <v>623</v>
      </c>
      <c r="E42" s="123"/>
      <c r="F42" s="123"/>
      <c r="G42" s="123"/>
      <c r="H42" s="123">
        <v>0.7</v>
      </c>
      <c r="I42" s="123">
        <v>0.7</v>
      </c>
      <c r="J42" s="372">
        <v>0.7</v>
      </c>
      <c r="K42" s="79" t="s">
        <v>624</v>
      </c>
    </row>
    <row r="43" s="29" customFormat="1" ht="26" customHeight="1" spans="1:11">
      <c r="A43" s="370">
        <v>24</v>
      </c>
      <c r="B43" s="126" t="s">
        <v>565</v>
      </c>
      <c r="C43" s="371" t="s">
        <v>625</v>
      </c>
      <c r="D43" s="147" t="s">
        <v>626</v>
      </c>
      <c r="E43" s="123">
        <v>10</v>
      </c>
      <c r="F43" s="123"/>
      <c r="G43" s="123">
        <v>10</v>
      </c>
      <c r="H43" s="123"/>
      <c r="I43" s="123"/>
      <c r="J43" s="372">
        <f t="shared" ref="J43:J52" si="5">E43+I43</f>
        <v>10</v>
      </c>
      <c r="K43" s="79"/>
    </row>
    <row r="44" s="29" customFormat="1" ht="26" customHeight="1" spans="1:11">
      <c r="A44" s="370">
        <v>25</v>
      </c>
      <c r="B44" s="126" t="s">
        <v>627</v>
      </c>
      <c r="C44" s="371" t="s">
        <v>628</v>
      </c>
      <c r="D44" s="147" t="s">
        <v>629</v>
      </c>
      <c r="E44" s="123">
        <v>30</v>
      </c>
      <c r="F44" s="123"/>
      <c r="G44" s="123">
        <v>0</v>
      </c>
      <c r="H44" s="123"/>
      <c r="I44" s="123"/>
      <c r="J44" s="372">
        <f t="shared" si="5"/>
        <v>30</v>
      </c>
      <c r="K44" s="79"/>
    </row>
    <row r="45" s="29" customFormat="1" ht="50.1" customHeight="1" spans="1:11">
      <c r="A45" s="370">
        <v>26</v>
      </c>
      <c r="B45" s="126" t="s">
        <v>572</v>
      </c>
      <c r="C45" s="371" t="s">
        <v>628</v>
      </c>
      <c r="D45" s="371" t="s">
        <v>630</v>
      </c>
      <c r="E45" s="372">
        <v>0</v>
      </c>
      <c r="F45" s="372"/>
      <c r="G45" s="372">
        <v>0</v>
      </c>
      <c r="H45" s="372">
        <v>931.76</v>
      </c>
      <c r="I45" s="372">
        <v>0</v>
      </c>
      <c r="J45" s="372">
        <f t="shared" si="5"/>
        <v>0</v>
      </c>
      <c r="K45" s="79" t="s">
        <v>631</v>
      </c>
    </row>
    <row r="46" s="29" customFormat="1" ht="26" customHeight="1" spans="1:11">
      <c r="A46" s="370">
        <v>27</v>
      </c>
      <c r="B46" s="126" t="s">
        <v>576</v>
      </c>
      <c r="C46" s="371" t="s">
        <v>628</v>
      </c>
      <c r="D46" s="147" t="s">
        <v>632</v>
      </c>
      <c r="E46" s="123">
        <v>180</v>
      </c>
      <c r="F46" s="123"/>
      <c r="G46" s="123">
        <v>151.49</v>
      </c>
      <c r="H46" s="123"/>
      <c r="I46" s="123">
        <v>-30</v>
      </c>
      <c r="J46" s="372">
        <f t="shared" si="5"/>
        <v>150</v>
      </c>
      <c r="K46" s="79"/>
    </row>
    <row r="47" s="29" customFormat="1" ht="26" customHeight="1" spans="1:11">
      <c r="A47" s="370">
        <v>28</v>
      </c>
      <c r="B47" s="126" t="s">
        <v>565</v>
      </c>
      <c r="C47" s="371" t="s">
        <v>628</v>
      </c>
      <c r="D47" s="147" t="s">
        <v>633</v>
      </c>
      <c r="E47" s="123">
        <v>135</v>
      </c>
      <c r="F47" s="123"/>
      <c r="G47" s="123">
        <f>E47-30</f>
        <v>105</v>
      </c>
      <c r="H47" s="123"/>
      <c r="I47" s="123"/>
      <c r="J47" s="372">
        <f t="shared" si="5"/>
        <v>135</v>
      </c>
      <c r="K47" s="79"/>
    </row>
    <row r="48" s="29" customFormat="1" ht="26" customHeight="1" spans="1:11">
      <c r="A48" s="370">
        <v>29</v>
      </c>
      <c r="B48" s="126" t="s">
        <v>565</v>
      </c>
      <c r="C48" s="371" t="s">
        <v>628</v>
      </c>
      <c r="D48" s="147" t="s">
        <v>634</v>
      </c>
      <c r="E48" s="123">
        <v>2</v>
      </c>
      <c r="F48" s="123"/>
      <c r="G48" s="123">
        <v>2</v>
      </c>
      <c r="H48" s="123"/>
      <c r="I48" s="123"/>
      <c r="J48" s="372">
        <f t="shared" si="5"/>
        <v>2</v>
      </c>
      <c r="K48" s="79"/>
    </row>
    <row r="49" s="29" customFormat="1" ht="26" customHeight="1" spans="1:11">
      <c r="A49" s="370">
        <v>30</v>
      </c>
      <c r="B49" s="126" t="s">
        <v>565</v>
      </c>
      <c r="C49" s="371" t="s">
        <v>628</v>
      </c>
      <c r="D49" s="147" t="s">
        <v>635</v>
      </c>
      <c r="E49" s="123">
        <v>33</v>
      </c>
      <c r="F49" s="123"/>
      <c r="G49" s="123">
        <v>0</v>
      </c>
      <c r="H49" s="123"/>
      <c r="I49" s="123"/>
      <c r="J49" s="372">
        <f t="shared" si="5"/>
        <v>33</v>
      </c>
      <c r="K49" s="79"/>
    </row>
    <row r="50" s="29" customFormat="1" ht="26" customHeight="1" spans="1:11">
      <c r="A50" s="370">
        <v>31</v>
      </c>
      <c r="B50" s="126" t="s">
        <v>565</v>
      </c>
      <c r="C50" s="371" t="s">
        <v>636</v>
      </c>
      <c r="D50" s="147" t="s">
        <v>637</v>
      </c>
      <c r="E50" s="123">
        <v>20</v>
      </c>
      <c r="F50" s="123"/>
      <c r="G50" s="123">
        <v>0</v>
      </c>
      <c r="H50" s="123"/>
      <c r="I50" s="123"/>
      <c r="J50" s="372">
        <f t="shared" si="5"/>
        <v>20</v>
      </c>
      <c r="K50" s="79"/>
    </row>
    <row r="51" s="29" customFormat="1" ht="26" customHeight="1" spans="1:11">
      <c r="A51" s="370">
        <v>32</v>
      </c>
      <c r="B51" s="126" t="s">
        <v>565</v>
      </c>
      <c r="C51" s="371" t="s">
        <v>638</v>
      </c>
      <c r="D51" s="147" t="s">
        <v>639</v>
      </c>
      <c r="E51" s="123">
        <v>15</v>
      </c>
      <c r="F51" s="123"/>
      <c r="G51" s="123">
        <v>15</v>
      </c>
      <c r="H51" s="123"/>
      <c r="I51" s="123"/>
      <c r="J51" s="372">
        <f t="shared" si="5"/>
        <v>15</v>
      </c>
      <c r="K51" s="79"/>
    </row>
    <row r="52" s="29" customFormat="1" ht="26" customHeight="1" spans="1:11">
      <c r="A52" s="370">
        <v>33</v>
      </c>
      <c r="B52" s="126" t="s">
        <v>565</v>
      </c>
      <c r="C52" s="371" t="s">
        <v>640</v>
      </c>
      <c r="D52" s="147" t="s">
        <v>641</v>
      </c>
      <c r="E52" s="123">
        <v>10</v>
      </c>
      <c r="F52" s="123"/>
      <c r="G52" s="123">
        <v>0</v>
      </c>
      <c r="H52" s="123"/>
      <c r="I52" s="123"/>
      <c r="J52" s="372">
        <f t="shared" si="5"/>
        <v>10</v>
      </c>
      <c r="K52" s="79"/>
    </row>
    <row r="53" s="334" customFormat="1" customHeight="1" spans="1:11">
      <c r="A53" s="353">
        <v>34</v>
      </c>
      <c r="B53" s="373" t="s">
        <v>642</v>
      </c>
      <c r="C53" s="374"/>
      <c r="D53" s="375"/>
      <c r="E53" s="355">
        <f t="shared" ref="E53:J53" si="6">SUM(E24:E52)</f>
        <v>4660.48</v>
      </c>
      <c r="F53" s="355">
        <f t="shared" si="6"/>
        <v>0</v>
      </c>
      <c r="G53" s="355">
        <f t="shared" si="6"/>
        <v>3299.796636</v>
      </c>
      <c r="H53" s="355">
        <f t="shared" si="6"/>
        <v>136.9</v>
      </c>
      <c r="I53" s="355">
        <f t="shared" si="6"/>
        <v>-824.86</v>
      </c>
      <c r="J53" s="355">
        <f t="shared" si="6"/>
        <v>3835.62</v>
      </c>
      <c r="K53" s="388"/>
    </row>
    <row r="54" s="29" customFormat="1" ht="26" customHeight="1" spans="1:11">
      <c r="A54" s="370">
        <v>35</v>
      </c>
      <c r="B54" s="126" t="s">
        <v>569</v>
      </c>
      <c r="C54" s="371" t="s">
        <v>643</v>
      </c>
      <c r="D54" s="147" t="s">
        <v>136</v>
      </c>
      <c r="E54" s="123">
        <v>10</v>
      </c>
      <c r="F54" s="123"/>
      <c r="G54" s="123">
        <v>3</v>
      </c>
      <c r="H54" s="123"/>
      <c r="I54" s="123"/>
      <c r="J54" s="372">
        <f t="shared" ref="J54:J63" si="7">E54+I54</f>
        <v>10</v>
      </c>
      <c r="K54" s="79"/>
    </row>
    <row r="55" s="29" customFormat="1" ht="26" customHeight="1" spans="1:11">
      <c r="A55" s="370">
        <v>36</v>
      </c>
      <c r="B55" s="126" t="s">
        <v>569</v>
      </c>
      <c r="C55" s="371" t="s">
        <v>643</v>
      </c>
      <c r="D55" s="147" t="s">
        <v>644</v>
      </c>
      <c r="E55" s="123">
        <v>4</v>
      </c>
      <c r="F55" s="123"/>
      <c r="G55" s="123">
        <v>0</v>
      </c>
      <c r="H55" s="123"/>
      <c r="I55" s="123"/>
      <c r="J55" s="372">
        <f t="shared" si="7"/>
        <v>4</v>
      </c>
      <c r="K55" s="79"/>
    </row>
    <row r="56" s="29" customFormat="1" ht="26" customHeight="1" spans="1:11">
      <c r="A56" s="370">
        <v>37</v>
      </c>
      <c r="B56" s="126" t="s">
        <v>569</v>
      </c>
      <c r="C56" s="371" t="s">
        <v>643</v>
      </c>
      <c r="D56" s="147" t="s">
        <v>645</v>
      </c>
      <c r="E56" s="123">
        <v>64.74</v>
      </c>
      <c r="F56" s="123"/>
      <c r="G56" s="123">
        <v>29.88</v>
      </c>
      <c r="H56" s="123"/>
      <c r="I56" s="123"/>
      <c r="J56" s="372">
        <f t="shared" si="7"/>
        <v>64.74</v>
      </c>
      <c r="K56" s="79"/>
    </row>
    <row r="57" s="29" customFormat="1" ht="26" customHeight="1" spans="1:11">
      <c r="A57" s="370">
        <v>38</v>
      </c>
      <c r="B57" s="126" t="s">
        <v>569</v>
      </c>
      <c r="C57" s="371" t="s">
        <v>643</v>
      </c>
      <c r="D57" s="147" t="s">
        <v>646</v>
      </c>
      <c r="E57" s="123">
        <v>2</v>
      </c>
      <c r="F57" s="123"/>
      <c r="G57" s="123">
        <v>0</v>
      </c>
      <c r="H57" s="123"/>
      <c r="I57" s="123"/>
      <c r="J57" s="372">
        <f t="shared" si="7"/>
        <v>2</v>
      </c>
      <c r="K57" s="79"/>
    </row>
    <row r="58" s="29" customFormat="1" ht="26" customHeight="1" spans="1:11">
      <c r="A58" s="370">
        <v>39</v>
      </c>
      <c r="B58" s="126" t="s">
        <v>569</v>
      </c>
      <c r="C58" s="371" t="s">
        <v>643</v>
      </c>
      <c r="D58" s="147" t="s">
        <v>647</v>
      </c>
      <c r="E58" s="123">
        <v>2</v>
      </c>
      <c r="F58" s="123"/>
      <c r="G58" s="123">
        <v>0</v>
      </c>
      <c r="H58" s="123"/>
      <c r="I58" s="123"/>
      <c r="J58" s="372">
        <f t="shared" si="7"/>
        <v>2</v>
      </c>
      <c r="K58" s="79"/>
    </row>
    <row r="59" s="29" customFormat="1" ht="26" customHeight="1" spans="1:11">
      <c r="A59" s="370">
        <v>40</v>
      </c>
      <c r="B59" s="126" t="s">
        <v>569</v>
      </c>
      <c r="C59" s="371" t="s">
        <v>643</v>
      </c>
      <c r="D59" s="147" t="s">
        <v>137</v>
      </c>
      <c r="E59" s="123">
        <v>19</v>
      </c>
      <c r="F59" s="123"/>
      <c r="G59" s="123">
        <v>0</v>
      </c>
      <c r="H59" s="123"/>
      <c r="I59" s="123"/>
      <c r="J59" s="372">
        <f t="shared" si="7"/>
        <v>19</v>
      </c>
      <c r="K59" s="79"/>
    </row>
    <row r="60" s="29" customFormat="1" ht="26" customHeight="1" spans="1:11">
      <c r="A60" s="370">
        <v>41</v>
      </c>
      <c r="B60" s="126" t="s">
        <v>569</v>
      </c>
      <c r="C60" s="371" t="s">
        <v>643</v>
      </c>
      <c r="D60" s="147" t="s">
        <v>648</v>
      </c>
      <c r="E60" s="123">
        <v>7</v>
      </c>
      <c r="F60" s="123"/>
      <c r="G60" s="123">
        <v>0</v>
      </c>
      <c r="H60" s="123"/>
      <c r="I60" s="123"/>
      <c r="J60" s="372">
        <f t="shared" si="7"/>
        <v>7</v>
      </c>
      <c r="K60" s="79"/>
    </row>
    <row r="61" s="29" customFormat="1" ht="26" customHeight="1" spans="1:11">
      <c r="A61" s="370">
        <v>42</v>
      </c>
      <c r="B61" s="126" t="s">
        <v>569</v>
      </c>
      <c r="C61" s="371" t="s">
        <v>643</v>
      </c>
      <c r="D61" s="147" t="s">
        <v>649</v>
      </c>
      <c r="E61" s="123">
        <v>2</v>
      </c>
      <c r="F61" s="123"/>
      <c r="G61" s="123">
        <v>0</v>
      </c>
      <c r="H61" s="123"/>
      <c r="I61" s="123"/>
      <c r="J61" s="372">
        <f t="shared" si="7"/>
        <v>2</v>
      </c>
      <c r="K61" s="79"/>
    </row>
    <row r="62" s="29" customFormat="1" ht="26" customHeight="1" spans="1:11">
      <c r="A62" s="370">
        <v>43</v>
      </c>
      <c r="B62" s="126" t="s">
        <v>569</v>
      </c>
      <c r="C62" s="371" t="s">
        <v>643</v>
      </c>
      <c r="D62" s="147" t="s">
        <v>650</v>
      </c>
      <c r="E62" s="123">
        <v>2</v>
      </c>
      <c r="F62" s="123"/>
      <c r="G62" s="123">
        <v>0</v>
      </c>
      <c r="H62" s="123"/>
      <c r="I62" s="123"/>
      <c r="J62" s="372">
        <f t="shared" si="7"/>
        <v>2</v>
      </c>
      <c r="K62" s="79"/>
    </row>
    <row r="63" s="29" customFormat="1" ht="26" customHeight="1" spans="1:11">
      <c r="A63" s="370">
        <v>44</v>
      </c>
      <c r="B63" s="126" t="s">
        <v>569</v>
      </c>
      <c r="C63" s="371" t="s">
        <v>643</v>
      </c>
      <c r="D63" s="147" t="s">
        <v>651</v>
      </c>
      <c r="E63" s="123">
        <v>8</v>
      </c>
      <c r="F63" s="123"/>
      <c r="G63" s="123">
        <v>0</v>
      </c>
      <c r="H63" s="123"/>
      <c r="I63" s="123"/>
      <c r="J63" s="372">
        <f t="shared" si="7"/>
        <v>8</v>
      </c>
      <c r="K63" s="79"/>
    </row>
    <row r="64" s="334" customFormat="1" customHeight="1" spans="1:11">
      <c r="A64" s="353">
        <v>45</v>
      </c>
      <c r="B64" s="376" t="s">
        <v>652</v>
      </c>
      <c r="C64" s="377"/>
      <c r="D64" s="378"/>
      <c r="E64" s="355">
        <f t="shared" ref="E64:J64" si="8">SUM(E54:E63)</f>
        <v>120.74</v>
      </c>
      <c r="F64" s="355">
        <f t="shared" si="8"/>
        <v>0</v>
      </c>
      <c r="G64" s="355">
        <f t="shared" si="8"/>
        <v>32.88</v>
      </c>
      <c r="H64" s="355">
        <f t="shared" si="8"/>
        <v>0</v>
      </c>
      <c r="I64" s="355">
        <f t="shared" si="8"/>
        <v>0</v>
      </c>
      <c r="J64" s="355">
        <f t="shared" si="8"/>
        <v>120.74</v>
      </c>
      <c r="K64" s="388"/>
    </row>
    <row r="65" s="29" customFormat="1" ht="26" customHeight="1" spans="1:11">
      <c r="A65" s="370">
        <v>46</v>
      </c>
      <c r="B65" s="126" t="s">
        <v>569</v>
      </c>
      <c r="C65" s="371" t="s">
        <v>653</v>
      </c>
      <c r="D65" s="147" t="s">
        <v>654</v>
      </c>
      <c r="E65" s="123">
        <v>7</v>
      </c>
      <c r="F65" s="123"/>
      <c r="G65" s="123">
        <v>3.1</v>
      </c>
      <c r="H65" s="123"/>
      <c r="I65" s="123"/>
      <c r="J65" s="372">
        <f t="shared" ref="J65:J76" si="9">E65+I65</f>
        <v>7</v>
      </c>
      <c r="K65" s="79"/>
    </row>
    <row r="66" s="29" customFormat="1" customHeight="1" spans="1:11">
      <c r="A66" s="370">
        <v>47</v>
      </c>
      <c r="B66" s="389" t="s">
        <v>569</v>
      </c>
      <c r="C66" s="79" t="s">
        <v>653</v>
      </c>
      <c r="D66" s="79" t="s">
        <v>655</v>
      </c>
      <c r="E66" s="123">
        <v>10</v>
      </c>
      <c r="F66" s="123"/>
      <c r="G66" s="123">
        <v>0.3</v>
      </c>
      <c r="H66" s="123">
        <f>59-20</f>
        <v>39</v>
      </c>
      <c r="I66" s="123">
        <f>59-20</f>
        <v>39</v>
      </c>
      <c r="J66" s="372">
        <f t="shared" si="9"/>
        <v>49</v>
      </c>
      <c r="K66" s="79" t="s">
        <v>656</v>
      </c>
    </row>
    <row r="67" s="29" customFormat="1" customHeight="1" spans="1:11">
      <c r="A67" s="370">
        <v>48</v>
      </c>
      <c r="B67" s="389" t="s">
        <v>569</v>
      </c>
      <c r="C67" s="79" t="s">
        <v>653</v>
      </c>
      <c r="D67" s="79" t="s">
        <v>657</v>
      </c>
      <c r="E67" s="123">
        <v>92</v>
      </c>
      <c r="F67" s="123"/>
      <c r="G67" s="123">
        <v>27.16</v>
      </c>
      <c r="H67" s="123">
        <f>37-30</f>
        <v>7</v>
      </c>
      <c r="I67" s="123">
        <f>37-30</f>
        <v>7</v>
      </c>
      <c r="J67" s="372">
        <f t="shared" si="9"/>
        <v>99</v>
      </c>
      <c r="K67" s="394" t="s">
        <v>658</v>
      </c>
    </row>
    <row r="68" s="29" customFormat="1" ht="26" customHeight="1" spans="1:11">
      <c r="A68" s="370">
        <v>49</v>
      </c>
      <c r="B68" s="126" t="s">
        <v>569</v>
      </c>
      <c r="C68" s="371" t="s">
        <v>653</v>
      </c>
      <c r="D68" s="147" t="s">
        <v>659</v>
      </c>
      <c r="E68" s="123">
        <v>3.5</v>
      </c>
      <c r="F68" s="123"/>
      <c r="G68" s="123">
        <v>0</v>
      </c>
      <c r="H68" s="123"/>
      <c r="I68" s="123"/>
      <c r="J68" s="372">
        <f t="shared" si="9"/>
        <v>3.5</v>
      </c>
      <c r="K68" s="79"/>
    </row>
    <row r="69" s="29" customFormat="1" ht="26" customHeight="1" spans="1:11">
      <c r="A69" s="370">
        <v>50</v>
      </c>
      <c r="B69" s="126" t="s">
        <v>569</v>
      </c>
      <c r="C69" s="371" t="s">
        <v>653</v>
      </c>
      <c r="D69" s="147" t="s">
        <v>660</v>
      </c>
      <c r="E69" s="123">
        <v>57.5</v>
      </c>
      <c r="F69" s="123"/>
      <c r="G69" s="123">
        <v>7</v>
      </c>
      <c r="H69" s="123">
        <f>38.5-5</f>
        <v>33.5</v>
      </c>
      <c r="I69" s="123">
        <f>38.5-5</f>
        <v>33.5</v>
      </c>
      <c r="J69" s="372">
        <f t="shared" si="9"/>
        <v>91</v>
      </c>
      <c r="K69" s="79" t="s">
        <v>661</v>
      </c>
    </row>
    <row r="70" s="29" customFormat="1" ht="26" customHeight="1" spans="1:11">
      <c r="A70" s="370">
        <v>51</v>
      </c>
      <c r="B70" s="126" t="s">
        <v>569</v>
      </c>
      <c r="C70" s="371" t="s">
        <v>653</v>
      </c>
      <c r="D70" s="147" t="s">
        <v>662</v>
      </c>
      <c r="E70" s="123">
        <v>31</v>
      </c>
      <c r="F70" s="123"/>
      <c r="G70" s="123">
        <v>0</v>
      </c>
      <c r="H70" s="123"/>
      <c r="I70" s="123"/>
      <c r="J70" s="372">
        <f t="shared" si="9"/>
        <v>31</v>
      </c>
      <c r="K70" s="79"/>
    </row>
    <row r="71" s="29" customFormat="1" ht="26" customHeight="1" spans="1:11">
      <c r="A71" s="370">
        <v>52</v>
      </c>
      <c r="B71" s="126" t="s">
        <v>569</v>
      </c>
      <c r="C71" s="371" t="s">
        <v>653</v>
      </c>
      <c r="D71" s="147" t="s">
        <v>663</v>
      </c>
      <c r="E71" s="123">
        <v>18</v>
      </c>
      <c r="F71" s="123"/>
      <c r="G71" s="123">
        <v>0</v>
      </c>
      <c r="H71" s="123"/>
      <c r="I71" s="123"/>
      <c r="J71" s="372">
        <f t="shared" si="9"/>
        <v>18</v>
      </c>
      <c r="K71" s="79"/>
    </row>
    <row r="72" s="29" customFormat="1" ht="26" customHeight="1" spans="1:11">
      <c r="A72" s="370">
        <v>53</v>
      </c>
      <c r="B72" s="126" t="s">
        <v>569</v>
      </c>
      <c r="C72" s="371" t="s">
        <v>653</v>
      </c>
      <c r="D72" s="147" t="s">
        <v>664</v>
      </c>
      <c r="E72" s="123">
        <v>10</v>
      </c>
      <c r="F72" s="123"/>
      <c r="G72" s="123">
        <v>10</v>
      </c>
      <c r="H72" s="123">
        <v>8</v>
      </c>
      <c r="I72" s="123">
        <v>0</v>
      </c>
      <c r="J72" s="372">
        <f t="shared" si="9"/>
        <v>10</v>
      </c>
      <c r="K72" s="79" t="s">
        <v>665</v>
      </c>
    </row>
    <row r="73" s="29" customFormat="1" ht="26" customHeight="1" spans="1:11">
      <c r="A73" s="370">
        <v>54</v>
      </c>
      <c r="B73" s="126" t="s">
        <v>569</v>
      </c>
      <c r="C73" s="371" t="s">
        <v>653</v>
      </c>
      <c r="D73" s="147" t="s">
        <v>666</v>
      </c>
      <c r="E73" s="123">
        <v>26</v>
      </c>
      <c r="F73" s="123"/>
      <c r="G73" s="123">
        <v>20</v>
      </c>
      <c r="H73" s="123">
        <v>-5</v>
      </c>
      <c r="I73" s="123">
        <v>-5</v>
      </c>
      <c r="J73" s="372">
        <f t="shared" si="9"/>
        <v>21</v>
      </c>
      <c r="K73" s="79" t="s">
        <v>667</v>
      </c>
    </row>
    <row r="74" s="29" customFormat="1" customHeight="1" spans="1:11">
      <c r="A74" s="370">
        <v>55</v>
      </c>
      <c r="B74" s="389" t="s">
        <v>569</v>
      </c>
      <c r="C74" s="79" t="s">
        <v>653</v>
      </c>
      <c r="D74" s="79" t="s">
        <v>668</v>
      </c>
      <c r="E74" s="123">
        <v>20</v>
      </c>
      <c r="F74" s="123"/>
      <c r="G74" s="123">
        <v>20</v>
      </c>
      <c r="H74" s="123">
        <v>3</v>
      </c>
      <c r="I74" s="123">
        <v>3</v>
      </c>
      <c r="J74" s="372">
        <f t="shared" si="9"/>
        <v>23</v>
      </c>
      <c r="K74" s="394" t="s">
        <v>669</v>
      </c>
    </row>
    <row r="75" s="29" customFormat="1" ht="26" customHeight="1" spans="1:11">
      <c r="A75" s="370">
        <v>56</v>
      </c>
      <c r="B75" s="126" t="s">
        <v>569</v>
      </c>
      <c r="C75" s="371" t="s">
        <v>653</v>
      </c>
      <c r="D75" s="147" t="s">
        <v>670</v>
      </c>
      <c r="E75" s="123">
        <v>15</v>
      </c>
      <c r="F75" s="123"/>
      <c r="G75" s="123">
        <v>15</v>
      </c>
      <c r="H75" s="123"/>
      <c r="I75" s="123"/>
      <c r="J75" s="372">
        <f t="shared" si="9"/>
        <v>15</v>
      </c>
      <c r="K75" s="79"/>
    </row>
    <row r="76" s="29" customFormat="1" ht="26" customHeight="1" spans="1:11">
      <c r="A76" s="370">
        <v>57</v>
      </c>
      <c r="B76" s="126" t="s">
        <v>565</v>
      </c>
      <c r="C76" s="371" t="s">
        <v>653</v>
      </c>
      <c r="D76" s="147" t="s">
        <v>671</v>
      </c>
      <c r="E76" s="123">
        <v>0</v>
      </c>
      <c r="F76" s="123"/>
      <c r="G76" s="123">
        <v>0</v>
      </c>
      <c r="H76" s="123">
        <v>1</v>
      </c>
      <c r="I76" s="123">
        <v>1</v>
      </c>
      <c r="J76" s="372">
        <f t="shared" si="9"/>
        <v>1</v>
      </c>
      <c r="K76" s="79" t="s">
        <v>661</v>
      </c>
    </row>
    <row r="77" s="334" customFormat="1" customHeight="1" spans="1:11">
      <c r="A77" s="353">
        <v>58</v>
      </c>
      <c r="B77" s="376" t="s">
        <v>672</v>
      </c>
      <c r="C77" s="377"/>
      <c r="D77" s="378"/>
      <c r="E77" s="355">
        <f t="shared" ref="E77:J77" si="10">SUM(E65:E76)</f>
        <v>290</v>
      </c>
      <c r="F77" s="355">
        <f t="shared" si="10"/>
        <v>0</v>
      </c>
      <c r="G77" s="355">
        <f t="shared" si="10"/>
        <v>102.56</v>
      </c>
      <c r="H77" s="355">
        <f t="shared" si="10"/>
        <v>86.5</v>
      </c>
      <c r="I77" s="355">
        <f t="shared" si="10"/>
        <v>78.5</v>
      </c>
      <c r="J77" s="355">
        <f t="shared" si="10"/>
        <v>368.5</v>
      </c>
      <c r="K77" s="388"/>
    </row>
    <row r="78" s="29" customFormat="1" ht="26" customHeight="1" spans="1:11">
      <c r="A78" s="370">
        <v>59</v>
      </c>
      <c r="B78" s="126" t="s">
        <v>571</v>
      </c>
      <c r="C78" s="371" t="s">
        <v>673</v>
      </c>
      <c r="D78" s="147" t="s">
        <v>674</v>
      </c>
      <c r="E78" s="123">
        <v>1.3</v>
      </c>
      <c r="F78" s="123"/>
      <c r="G78" s="123">
        <v>1.3</v>
      </c>
      <c r="H78" s="123">
        <v>21.98</v>
      </c>
      <c r="I78" s="123">
        <v>10</v>
      </c>
      <c r="J78" s="372">
        <f t="shared" ref="J78:J90" si="11">E78+I78</f>
        <v>11.3</v>
      </c>
      <c r="K78" s="79"/>
    </row>
    <row r="79" s="29" customFormat="1" ht="26" customHeight="1" spans="1:11">
      <c r="A79" s="370">
        <v>60</v>
      </c>
      <c r="B79" s="126" t="s">
        <v>627</v>
      </c>
      <c r="C79" s="371" t="s">
        <v>673</v>
      </c>
      <c r="D79" s="147" t="s">
        <v>675</v>
      </c>
      <c r="E79" s="123">
        <v>14.66</v>
      </c>
      <c r="F79" s="123"/>
      <c r="G79" s="123">
        <v>0</v>
      </c>
      <c r="H79" s="123">
        <v>73.25</v>
      </c>
      <c r="I79" s="123"/>
      <c r="J79" s="372">
        <f t="shared" si="11"/>
        <v>14.66</v>
      </c>
      <c r="K79" s="79" t="s">
        <v>676</v>
      </c>
    </row>
    <row r="80" s="29" customFormat="1" ht="26" customHeight="1" spans="1:11">
      <c r="A80" s="370">
        <v>61</v>
      </c>
      <c r="B80" s="126" t="s">
        <v>576</v>
      </c>
      <c r="C80" s="371" t="s">
        <v>673</v>
      </c>
      <c r="D80" s="147" t="s">
        <v>677</v>
      </c>
      <c r="E80" s="123">
        <v>149</v>
      </c>
      <c r="F80" s="123"/>
      <c r="G80" s="123">
        <v>106.2</v>
      </c>
      <c r="H80" s="123"/>
      <c r="I80" s="123"/>
      <c r="J80" s="372">
        <f t="shared" si="11"/>
        <v>149</v>
      </c>
      <c r="K80" s="79"/>
    </row>
    <row r="81" s="29" customFormat="1" ht="26" customHeight="1" spans="1:11">
      <c r="A81" s="370">
        <v>62</v>
      </c>
      <c r="B81" s="126" t="s">
        <v>576</v>
      </c>
      <c r="C81" s="371" t="s">
        <v>673</v>
      </c>
      <c r="D81" s="147" t="s">
        <v>678</v>
      </c>
      <c r="E81" s="123">
        <v>29.32</v>
      </c>
      <c r="F81" s="123"/>
      <c r="G81" s="123">
        <v>0.08</v>
      </c>
      <c r="H81" s="123"/>
      <c r="I81" s="123">
        <v>-0.08</v>
      </c>
      <c r="J81" s="372">
        <f t="shared" si="11"/>
        <v>29.24</v>
      </c>
      <c r="K81" s="79"/>
    </row>
    <row r="82" s="29" customFormat="1" ht="26" customHeight="1" spans="1:11">
      <c r="A82" s="370">
        <v>63</v>
      </c>
      <c r="B82" s="126" t="s">
        <v>576</v>
      </c>
      <c r="C82" s="371" t="s">
        <v>673</v>
      </c>
      <c r="D82" s="147" t="s">
        <v>679</v>
      </c>
      <c r="E82" s="123">
        <v>2</v>
      </c>
      <c r="F82" s="123"/>
      <c r="G82" s="123">
        <v>2</v>
      </c>
      <c r="H82" s="123"/>
      <c r="I82" s="123"/>
      <c r="J82" s="372">
        <f t="shared" si="11"/>
        <v>2</v>
      </c>
      <c r="K82" s="79"/>
    </row>
    <row r="83" s="29" customFormat="1" customHeight="1" spans="1:11">
      <c r="A83" s="370">
        <v>64</v>
      </c>
      <c r="B83" s="126" t="s">
        <v>576</v>
      </c>
      <c r="C83" s="79" t="s">
        <v>673</v>
      </c>
      <c r="D83" s="79" t="s">
        <v>680</v>
      </c>
      <c r="E83" s="390">
        <v>0.45</v>
      </c>
      <c r="F83" s="390"/>
      <c r="G83" s="390">
        <v>0.45</v>
      </c>
      <c r="H83" s="390">
        <v>2.025</v>
      </c>
      <c r="I83" s="390">
        <v>2.025</v>
      </c>
      <c r="J83" s="372">
        <f t="shared" si="11"/>
        <v>2.475</v>
      </c>
      <c r="K83" s="79" t="s">
        <v>681</v>
      </c>
    </row>
    <row r="84" s="29" customFormat="1" customHeight="1" spans="1:11">
      <c r="A84" s="370">
        <v>65</v>
      </c>
      <c r="B84" s="126" t="s">
        <v>576</v>
      </c>
      <c r="C84" s="79" t="s">
        <v>673</v>
      </c>
      <c r="D84" s="79" t="s">
        <v>682</v>
      </c>
      <c r="E84" s="391"/>
      <c r="F84" s="391"/>
      <c r="G84" s="391"/>
      <c r="H84" s="391">
        <v>7.72</v>
      </c>
      <c r="I84" s="391">
        <v>7.72</v>
      </c>
      <c r="J84" s="372">
        <f t="shared" si="11"/>
        <v>7.72</v>
      </c>
      <c r="K84" s="79" t="s">
        <v>683</v>
      </c>
    </row>
    <row r="85" s="29" customFormat="1" ht="26" customHeight="1" spans="1:11">
      <c r="A85" s="370">
        <v>66</v>
      </c>
      <c r="B85" s="126" t="s">
        <v>576</v>
      </c>
      <c r="C85" s="371" t="s">
        <v>673</v>
      </c>
      <c r="D85" s="147" t="s">
        <v>684</v>
      </c>
      <c r="E85" s="123">
        <v>19</v>
      </c>
      <c r="F85" s="123"/>
      <c r="G85" s="123">
        <v>19</v>
      </c>
      <c r="H85" s="123"/>
      <c r="I85" s="123"/>
      <c r="J85" s="372">
        <f t="shared" si="11"/>
        <v>19</v>
      </c>
      <c r="K85" s="79"/>
    </row>
    <row r="86" s="29" customFormat="1" ht="26" customHeight="1" spans="1:11">
      <c r="A86" s="370">
        <v>67</v>
      </c>
      <c r="B86" s="126" t="s">
        <v>576</v>
      </c>
      <c r="C86" s="371" t="s">
        <v>673</v>
      </c>
      <c r="D86" s="147" t="s">
        <v>685</v>
      </c>
      <c r="E86" s="123">
        <v>1</v>
      </c>
      <c r="F86" s="123"/>
      <c r="G86" s="123">
        <v>1</v>
      </c>
      <c r="H86" s="123"/>
      <c r="I86" s="123"/>
      <c r="J86" s="372">
        <f t="shared" si="11"/>
        <v>1</v>
      </c>
      <c r="K86" s="79"/>
    </row>
    <row r="87" s="29" customFormat="1" ht="26" customHeight="1" spans="1:11">
      <c r="A87" s="370">
        <v>68</v>
      </c>
      <c r="B87" s="126" t="s">
        <v>576</v>
      </c>
      <c r="C87" s="371" t="s">
        <v>673</v>
      </c>
      <c r="D87" s="147" t="s">
        <v>686</v>
      </c>
      <c r="E87" s="123">
        <v>7.79</v>
      </c>
      <c r="F87" s="123"/>
      <c r="G87" s="123">
        <v>1.9517</v>
      </c>
      <c r="H87" s="123"/>
      <c r="I87" s="123"/>
      <c r="J87" s="372">
        <f t="shared" si="11"/>
        <v>7.79</v>
      </c>
      <c r="K87" s="79"/>
    </row>
    <row r="88" s="29" customFormat="1" ht="26" customHeight="1" spans="1:11">
      <c r="A88" s="370">
        <v>69</v>
      </c>
      <c r="B88" s="126" t="s">
        <v>576</v>
      </c>
      <c r="C88" s="371" t="s">
        <v>673</v>
      </c>
      <c r="D88" s="147" t="s">
        <v>687</v>
      </c>
      <c r="E88" s="123">
        <v>2</v>
      </c>
      <c r="F88" s="123"/>
      <c r="G88" s="123">
        <v>0</v>
      </c>
      <c r="H88" s="123"/>
      <c r="I88" s="123"/>
      <c r="J88" s="372">
        <f t="shared" si="11"/>
        <v>2</v>
      </c>
      <c r="K88" s="79"/>
    </row>
    <row r="89" s="29" customFormat="1" ht="26" customHeight="1" spans="1:11">
      <c r="A89" s="370">
        <v>70</v>
      </c>
      <c r="B89" s="126" t="s">
        <v>576</v>
      </c>
      <c r="C89" s="371" t="s">
        <v>673</v>
      </c>
      <c r="D89" s="147" t="s">
        <v>688</v>
      </c>
      <c r="E89" s="123">
        <v>14</v>
      </c>
      <c r="F89" s="123"/>
      <c r="G89" s="123">
        <v>14</v>
      </c>
      <c r="H89" s="123"/>
      <c r="I89" s="123"/>
      <c r="J89" s="372">
        <f t="shared" si="11"/>
        <v>14</v>
      </c>
      <c r="K89" s="79"/>
    </row>
    <row r="90" s="29" customFormat="1" ht="26" customHeight="1" spans="1:11">
      <c r="A90" s="370">
        <v>71</v>
      </c>
      <c r="B90" s="126" t="s">
        <v>580</v>
      </c>
      <c r="C90" s="371" t="s">
        <v>673</v>
      </c>
      <c r="D90" s="147" t="s">
        <v>689</v>
      </c>
      <c r="E90" s="123">
        <v>28</v>
      </c>
      <c r="F90" s="123"/>
      <c r="G90" s="123">
        <v>23</v>
      </c>
      <c r="H90" s="123">
        <v>0</v>
      </c>
      <c r="I90" s="123">
        <v>0</v>
      </c>
      <c r="J90" s="372">
        <f t="shared" si="11"/>
        <v>28</v>
      </c>
      <c r="K90" s="79"/>
    </row>
    <row r="91" s="334" customFormat="1" customHeight="1" spans="1:11">
      <c r="A91" s="353">
        <v>72</v>
      </c>
      <c r="B91" s="376" t="s">
        <v>690</v>
      </c>
      <c r="C91" s="377"/>
      <c r="D91" s="378"/>
      <c r="E91" s="355">
        <f t="shared" ref="E91:J91" si="12">SUM(E78:E90)</f>
        <v>268.52</v>
      </c>
      <c r="F91" s="355">
        <f t="shared" si="12"/>
        <v>0</v>
      </c>
      <c r="G91" s="355">
        <f t="shared" si="12"/>
        <v>168.9817</v>
      </c>
      <c r="H91" s="355">
        <f t="shared" si="12"/>
        <v>104.975</v>
      </c>
      <c r="I91" s="355">
        <f t="shared" si="12"/>
        <v>19.665</v>
      </c>
      <c r="J91" s="355">
        <f t="shared" si="12"/>
        <v>288.185</v>
      </c>
      <c r="K91" s="388"/>
    </row>
    <row r="92" s="29" customFormat="1" customHeight="1" spans="1:11">
      <c r="A92" s="370">
        <v>73</v>
      </c>
      <c r="B92" s="126" t="s">
        <v>691</v>
      </c>
      <c r="C92" s="371" t="s">
        <v>692</v>
      </c>
      <c r="D92" s="371" t="s">
        <v>693</v>
      </c>
      <c r="E92" s="391"/>
      <c r="F92" s="391"/>
      <c r="G92" s="391"/>
      <c r="H92" s="392">
        <v>200</v>
      </c>
      <c r="I92" s="393">
        <v>80</v>
      </c>
      <c r="J92" s="372">
        <f t="shared" ref="J92:J105" si="13">E92+I92</f>
        <v>80</v>
      </c>
      <c r="K92" s="125" t="s">
        <v>694</v>
      </c>
    </row>
    <row r="93" s="29" customFormat="1" ht="26" customHeight="1" spans="1:11">
      <c r="A93" s="370">
        <v>74</v>
      </c>
      <c r="B93" s="126" t="s">
        <v>574</v>
      </c>
      <c r="C93" s="371" t="s">
        <v>692</v>
      </c>
      <c r="D93" s="147" t="s">
        <v>695</v>
      </c>
      <c r="E93" s="123"/>
      <c r="F93" s="123"/>
      <c r="G93" s="123"/>
      <c r="H93" s="123">
        <v>8</v>
      </c>
      <c r="I93" s="123">
        <v>8</v>
      </c>
      <c r="J93" s="372">
        <v>8</v>
      </c>
      <c r="K93" s="79" t="s">
        <v>696</v>
      </c>
    </row>
    <row r="94" s="29" customFormat="1" ht="26" customHeight="1" spans="1:11">
      <c r="A94" s="370">
        <v>75</v>
      </c>
      <c r="B94" s="126" t="s">
        <v>574</v>
      </c>
      <c r="C94" s="371" t="s">
        <v>692</v>
      </c>
      <c r="D94" s="147" t="s">
        <v>697</v>
      </c>
      <c r="E94" s="123"/>
      <c r="F94" s="123"/>
      <c r="G94" s="123"/>
      <c r="H94" s="123">
        <v>50</v>
      </c>
      <c r="I94" s="123"/>
      <c r="J94" s="372">
        <f t="shared" si="13"/>
        <v>0</v>
      </c>
      <c r="K94" s="79"/>
    </row>
    <row r="95" s="29" customFormat="1" ht="26" customHeight="1" spans="1:11">
      <c r="A95" s="370">
        <v>76</v>
      </c>
      <c r="B95" s="126" t="s">
        <v>574</v>
      </c>
      <c r="C95" s="371" t="s">
        <v>692</v>
      </c>
      <c r="D95" s="147" t="s">
        <v>698</v>
      </c>
      <c r="E95" s="123"/>
      <c r="F95" s="123"/>
      <c r="G95" s="123"/>
      <c r="H95" s="123">
        <v>120</v>
      </c>
      <c r="I95" s="123"/>
      <c r="J95" s="372">
        <f t="shared" si="13"/>
        <v>0</v>
      </c>
      <c r="K95" s="79" t="s">
        <v>699</v>
      </c>
    </row>
    <row r="96" s="29" customFormat="1" ht="26" customHeight="1" spans="1:11">
      <c r="A96" s="370">
        <v>77</v>
      </c>
      <c r="B96" s="126" t="s">
        <v>574</v>
      </c>
      <c r="C96" s="371" t="s">
        <v>692</v>
      </c>
      <c r="D96" s="147" t="s">
        <v>700</v>
      </c>
      <c r="E96" s="123">
        <v>31.27</v>
      </c>
      <c r="F96" s="123"/>
      <c r="G96" s="123">
        <v>31.27</v>
      </c>
      <c r="H96" s="123"/>
      <c r="I96" s="123"/>
      <c r="J96" s="372">
        <f t="shared" si="13"/>
        <v>31.27</v>
      </c>
      <c r="K96" s="79"/>
    </row>
    <row r="97" s="29" customFormat="1" ht="26" customHeight="1" spans="1:11">
      <c r="A97" s="370">
        <v>78</v>
      </c>
      <c r="B97" s="126" t="s">
        <v>574</v>
      </c>
      <c r="C97" s="371" t="s">
        <v>692</v>
      </c>
      <c r="D97" s="147" t="s">
        <v>701</v>
      </c>
      <c r="E97" s="123">
        <v>24</v>
      </c>
      <c r="F97" s="123"/>
      <c r="G97" s="123">
        <v>4</v>
      </c>
      <c r="H97" s="123"/>
      <c r="I97" s="123"/>
      <c r="J97" s="372">
        <f t="shared" si="13"/>
        <v>24</v>
      </c>
      <c r="K97" s="79"/>
    </row>
    <row r="98" s="29" customFormat="1" ht="26" customHeight="1" spans="1:11">
      <c r="A98" s="370">
        <v>79</v>
      </c>
      <c r="B98" s="126" t="s">
        <v>574</v>
      </c>
      <c r="C98" s="371" t="s">
        <v>692</v>
      </c>
      <c r="D98" s="147" t="s">
        <v>702</v>
      </c>
      <c r="E98" s="123">
        <v>3</v>
      </c>
      <c r="F98" s="123"/>
      <c r="G98" s="123">
        <v>3</v>
      </c>
      <c r="H98" s="123"/>
      <c r="I98" s="123"/>
      <c r="J98" s="372">
        <f t="shared" si="13"/>
        <v>3</v>
      </c>
      <c r="K98" s="79"/>
    </row>
    <row r="99" s="29" customFormat="1" ht="26" customHeight="1" spans="1:11">
      <c r="A99" s="370">
        <v>80</v>
      </c>
      <c r="B99" s="126" t="s">
        <v>574</v>
      </c>
      <c r="C99" s="371" t="s">
        <v>692</v>
      </c>
      <c r="D99" s="147" t="s">
        <v>703</v>
      </c>
      <c r="E99" s="123">
        <v>2</v>
      </c>
      <c r="F99" s="123"/>
      <c r="G99" s="123">
        <v>0</v>
      </c>
      <c r="H99" s="123"/>
      <c r="I99" s="123"/>
      <c r="J99" s="372">
        <f t="shared" si="13"/>
        <v>2</v>
      </c>
      <c r="K99" s="79"/>
    </row>
    <row r="100" s="29" customFormat="1" ht="26" customHeight="1" spans="1:11">
      <c r="A100" s="370">
        <v>81</v>
      </c>
      <c r="B100" s="126" t="s">
        <v>574</v>
      </c>
      <c r="C100" s="371" t="s">
        <v>692</v>
      </c>
      <c r="D100" s="147" t="s">
        <v>704</v>
      </c>
      <c r="E100" s="123">
        <v>24</v>
      </c>
      <c r="F100" s="123"/>
      <c r="G100" s="123">
        <v>24</v>
      </c>
      <c r="H100" s="123"/>
      <c r="I100" s="123"/>
      <c r="J100" s="372">
        <f t="shared" si="13"/>
        <v>24</v>
      </c>
      <c r="K100" s="79"/>
    </row>
    <row r="101" s="29" customFormat="1" ht="26" customHeight="1" spans="1:11">
      <c r="A101" s="370">
        <v>82</v>
      </c>
      <c r="B101" s="126" t="s">
        <v>574</v>
      </c>
      <c r="C101" s="371" t="s">
        <v>692</v>
      </c>
      <c r="D101" s="147" t="s">
        <v>705</v>
      </c>
      <c r="E101" s="123">
        <v>2</v>
      </c>
      <c r="F101" s="123"/>
      <c r="G101" s="123">
        <v>0</v>
      </c>
      <c r="H101" s="123"/>
      <c r="I101" s="123"/>
      <c r="J101" s="372">
        <f t="shared" si="13"/>
        <v>2</v>
      </c>
      <c r="K101" s="79"/>
    </row>
    <row r="102" s="29" customFormat="1" ht="26" customHeight="1" spans="1:11">
      <c r="A102" s="370">
        <v>83</v>
      </c>
      <c r="B102" s="126" t="s">
        <v>574</v>
      </c>
      <c r="C102" s="371" t="s">
        <v>692</v>
      </c>
      <c r="D102" s="147" t="s">
        <v>706</v>
      </c>
      <c r="E102" s="123">
        <v>40</v>
      </c>
      <c r="F102" s="123"/>
      <c r="G102" s="123">
        <v>10</v>
      </c>
      <c r="H102" s="123"/>
      <c r="I102" s="123"/>
      <c r="J102" s="372">
        <f t="shared" si="13"/>
        <v>40</v>
      </c>
      <c r="K102" s="79"/>
    </row>
    <row r="103" s="29" customFormat="1" ht="26" customHeight="1" spans="1:11">
      <c r="A103" s="370">
        <v>84</v>
      </c>
      <c r="B103" s="126" t="s">
        <v>574</v>
      </c>
      <c r="C103" s="371" t="s">
        <v>692</v>
      </c>
      <c r="D103" s="147" t="s">
        <v>707</v>
      </c>
      <c r="E103" s="123">
        <v>31.32</v>
      </c>
      <c r="F103" s="123"/>
      <c r="G103" s="123">
        <v>31.32</v>
      </c>
      <c r="H103" s="123"/>
      <c r="I103" s="123"/>
      <c r="J103" s="372">
        <f t="shared" si="13"/>
        <v>31.32</v>
      </c>
      <c r="K103" s="79"/>
    </row>
    <row r="104" s="29" customFormat="1" ht="26" customHeight="1" spans="1:11">
      <c r="A104" s="370">
        <v>85</v>
      </c>
      <c r="B104" s="126" t="s">
        <v>574</v>
      </c>
      <c r="C104" s="371" t="s">
        <v>692</v>
      </c>
      <c r="D104" s="147" t="s">
        <v>708</v>
      </c>
      <c r="E104" s="123">
        <v>3</v>
      </c>
      <c r="F104" s="123"/>
      <c r="G104" s="123">
        <v>0</v>
      </c>
      <c r="H104" s="123"/>
      <c r="I104" s="123"/>
      <c r="J104" s="372">
        <f t="shared" si="13"/>
        <v>3</v>
      </c>
      <c r="K104" s="79"/>
    </row>
    <row r="105" s="29" customFormat="1" ht="26" customHeight="1" spans="1:11">
      <c r="A105" s="370">
        <v>86</v>
      </c>
      <c r="B105" s="126" t="s">
        <v>574</v>
      </c>
      <c r="C105" s="371" t="s">
        <v>692</v>
      </c>
      <c r="D105" s="147" t="s">
        <v>709</v>
      </c>
      <c r="E105" s="123">
        <v>15</v>
      </c>
      <c r="F105" s="123"/>
      <c r="G105" s="123">
        <v>0.5</v>
      </c>
      <c r="H105" s="123"/>
      <c r="I105" s="123"/>
      <c r="J105" s="372">
        <f t="shared" si="13"/>
        <v>15</v>
      </c>
      <c r="K105" s="79"/>
    </row>
    <row r="106" s="334" customFormat="1" customHeight="1" spans="1:11">
      <c r="A106" s="353">
        <v>87</v>
      </c>
      <c r="B106" s="376" t="s">
        <v>710</v>
      </c>
      <c r="C106" s="377"/>
      <c r="D106" s="378"/>
      <c r="E106" s="355">
        <f t="shared" ref="E106:G106" si="14">SUM(E92:E105)</f>
        <v>175.59</v>
      </c>
      <c r="F106" s="355">
        <f t="shared" si="14"/>
        <v>0</v>
      </c>
      <c r="G106" s="355">
        <f t="shared" si="14"/>
        <v>104.09</v>
      </c>
      <c r="H106" s="355">
        <f>SUM(H92:H92)</f>
        <v>200</v>
      </c>
      <c r="I106" s="355">
        <f>SUM(I92:I105)</f>
        <v>88</v>
      </c>
      <c r="J106" s="355">
        <f>SUM(J92:J105)</f>
        <v>263.59</v>
      </c>
      <c r="K106" s="388"/>
    </row>
    <row r="107" s="29" customFormat="1" customHeight="1" spans="1:11">
      <c r="A107" s="370">
        <v>88</v>
      </c>
      <c r="B107" s="126" t="s">
        <v>574</v>
      </c>
      <c r="C107" s="371" t="s">
        <v>711</v>
      </c>
      <c r="D107" s="371" t="s">
        <v>712</v>
      </c>
      <c r="E107" s="391"/>
      <c r="F107" s="391"/>
      <c r="G107" s="391"/>
      <c r="H107" s="393">
        <v>8</v>
      </c>
      <c r="I107" s="393">
        <v>0</v>
      </c>
      <c r="J107" s="372">
        <f t="shared" ref="J107:J112" si="15">E107+I107</f>
        <v>0</v>
      </c>
      <c r="K107" s="125" t="s">
        <v>713</v>
      </c>
    </row>
    <row r="108" s="29" customFormat="1" ht="26" customHeight="1" spans="1:11">
      <c r="A108" s="370">
        <v>89</v>
      </c>
      <c r="B108" s="126" t="s">
        <v>574</v>
      </c>
      <c r="C108" s="371" t="s">
        <v>711</v>
      </c>
      <c r="D108" s="147" t="s">
        <v>714</v>
      </c>
      <c r="E108" s="123">
        <v>3</v>
      </c>
      <c r="F108" s="123"/>
      <c r="G108" s="123">
        <v>0</v>
      </c>
      <c r="H108" s="123"/>
      <c r="I108" s="123"/>
      <c r="J108" s="372">
        <f t="shared" si="15"/>
        <v>3</v>
      </c>
      <c r="K108" s="79"/>
    </row>
    <row r="109" s="29" customFormat="1" ht="26" customHeight="1" spans="1:11">
      <c r="A109" s="370">
        <v>90</v>
      </c>
      <c r="B109" s="126" t="s">
        <v>574</v>
      </c>
      <c r="C109" s="371" t="s">
        <v>711</v>
      </c>
      <c r="D109" s="147" t="s">
        <v>715</v>
      </c>
      <c r="E109" s="123">
        <v>8</v>
      </c>
      <c r="F109" s="123"/>
      <c r="G109" s="123">
        <v>0</v>
      </c>
      <c r="H109" s="123"/>
      <c r="I109" s="123"/>
      <c r="J109" s="372">
        <f t="shared" si="15"/>
        <v>8</v>
      </c>
      <c r="K109" s="79"/>
    </row>
    <row r="110" s="29" customFormat="1" ht="26" customHeight="1" spans="1:11">
      <c r="A110" s="370">
        <v>91</v>
      </c>
      <c r="B110" s="126" t="s">
        <v>574</v>
      </c>
      <c r="C110" s="371" t="s">
        <v>711</v>
      </c>
      <c r="D110" s="147" t="s">
        <v>716</v>
      </c>
      <c r="E110" s="123">
        <v>1</v>
      </c>
      <c r="F110" s="123"/>
      <c r="G110" s="123">
        <v>1</v>
      </c>
      <c r="H110" s="123"/>
      <c r="I110" s="123"/>
      <c r="J110" s="372">
        <f t="shared" si="15"/>
        <v>1</v>
      </c>
      <c r="K110" s="79"/>
    </row>
    <row r="111" s="29" customFormat="1" ht="26" customHeight="1" spans="1:11">
      <c r="A111" s="370">
        <v>92</v>
      </c>
      <c r="B111" s="126" t="s">
        <v>574</v>
      </c>
      <c r="C111" s="371" t="s">
        <v>711</v>
      </c>
      <c r="D111" s="147" t="s">
        <v>717</v>
      </c>
      <c r="E111" s="123">
        <v>1</v>
      </c>
      <c r="F111" s="123"/>
      <c r="G111" s="123">
        <v>1</v>
      </c>
      <c r="H111" s="123"/>
      <c r="I111" s="123"/>
      <c r="J111" s="372">
        <f t="shared" si="15"/>
        <v>1</v>
      </c>
      <c r="K111" s="79"/>
    </row>
    <row r="112" s="29" customFormat="1" ht="26" customHeight="1" spans="1:11">
      <c r="A112" s="370">
        <v>93</v>
      </c>
      <c r="B112" s="126" t="s">
        <v>574</v>
      </c>
      <c r="C112" s="371" t="s">
        <v>711</v>
      </c>
      <c r="D112" s="147" t="s">
        <v>718</v>
      </c>
      <c r="E112" s="123">
        <v>2.5</v>
      </c>
      <c r="F112" s="123"/>
      <c r="G112" s="123">
        <v>2.5</v>
      </c>
      <c r="H112" s="123"/>
      <c r="I112" s="123"/>
      <c r="J112" s="372">
        <f t="shared" si="15"/>
        <v>2.5</v>
      </c>
      <c r="K112" s="79"/>
    </row>
    <row r="113" s="334" customFormat="1" customHeight="1" spans="1:11">
      <c r="A113" s="353">
        <v>94</v>
      </c>
      <c r="B113" s="376" t="s">
        <v>719</v>
      </c>
      <c r="C113" s="377"/>
      <c r="D113" s="378"/>
      <c r="E113" s="355">
        <f t="shared" ref="E113:J113" si="16">SUM(E107:E112)</f>
        <v>15.5</v>
      </c>
      <c r="F113" s="355">
        <f t="shared" si="16"/>
        <v>0</v>
      </c>
      <c r="G113" s="355">
        <f t="shared" si="16"/>
        <v>4.5</v>
      </c>
      <c r="H113" s="355">
        <f t="shared" si="16"/>
        <v>8</v>
      </c>
      <c r="I113" s="355">
        <f t="shared" si="16"/>
        <v>0</v>
      </c>
      <c r="J113" s="355">
        <f t="shared" si="16"/>
        <v>15.5</v>
      </c>
      <c r="K113" s="388"/>
    </row>
    <row r="114" s="29" customFormat="1" ht="26" customHeight="1" spans="1:11">
      <c r="A114" s="370">
        <v>95</v>
      </c>
      <c r="B114" s="126" t="s">
        <v>574</v>
      </c>
      <c r="C114" s="371" t="s">
        <v>720</v>
      </c>
      <c r="D114" s="147" t="s">
        <v>721</v>
      </c>
      <c r="E114" s="123"/>
      <c r="F114" s="123"/>
      <c r="G114" s="123"/>
      <c r="H114" s="123">
        <v>13.18</v>
      </c>
      <c r="I114" s="123"/>
      <c r="J114" s="372">
        <f t="shared" ref="J114:J138" si="17">E114+I114</f>
        <v>0</v>
      </c>
      <c r="K114" s="79" t="s">
        <v>722</v>
      </c>
    </row>
    <row r="115" s="29" customFormat="1" ht="26" customHeight="1" spans="1:11">
      <c r="A115" s="370">
        <v>96</v>
      </c>
      <c r="B115" s="126" t="s">
        <v>574</v>
      </c>
      <c r="C115" s="371" t="s">
        <v>720</v>
      </c>
      <c r="D115" s="147" t="s">
        <v>723</v>
      </c>
      <c r="E115" s="123"/>
      <c r="F115" s="123"/>
      <c r="G115" s="123"/>
      <c r="H115" s="123">
        <v>30</v>
      </c>
      <c r="I115" s="123"/>
      <c r="J115" s="372">
        <f t="shared" si="17"/>
        <v>0</v>
      </c>
      <c r="K115" s="79" t="s">
        <v>661</v>
      </c>
    </row>
    <row r="116" s="29" customFormat="1" ht="26" customHeight="1" spans="1:11">
      <c r="A116" s="370">
        <v>97</v>
      </c>
      <c r="B116" s="126" t="s">
        <v>574</v>
      </c>
      <c r="C116" s="371" t="s">
        <v>720</v>
      </c>
      <c r="D116" s="147" t="s">
        <v>724</v>
      </c>
      <c r="E116" s="123"/>
      <c r="F116" s="123"/>
      <c r="G116" s="123"/>
      <c r="H116" s="123">
        <v>24</v>
      </c>
      <c r="I116" s="123">
        <v>10</v>
      </c>
      <c r="J116" s="372">
        <f t="shared" si="17"/>
        <v>10</v>
      </c>
      <c r="K116" s="79" t="s">
        <v>725</v>
      </c>
    </row>
    <row r="117" s="29" customFormat="1" ht="26" customHeight="1" spans="1:11">
      <c r="A117" s="370">
        <v>98</v>
      </c>
      <c r="B117" s="126" t="s">
        <v>574</v>
      </c>
      <c r="C117" s="371" t="s">
        <v>720</v>
      </c>
      <c r="D117" s="147" t="s">
        <v>726</v>
      </c>
      <c r="E117" s="123"/>
      <c r="F117" s="123"/>
      <c r="G117" s="123"/>
      <c r="H117" s="123">
        <v>20</v>
      </c>
      <c r="I117" s="123"/>
      <c r="J117" s="372">
        <f t="shared" si="17"/>
        <v>0</v>
      </c>
      <c r="K117" s="79" t="s">
        <v>661</v>
      </c>
    </row>
    <row r="118" s="29" customFormat="1" ht="26" customHeight="1" spans="1:11">
      <c r="A118" s="370">
        <v>99</v>
      </c>
      <c r="B118" s="126" t="s">
        <v>574</v>
      </c>
      <c r="C118" s="371" t="s">
        <v>720</v>
      </c>
      <c r="D118" s="371" t="s">
        <v>727</v>
      </c>
      <c r="E118" s="391">
        <v>21.6</v>
      </c>
      <c r="F118" s="391"/>
      <c r="G118" s="391">
        <v>10.8</v>
      </c>
      <c r="H118" s="393"/>
      <c r="I118" s="393"/>
      <c r="J118" s="372">
        <f t="shared" si="17"/>
        <v>21.6</v>
      </c>
      <c r="K118" s="125"/>
    </row>
    <row r="119" s="29" customFormat="1" customHeight="1" spans="1:11">
      <c r="A119" s="370">
        <v>100</v>
      </c>
      <c r="B119" s="126" t="s">
        <v>574</v>
      </c>
      <c r="C119" s="371" t="s">
        <v>720</v>
      </c>
      <c r="D119" s="371" t="s">
        <v>728</v>
      </c>
      <c r="E119" s="391">
        <v>21.6</v>
      </c>
      <c r="F119" s="391"/>
      <c r="G119" s="391">
        <v>10.8</v>
      </c>
      <c r="H119" s="393"/>
      <c r="I119" s="393"/>
      <c r="J119" s="372">
        <f t="shared" si="17"/>
        <v>21.6</v>
      </c>
      <c r="K119" s="125"/>
    </row>
    <row r="120" s="29" customFormat="1" ht="26" customHeight="1" spans="1:11">
      <c r="A120" s="370">
        <v>101</v>
      </c>
      <c r="B120" s="126" t="s">
        <v>574</v>
      </c>
      <c r="C120" s="371" t="s">
        <v>720</v>
      </c>
      <c r="D120" s="371" t="s">
        <v>729</v>
      </c>
      <c r="E120" s="391">
        <v>2</v>
      </c>
      <c r="F120" s="391"/>
      <c r="G120" s="391">
        <v>2</v>
      </c>
      <c r="H120" s="393"/>
      <c r="I120" s="393"/>
      <c r="J120" s="372">
        <f t="shared" si="17"/>
        <v>2</v>
      </c>
      <c r="K120" s="125"/>
    </row>
    <row r="121" s="29" customFormat="1" customHeight="1" spans="1:11">
      <c r="A121" s="370">
        <v>102</v>
      </c>
      <c r="B121" s="126" t="s">
        <v>574</v>
      </c>
      <c r="C121" s="371" t="s">
        <v>720</v>
      </c>
      <c r="D121" s="371" t="s">
        <v>730</v>
      </c>
      <c r="E121" s="391">
        <v>4.08</v>
      </c>
      <c r="F121" s="391"/>
      <c r="G121" s="391">
        <v>4.08</v>
      </c>
      <c r="H121" s="393"/>
      <c r="I121" s="393"/>
      <c r="J121" s="372">
        <f t="shared" si="17"/>
        <v>4.08</v>
      </c>
      <c r="K121" s="125"/>
    </row>
    <row r="122" s="29" customFormat="1" ht="26" customHeight="1" spans="1:11">
      <c r="A122" s="370">
        <v>103</v>
      </c>
      <c r="B122" s="126" t="s">
        <v>574</v>
      </c>
      <c r="C122" s="371" t="s">
        <v>720</v>
      </c>
      <c r="D122" s="147" t="s">
        <v>731</v>
      </c>
      <c r="E122" s="123">
        <v>3</v>
      </c>
      <c r="F122" s="123"/>
      <c r="G122" s="123">
        <v>3</v>
      </c>
      <c r="H122" s="123">
        <v>7</v>
      </c>
      <c r="I122" s="123">
        <v>3</v>
      </c>
      <c r="J122" s="372">
        <f t="shared" si="17"/>
        <v>6</v>
      </c>
      <c r="K122" s="79" t="s">
        <v>732</v>
      </c>
    </row>
    <row r="123" s="29" customFormat="1" ht="26" customHeight="1" spans="1:11">
      <c r="A123" s="370">
        <v>104</v>
      </c>
      <c r="B123" s="126" t="s">
        <v>574</v>
      </c>
      <c r="C123" s="371" t="s">
        <v>720</v>
      </c>
      <c r="D123" s="371" t="s">
        <v>733</v>
      </c>
      <c r="E123" s="391">
        <v>30</v>
      </c>
      <c r="F123" s="391"/>
      <c r="G123" s="391">
        <v>15</v>
      </c>
      <c r="H123" s="393"/>
      <c r="I123" s="393"/>
      <c r="J123" s="372">
        <f t="shared" si="17"/>
        <v>30</v>
      </c>
      <c r="K123" s="125"/>
    </row>
    <row r="124" s="29" customFormat="1" ht="26" customHeight="1" spans="1:11">
      <c r="A124" s="370">
        <v>105</v>
      </c>
      <c r="B124" s="126" t="s">
        <v>574</v>
      </c>
      <c r="C124" s="371" t="s">
        <v>720</v>
      </c>
      <c r="D124" s="371" t="s">
        <v>734</v>
      </c>
      <c r="E124" s="391">
        <v>3</v>
      </c>
      <c r="F124" s="391"/>
      <c r="G124" s="391">
        <v>0</v>
      </c>
      <c r="H124" s="393"/>
      <c r="I124" s="393"/>
      <c r="J124" s="372">
        <f t="shared" si="17"/>
        <v>3</v>
      </c>
      <c r="K124" s="125"/>
    </row>
    <row r="125" s="29" customFormat="1" ht="26" customHeight="1" spans="1:11">
      <c r="A125" s="370">
        <v>106</v>
      </c>
      <c r="B125" s="126" t="s">
        <v>574</v>
      </c>
      <c r="C125" s="371" t="s">
        <v>720</v>
      </c>
      <c r="D125" s="371" t="s">
        <v>735</v>
      </c>
      <c r="E125" s="391">
        <v>10</v>
      </c>
      <c r="F125" s="391"/>
      <c r="G125" s="391">
        <v>0</v>
      </c>
      <c r="H125" s="393"/>
      <c r="I125" s="393"/>
      <c r="J125" s="372">
        <f t="shared" si="17"/>
        <v>10</v>
      </c>
      <c r="K125" s="125"/>
    </row>
    <row r="126" s="29" customFormat="1" ht="26" customHeight="1" spans="1:11">
      <c r="A126" s="370">
        <v>107</v>
      </c>
      <c r="B126" s="126" t="s">
        <v>574</v>
      </c>
      <c r="C126" s="371" t="s">
        <v>720</v>
      </c>
      <c r="D126" s="371" t="s">
        <v>736</v>
      </c>
      <c r="E126" s="391">
        <v>10</v>
      </c>
      <c r="F126" s="391"/>
      <c r="G126" s="391">
        <v>5</v>
      </c>
      <c r="H126" s="393"/>
      <c r="I126" s="393"/>
      <c r="J126" s="372">
        <f t="shared" si="17"/>
        <v>10</v>
      </c>
      <c r="K126" s="125"/>
    </row>
    <row r="127" s="29" customFormat="1" ht="26" customHeight="1" spans="1:11">
      <c r="A127" s="370">
        <v>108</v>
      </c>
      <c r="B127" s="126" t="s">
        <v>574</v>
      </c>
      <c r="C127" s="371" t="s">
        <v>720</v>
      </c>
      <c r="D127" s="371" t="s">
        <v>737</v>
      </c>
      <c r="E127" s="391">
        <v>3</v>
      </c>
      <c r="F127" s="391"/>
      <c r="G127" s="391">
        <v>0</v>
      </c>
      <c r="H127" s="393"/>
      <c r="I127" s="393"/>
      <c r="J127" s="372">
        <f t="shared" si="17"/>
        <v>3</v>
      </c>
      <c r="K127" s="125"/>
    </row>
    <row r="128" s="29" customFormat="1" ht="26" customHeight="1" spans="1:11">
      <c r="A128" s="370">
        <v>109</v>
      </c>
      <c r="B128" s="126" t="s">
        <v>574</v>
      </c>
      <c r="C128" s="371" t="s">
        <v>720</v>
      </c>
      <c r="D128" s="371" t="s">
        <v>738</v>
      </c>
      <c r="E128" s="391">
        <v>30</v>
      </c>
      <c r="F128" s="391"/>
      <c r="G128" s="391">
        <v>30</v>
      </c>
      <c r="H128" s="393">
        <v>20</v>
      </c>
      <c r="I128" s="393"/>
      <c r="J128" s="372">
        <f t="shared" si="17"/>
        <v>30</v>
      </c>
      <c r="K128" s="125" t="s">
        <v>739</v>
      </c>
    </row>
    <row r="129" s="29" customFormat="1" ht="26" customHeight="1" spans="1:11">
      <c r="A129" s="370">
        <v>110</v>
      </c>
      <c r="B129" s="126" t="s">
        <v>574</v>
      </c>
      <c r="C129" s="371" t="s">
        <v>720</v>
      </c>
      <c r="D129" s="371" t="s">
        <v>740</v>
      </c>
      <c r="E129" s="391">
        <v>1</v>
      </c>
      <c r="F129" s="391"/>
      <c r="G129" s="391">
        <v>0</v>
      </c>
      <c r="H129" s="393"/>
      <c r="I129" s="393"/>
      <c r="J129" s="372">
        <f t="shared" si="17"/>
        <v>1</v>
      </c>
      <c r="K129" s="125"/>
    </row>
    <row r="130" s="29" customFormat="1" ht="26" customHeight="1" spans="1:11">
      <c r="A130" s="370">
        <v>111</v>
      </c>
      <c r="B130" s="126" t="s">
        <v>574</v>
      </c>
      <c r="C130" s="371" t="s">
        <v>720</v>
      </c>
      <c r="D130" s="371" t="s">
        <v>741</v>
      </c>
      <c r="E130" s="391">
        <v>38</v>
      </c>
      <c r="F130" s="391"/>
      <c r="G130" s="391">
        <v>38</v>
      </c>
      <c r="H130" s="393"/>
      <c r="I130" s="393"/>
      <c r="J130" s="372">
        <f t="shared" si="17"/>
        <v>38</v>
      </c>
      <c r="K130" s="125"/>
    </row>
    <row r="131" s="29" customFormat="1" ht="26" customHeight="1" spans="1:11">
      <c r="A131" s="370">
        <v>112</v>
      </c>
      <c r="B131" s="126" t="s">
        <v>574</v>
      </c>
      <c r="C131" s="371" t="s">
        <v>720</v>
      </c>
      <c r="D131" s="371" t="s">
        <v>742</v>
      </c>
      <c r="E131" s="391">
        <v>5</v>
      </c>
      <c r="F131" s="391"/>
      <c r="G131" s="391">
        <v>5</v>
      </c>
      <c r="H131" s="393"/>
      <c r="I131" s="393"/>
      <c r="J131" s="372">
        <f t="shared" si="17"/>
        <v>5</v>
      </c>
      <c r="K131" s="125"/>
    </row>
    <row r="132" s="29" customFormat="1" ht="26" customHeight="1" spans="1:11">
      <c r="A132" s="370">
        <v>113</v>
      </c>
      <c r="B132" s="126" t="s">
        <v>574</v>
      </c>
      <c r="C132" s="371" t="s">
        <v>720</v>
      </c>
      <c r="D132" s="371" t="s">
        <v>743</v>
      </c>
      <c r="E132" s="391">
        <v>5</v>
      </c>
      <c r="F132" s="391"/>
      <c r="G132" s="391">
        <v>0</v>
      </c>
      <c r="H132" s="393"/>
      <c r="I132" s="393"/>
      <c r="J132" s="372">
        <f t="shared" si="17"/>
        <v>5</v>
      </c>
      <c r="K132" s="125"/>
    </row>
    <row r="133" s="29" customFormat="1" ht="26" customHeight="1" spans="1:11">
      <c r="A133" s="370">
        <v>114</v>
      </c>
      <c r="B133" s="126" t="s">
        <v>574</v>
      </c>
      <c r="C133" s="371" t="s">
        <v>720</v>
      </c>
      <c r="D133" s="371" t="s">
        <v>744</v>
      </c>
      <c r="E133" s="391">
        <v>1</v>
      </c>
      <c r="F133" s="391"/>
      <c r="G133" s="391">
        <v>1</v>
      </c>
      <c r="H133" s="393"/>
      <c r="I133" s="393"/>
      <c r="J133" s="372">
        <f t="shared" si="17"/>
        <v>1</v>
      </c>
      <c r="K133" s="125"/>
    </row>
    <row r="134" s="29" customFormat="1" customHeight="1" spans="1:11">
      <c r="A134" s="370">
        <v>115</v>
      </c>
      <c r="B134" s="126" t="s">
        <v>574</v>
      </c>
      <c r="C134" s="371" t="s">
        <v>720</v>
      </c>
      <c r="D134" s="371" t="s">
        <v>745</v>
      </c>
      <c r="E134" s="391">
        <v>5</v>
      </c>
      <c r="F134" s="391"/>
      <c r="G134" s="391">
        <v>5</v>
      </c>
      <c r="H134" s="393"/>
      <c r="I134" s="393"/>
      <c r="J134" s="372">
        <f t="shared" si="17"/>
        <v>5</v>
      </c>
      <c r="K134" s="125"/>
    </row>
    <row r="135" s="29" customFormat="1" ht="26" customHeight="1" spans="1:11">
      <c r="A135" s="370">
        <v>116</v>
      </c>
      <c r="B135" s="126" t="s">
        <v>574</v>
      </c>
      <c r="C135" s="371" t="s">
        <v>720</v>
      </c>
      <c r="D135" s="371" t="s">
        <v>746</v>
      </c>
      <c r="E135" s="391">
        <v>10</v>
      </c>
      <c r="F135" s="391"/>
      <c r="G135" s="391">
        <v>0.02</v>
      </c>
      <c r="H135" s="393">
        <v>-0.02</v>
      </c>
      <c r="I135" s="393">
        <v>-0.02</v>
      </c>
      <c r="J135" s="372">
        <f t="shared" si="17"/>
        <v>9.98</v>
      </c>
      <c r="K135" s="125" t="s">
        <v>747</v>
      </c>
    </row>
    <row r="136" s="29" customFormat="1" ht="26" customHeight="1" spans="1:11">
      <c r="A136" s="370">
        <v>117</v>
      </c>
      <c r="B136" s="126" t="s">
        <v>574</v>
      </c>
      <c r="C136" s="371" t="s">
        <v>720</v>
      </c>
      <c r="D136" s="371" t="s">
        <v>748</v>
      </c>
      <c r="E136" s="391">
        <v>2</v>
      </c>
      <c r="F136" s="391"/>
      <c r="G136" s="391">
        <v>0</v>
      </c>
      <c r="H136" s="393"/>
      <c r="I136" s="393"/>
      <c r="J136" s="372">
        <f t="shared" si="17"/>
        <v>2</v>
      </c>
      <c r="K136" s="125"/>
    </row>
    <row r="137" s="29" customFormat="1" ht="26" customHeight="1" spans="1:11">
      <c r="A137" s="370">
        <v>118</v>
      </c>
      <c r="B137" s="126" t="s">
        <v>574</v>
      </c>
      <c r="C137" s="371" t="s">
        <v>720</v>
      </c>
      <c r="D137" s="371" t="s">
        <v>749</v>
      </c>
      <c r="E137" s="391">
        <v>2</v>
      </c>
      <c r="F137" s="391"/>
      <c r="G137" s="391">
        <v>2</v>
      </c>
      <c r="H137" s="393"/>
      <c r="I137" s="393"/>
      <c r="J137" s="372">
        <f t="shared" si="17"/>
        <v>2</v>
      </c>
      <c r="K137" s="125"/>
    </row>
    <row r="138" s="29" customFormat="1" ht="26" customHeight="1" spans="1:11">
      <c r="A138" s="370">
        <v>119</v>
      </c>
      <c r="B138" s="126" t="s">
        <v>627</v>
      </c>
      <c r="C138" s="371" t="s">
        <v>720</v>
      </c>
      <c r="D138" s="371" t="s">
        <v>750</v>
      </c>
      <c r="E138" s="391">
        <v>172</v>
      </c>
      <c r="F138" s="391"/>
      <c r="G138" s="391">
        <v>122.19</v>
      </c>
      <c r="H138" s="393">
        <f>445.87-122</f>
        <v>323.87</v>
      </c>
      <c r="I138" s="393">
        <v>100</v>
      </c>
      <c r="J138" s="372">
        <f t="shared" si="17"/>
        <v>272</v>
      </c>
      <c r="K138" s="79" t="s">
        <v>661</v>
      </c>
    </row>
    <row r="139" s="334" customFormat="1" customHeight="1" spans="1:11">
      <c r="A139" s="353">
        <v>120</v>
      </c>
      <c r="B139" s="376" t="s">
        <v>751</v>
      </c>
      <c r="C139" s="377"/>
      <c r="D139" s="378"/>
      <c r="E139" s="355">
        <f t="shared" ref="E139:J139" si="18">SUM(E114:E138)</f>
        <v>379.28</v>
      </c>
      <c r="F139" s="355">
        <f t="shared" si="18"/>
        <v>0</v>
      </c>
      <c r="G139" s="355">
        <f t="shared" si="18"/>
        <v>253.89</v>
      </c>
      <c r="H139" s="355">
        <f t="shared" si="18"/>
        <v>438.03</v>
      </c>
      <c r="I139" s="355">
        <f t="shared" si="18"/>
        <v>112.98</v>
      </c>
      <c r="J139" s="355">
        <f t="shared" si="18"/>
        <v>492.26</v>
      </c>
      <c r="K139" s="388"/>
    </row>
    <row r="140" s="29" customFormat="1" ht="26" customHeight="1" spans="1:11">
      <c r="A140" s="370">
        <v>121</v>
      </c>
      <c r="B140" s="126" t="s">
        <v>574</v>
      </c>
      <c r="C140" s="371" t="s">
        <v>752</v>
      </c>
      <c r="D140" s="371" t="s">
        <v>753</v>
      </c>
      <c r="E140" s="391">
        <v>3</v>
      </c>
      <c r="F140" s="391"/>
      <c r="G140" s="391">
        <v>0</v>
      </c>
      <c r="H140" s="393"/>
      <c r="I140" s="393"/>
      <c r="J140" s="372">
        <f t="shared" ref="J140:J146" si="19">E140+I140</f>
        <v>3</v>
      </c>
      <c r="K140" s="125"/>
    </row>
    <row r="141" s="334" customFormat="1" customHeight="1" spans="1:11">
      <c r="A141" s="353">
        <v>122</v>
      </c>
      <c r="B141" s="376" t="s">
        <v>754</v>
      </c>
      <c r="C141" s="377"/>
      <c r="D141" s="378"/>
      <c r="E141" s="355">
        <f t="shared" ref="E141:J141" si="20">SUM(E140:E140)</f>
        <v>3</v>
      </c>
      <c r="F141" s="355">
        <f t="shared" si="20"/>
        <v>0</v>
      </c>
      <c r="G141" s="355">
        <f t="shared" si="20"/>
        <v>0</v>
      </c>
      <c r="H141" s="355">
        <f t="shared" si="20"/>
        <v>0</v>
      </c>
      <c r="I141" s="355">
        <f t="shared" si="20"/>
        <v>0</v>
      </c>
      <c r="J141" s="355">
        <f t="shared" si="20"/>
        <v>3</v>
      </c>
      <c r="K141" s="388"/>
    </row>
    <row r="142" s="29" customFormat="1" ht="26" customHeight="1" spans="1:11">
      <c r="A142" s="370">
        <v>123</v>
      </c>
      <c r="B142" s="126" t="s">
        <v>569</v>
      </c>
      <c r="C142" s="371" t="s">
        <v>755</v>
      </c>
      <c r="D142" s="371" t="s">
        <v>756</v>
      </c>
      <c r="E142" s="391">
        <v>74.7</v>
      </c>
      <c r="F142" s="391"/>
      <c r="G142" s="391">
        <v>67.23</v>
      </c>
      <c r="H142" s="393"/>
      <c r="I142" s="393"/>
      <c r="J142" s="372">
        <f t="shared" si="19"/>
        <v>74.7</v>
      </c>
      <c r="K142" s="125"/>
    </row>
    <row r="143" s="29" customFormat="1" ht="26" customHeight="1" spans="1:11">
      <c r="A143" s="370">
        <v>124</v>
      </c>
      <c r="B143" s="126" t="s">
        <v>569</v>
      </c>
      <c r="C143" s="371" t="s">
        <v>755</v>
      </c>
      <c r="D143" s="371" t="s">
        <v>757</v>
      </c>
      <c r="E143" s="391">
        <v>29.88</v>
      </c>
      <c r="F143" s="391"/>
      <c r="G143" s="391">
        <v>15.36</v>
      </c>
      <c r="H143" s="393"/>
      <c r="I143" s="393"/>
      <c r="J143" s="372">
        <f t="shared" si="19"/>
        <v>29.88</v>
      </c>
      <c r="K143" s="125"/>
    </row>
    <row r="144" s="29" customFormat="1" ht="26" customHeight="1" spans="1:11">
      <c r="A144" s="370">
        <v>125</v>
      </c>
      <c r="B144" s="126" t="s">
        <v>569</v>
      </c>
      <c r="C144" s="371" t="s">
        <v>755</v>
      </c>
      <c r="D144" s="371" t="s">
        <v>758</v>
      </c>
      <c r="E144" s="391">
        <v>30</v>
      </c>
      <c r="F144" s="391"/>
      <c r="G144" s="391">
        <v>20</v>
      </c>
      <c r="H144" s="393"/>
      <c r="I144" s="393"/>
      <c r="J144" s="372">
        <f t="shared" si="19"/>
        <v>30</v>
      </c>
      <c r="K144" s="125"/>
    </row>
    <row r="145" s="29" customFormat="1" ht="26" customHeight="1" spans="1:11">
      <c r="A145" s="370">
        <v>126</v>
      </c>
      <c r="B145" s="126" t="s">
        <v>569</v>
      </c>
      <c r="C145" s="371" t="s">
        <v>755</v>
      </c>
      <c r="D145" s="371" t="s">
        <v>759</v>
      </c>
      <c r="E145" s="391">
        <v>12</v>
      </c>
      <c r="F145" s="391"/>
      <c r="G145" s="391">
        <v>0</v>
      </c>
      <c r="H145" s="393">
        <v>6</v>
      </c>
      <c r="I145" s="393">
        <v>6</v>
      </c>
      <c r="J145" s="372">
        <f t="shared" si="19"/>
        <v>18</v>
      </c>
      <c r="K145" s="125" t="s">
        <v>760</v>
      </c>
    </row>
    <row r="146" s="29" customFormat="1" ht="26" customHeight="1" spans="1:11">
      <c r="A146" s="370">
        <v>127</v>
      </c>
      <c r="B146" s="126" t="s">
        <v>569</v>
      </c>
      <c r="C146" s="371" t="s">
        <v>755</v>
      </c>
      <c r="D146" s="371" t="s">
        <v>761</v>
      </c>
      <c r="E146" s="391"/>
      <c r="F146" s="391"/>
      <c r="G146" s="391"/>
      <c r="H146" s="393">
        <v>4</v>
      </c>
      <c r="I146" s="393">
        <v>4</v>
      </c>
      <c r="J146" s="372">
        <f t="shared" si="19"/>
        <v>4</v>
      </c>
      <c r="K146" s="125" t="s">
        <v>762</v>
      </c>
    </row>
    <row r="147" s="334" customFormat="1" customHeight="1" spans="1:11">
      <c r="A147" s="353">
        <v>128</v>
      </c>
      <c r="B147" s="376" t="s">
        <v>763</v>
      </c>
      <c r="C147" s="377"/>
      <c r="D147" s="378"/>
      <c r="E147" s="355">
        <f t="shared" ref="E147:J147" si="21">SUM(E142:E146)</f>
        <v>146.58</v>
      </c>
      <c r="F147" s="355">
        <f t="shared" si="21"/>
        <v>0</v>
      </c>
      <c r="G147" s="355">
        <f t="shared" si="21"/>
        <v>102.59</v>
      </c>
      <c r="H147" s="355">
        <f t="shared" si="21"/>
        <v>10</v>
      </c>
      <c r="I147" s="355">
        <f t="shared" si="21"/>
        <v>10</v>
      </c>
      <c r="J147" s="355">
        <f t="shared" si="21"/>
        <v>156.58</v>
      </c>
      <c r="K147" s="388"/>
    </row>
    <row r="148" s="29" customFormat="1" ht="26" customHeight="1" spans="1:11">
      <c r="A148" s="370">
        <v>129</v>
      </c>
      <c r="B148" s="126" t="s">
        <v>569</v>
      </c>
      <c r="C148" s="371" t="s">
        <v>764</v>
      </c>
      <c r="D148" s="371" t="s">
        <v>756</v>
      </c>
      <c r="E148" s="391">
        <v>39.84</v>
      </c>
      <c r="F148" s="391"/>
      <c r="G148" s="391">
        <v>26.56</v>
      </c>
      <c r="H148" s="393"/>
      <c r="I148" s="393"/>
      <c r="J148" s="372">
        <f t="shared" ref="J148:J156" si="22">E148+I148</f>
        <v>39.84</v>
      </c>
      <c r="K148" s="125"/>
    </row>
    <row r="149" s="29" customFormat="1" ht="26" customHeight="1" spans="1:11">
      <c r="A149" s="370">
        <v>130</v>
      </c>
      <c r="B149" s="126" t="s">
        <v>569</v>
      </c>
      <c r="C149" s="371" t="s">
        <v>764</v>
      </c>
      <c r="D149" s="371" t="s">
        <v>757</v>
      </c>
      <c r="E149" s="391">
        <v>14.94</v>
      </c>
      <c r="F149" s="391"/>
      <c r="G149" s="391">
        <v>3.32</v>
      </c>
      <c r="H149" s="393"/>
      <c r="I149" s="393"/>
      <c r="J149" s="372">
        <f t="shared" si="22"/>
        <v>14.94</v>
      </c>
      <c r="K149" s="125"/>
    </row>
    <row r="150" s="334" customFormat="1" customHeight="1" spans="1:11">
      <c r="A150" s="353">
        <v>131</v>
      </c>
      <c r="B150" s="376" t="s">
        <v>765</v>
      </c>
      <c r="C150" s="377"/>
      <c r="D150" s="378"/>
      <c r="E150" s="355">
        <f t="shared" ref="E150:J150" si="23">SUM(E148:E149)</f>
        <v>54.78</v>
      </c>
      <c r="F150" s="355">
        <f t="shared" si="23"/>
        <v>0</v>
      </c>
      <c r="G150" s="355">
        <f t="shared" si="23"/>
        <v>29.88</v>
      </c>
      <c r="H150" s="355">
        <f t="shared" si="23"/>
        <v>0</v>
      </c>
      <c r="I150" s="355">
        <f t="shared" si="23"/>
        <v>0</v>
      </c>
      <c r="J150" s="355">
        <f t="shared" si="23"/>
        <v>54.78</v>
      </c>
      <c r="K150" s="388"/>
    </row>
    <row r="151" s="29" customFormat="1" ht="26" customHeight="1" spans="1:11">
      <c r="A151" s="370">
        <v>132</v>
      </c>
      <c r="B151" s="126" t="s">
        <v>569</v>
      </c>
      <c r="C151" s="371" t="s">
        <v>766</v>
      </c>
      <c r="D151" s="371" t="s">
        <v>767</v>
      </c>
      <c r="E151" s="391">
        <v>2</v>
      </c>
      <c r="F151" s="391"/>
      <c r="G151" s="391">
        <v>0</v>
      </c>
      <c r="H151" s="393"/>
      <c r="I151" s="393"/>
      <c r="J151" s="372">
        <f t="shared" si="22"/>
        <v>2</v>
      </c>
      <c r="K151" s="125"/>
    </row>
    <row r="152" s="29" customFormat="1" ht="26" customHeight="1" spans="1:11">
      <c r="A152" s="370">
        <v>133</v>
      </c>
      <c r="B152" s="126" t="s">
        <v>569</v>
      </c>
      <c r="C152" s="371" t="s">
        <v>766</v>
      </c>
      <c r="D152" s="371" t="s">
        <v>768</v>
      </c>
      <c r="E152" s="391">
        <v>1.8</v>
      </c>
      <c r="F152" s="391"/>
      <c r="G152" s="391">
        <v>0</v>
      </c>
      <c r="H152" s="393"/>
      <c r="I152" s="393"/>
      <c r="J152" s="372">
        <f t="shared" si="22"/>
        <v>1.8</v>
      </c>
      <c r="K152" s="125"/>
    </row>
    <row r="153" s="29" customFormat="1" ht="26" customHeight="1" spans="1:11">
      <c r="A153" s="370">
        <v>134</v>
      </c>
      <c r="B153" s="126" t="s">
        <v>569</v>
      </c>
      <c r="C153" s="371" t="s">
        <v>766</v>
      </c>
      <c r="D153" s="371" t="s">
        <v>769</v>
      </c>
      <c r="E153" s="391">
        <v>2</v>
      </c>
      <c r="F153" s="391"/>
      <c r="G153" s="391">
        <v>0</v>
      </c>
      <c r="H153" s="393"/>
      <c r="I153" s="393"/>
      <c r="J153" s="372">
        <f t="shared" si="22"/>
        <v>2</v>
      </c>
      <c r="K153" s="125"/>
    </row>
    <row r="154" s="29" customFormat="1" ht="26" customHeight="1" spans="1:11">
      <c r="A154" s="370">
        <v>135</v>
      </c>
      <c r="B154" s="126" t="s">
        <v>569</v>
      </c>
      <c r="C154" s="371" t="s">
        <v>766</v>
      </c>
      <c r="D154" s="371" t="s">
        <v>770</v>
      </c>
      <c r="E154" s="391">
        <v>0.8</v>
      </c>
      <c r="F154" s="391"/>
      <c r="G154" s="391">
        <v>0</v>
      </c>
      <c r="H154" s="393"/>
      <c r="I154" s="393"/>
      <c r="J154" s="372">
        <f t="shared" si="22"/>
        <v>0.8</v>
      </c>
      <c r="K154" s="125"/>
    </row>
    <row r="155" s="29" customFormat="1" ht="26" customHeight="1" spans="1:11">
      <c r="A155" s="370">
        <v>136</v>
      </c>
      <c r="B155" s="126" t="s">
        <v>569</v>
      </c>
      <c r="C155" s="371" t="s">
        <v>766</v>
      </c>
      <c r="D155" s="371" t="s">
        <v>771</v>
      </c>
      <c r="E155" s="391">
        <v>2.4</v>
      </c>
      <c r="F155" s="391"/>
      <c r="G155" s="391">
        <v>0</v>
      </c>
      <c r="H155" s="393"/>
      <c r="I155" s="393"/>
      <c r="J155" s="372">
        <f t="shared" si="22"/>
        <v>2.4</v>
      </c>
      <c r="K155" s="125"/>
    </row>
    <row r="156" s="29" customFormat="1" customHeight="1" spans="1:11">
      <c r="A156" s="370">
        <v>137</v>
      </c>
      <c r="B156" s="389" t="s">
        <v>569</v>
      </c>
      <c r="C156" s="79" t="s">
        <v>766</v>
      </c>
      <c r="D156" s="147" t="s">
        <v>772</v>
      </c>
      <c r="E156" s="123"/>
      <c r="F156" s="123"/>
      <c r="G156" s="123"/>
      <c r="H156" s="123">
        <v>2</v>
      </c>
      <c r="I156" s="123">
        <v>1</v>
      </c>
      <c r="J156" s="372">
        <f t="shared" si="22"/>
        <v>1</v>
      </c>
      <c r="K156" s="394" t="s">
        <v>773</v>
      </c>
    </row>
    <row r="157" s="334" customFormat="1" customHeight="1" spans="1:11">
      <c r="A157" s="353">
        <v>138</v>
      </c>
      <c r="B157" s="376" t="s">
        <v>774</v>
      </c>
      <c r="C157" s="377"/>
      <c r="D157" s="378"/>
      <c r="E157" s="355">
        <f t="shared" ref="E157:J157" si="24">SUM(E151:E156)</f>
        <v>9</v>
      </c>
      <c r="F157" s="355">
        <f t="shared" si="24"/>
        <v>0</v>
      </c>
      <c r="G157" s="355">
        <f t="shared" si="24"/>
        <v>0</v>
      </c>
      <c r="H157" s="355">
        <f t="shared" si="24"/>
        <v>2</v>
      </c>
      <c r="I157" s="355">
        <f t="shared" si="24"/>
        <v>1</v>
      </c>
      <c r="J157" s="355">
        <f t="shared" si="24"/>
        <v>10</v>
      </c>
      <c r="K157" s="388"/>
    </row>
    <row r="158" s="29" customFormat="1" ht="26" customHeight="1" spans="1:11">
      <c r="A158" s="370">
        <v>139</v>
      </c>
      <c r="B158" s="126" t="s">
        <v>569</v>
      </c>
      <c r="C158" s="371" t="s">
        <v>775</v>
      </c>
      <c r="D158" s="371" t="s">
        <v>776</v>
      </c>
      <c r="E158" s="391">
        <v>1</v>
      </c>
      <c r="F158" s="391"/>
      <c r="G158" s="391">
        <v>1</v>
      </c>
      <c r="H158" s="393"/>
      <c r="I158" s="393"/>
      <c r="J158" s="372">
        <f t="shared" ref="J158:J192" si="25">E158+I158</f>
        <v>1</v>
      </c>
      <c r="K158" s="125"/>
    </row>
    <row r="159" s="29" customFormat="1" ht="26" customHeight="1" spans="1:11">
      <c r="A159" s="370">
        <v>140</v>
      </c>
      <c r="B159" s="126" t="s">
        <v>569</v>
      </c>
      <c r="C159" s="371" t="s">
        <v>775</v>
      </c>
      <c r="D159" s="371" t="s">
        <v>777</v>
      </c>
      <c r="E159" s="391">
        <v>2</v>
      </c>
      <c r="F159" s="391"/>
      <c r="G159" s="391">
        <v>2</v>
      </c>
      <c r="H159" s="393"/>
      <c r="I159" s="393"/>
      <c r="J159" s="372">
        <f t="shared" si="25"/>
        <v>2</v>
      </c>
      <c r="K159" s="125"/>
    </row>
    <row r="160" s="334" customFormat="1" customHeight="1" spans="1:11">
      <c r="A160" s="353">
        <v>141</v>
      </c>
      <c r="B160" s="376" t="s">
        <v>778</v>
      </c>
      <c r="C160" s="377"/>
      <c r="D160" s="378"/>
      <c r="E160" s="355">
        <f t="shared" ref="E160:J160" si="26">SUM(E158:E159)</f>
        <v>3</v>
      </c>
      <c r="F160" s="355">
        <f t="shared" si="26"/>
        <v>0</v>
      </c>
      <c r="G160" s="355">
        <f t="shared" si="26"/>
        <v>3</v>
      </c>
      <c r="H160" s="355">
        <f t="shared" si="26"/>
        <v>0</v>
      </c>
      <c r="I160" s="355">
        <f t="shared" si="26"/>
        <v>0</v>
      </c>
      <c r="J160" s="355">
        <f t="shared" si="26"/>
        <v>3</v>
      </c>
      <c r="K160" s="388"/>
    </row>
    <row r="161" s="29" customFormat="1" customHeight="1" spans="1:11">
      <c r="A161" s="370">
        <v>142</v>
      </c>
      <c r="B161" s="126" t="s">
        <v>574</v>
      </c>
      <c r="C161" s="371" t="s">
        <v>779</v>
      </c>
      <c r="D161" s="371" t="s">
        <v>780</v>
      </c>
      <c r="E161" s="391"/>
      <c r="F161" s="391"/>
      <c r="G161" s="391"/>
      <c r="H161" s="392">
        <v>5</v>
      </c>
      <c r="I161" s="393"/>
      <c r="J161" s="372">
        <f t="shared" si="25"/>
        <v>0</v>
      </c>
      <c r="K161" s="395" t="s">
        <v>781</v>
      </c>
    </row>
    <row r="162" s="29" customFormat="1" customHeight="1" spans="1:11">
      <c r="A162" s="370">
        <v>143</v>
      </c>
      <c r="B162" s="126" t="s">
        <v>574</v>
      </c>
      <c r="C162" s="371" t="s">
        <v>779</v>
      </c>
      <c r="D162" s="371" t="s">
        <v>782</v>
      </c>
      <c r="E162" s="391"/>
      <c r="F162" s="391"/>
      <c r="G162" s="391"/>
      <c r="H162" s="392">
        <v>207</v>
      </c>
      <c r="I162" s="393"/>
      <c r="J162" s="372">
        <f t="shared" si="25"/>
        <v>0</v>
      </c>
      <c r="K162" s="396"/>
    </row>
    <row r="163" s="29" customFormat="1" ht="26" customHeight="1" spans="1:11">
      <c r="A163" s="370">
        <v>144</v>
      </c>
      <c r="B163" s="126" t="s">
        <v>574</v>
      </c>
      <c r="C163" s="371" t="s">
        <v>779</v>
      </c>
      <c r="D163" s="371" t="s">
        <v>783</v>
      </c>
      <c r="E163" s="391"/>
      <c r="F163" s="391"/>
      <c r="G163" s="391"/>
      <c r="H163" s="392">
        <v>121.2</v>
      </c>
      <c r="I163" s="393"/>
      <c r="J163" s="372">
        <f t="shared" si="25"/>
        <v>0</v>
      </c>
      <c r="K163" s="395" t="s">
        <v>784</v>
      </c>
    </row>
    <row r="164" s="29" customFormat="1" ht="26" customHeight="1" spans="1:11">
      <c r="A164" s="370">
        <v>145</v>
      </c>
      <c r="B164" s="126" t="s">
        <v>574</v>
      </c>
      <c r="C164" s="371" t="s">
        <v>779</v>
      </c>
      <c r="D164" s="371" t="s">
        <v>785</v>
      </c>
      <c r="E164" s="391"/>
      <c r="F164" s="391"/>
      <c r="G164" s="391"/>
      <c r="H164" s="392">
        <v>43.8</v>
      </c>
      <c r="I164" s="393"/>
      <c r="J164" s="372">
        <f t="shared" si="25"/>
        <v>0</v>
      </c>
      <c r="K164" s="397"/>
    </row>
    <row r="165" s="29" customFormat="1" ht="26" customHeight="1" spans="1:11">
      <c r="A165" s="370">
        <v>146</v>
      </c>
      <c r="B165" s="126" t="s">
        <v>574</v>
      </c>
      <c r="C165" s="371" t="s">
        <v>779</v>
      </c>
      <c r="D165" s="371" t="s">
        <v>786</v>
      </c>
      <c r="E165" s="391"/>
      <c r="F165" s="391"/>
      <c r="G165" s="391"/>
      <c r="H165" s="392">
        <v>89</v>
      </c>
      <c r="I165" s="393"/>
      <c r="J165" s="372">
        <f t="shared" si="25"/>
        <v>0</v>
      </c>
      <c r="K165" s="397"/>
    </row>
    <row r="166" s="29" customFormat="1" ht="26" customHeight="1" spans="1:11">
      <c r="A166" s="370">
        <v>147</v>
      </c>
      <c r="B166" s="126" t="s">
        <v>574</v>
      </c>
      <c r="C166" s="371" t="s">
        <v>779</v>
      </c>
      <c r="D166" s="371" t="s">
        <v>787</v>
      </c>
      <c r="E166" s="391"/>
      <c r="F166" s="391"/>
      <c r="G166" s="391"/>
      <c r="H166" s="392">
        <v>97</v>
      </c>
      <c r="I166" s="393"/>
      <c r="J166" s="372">
        <f t="shared" si="25"/>
        <v>0</v>
      </c>
      <c r="K166" s="397"/>
    </row>
    <row r="167" s="29" customFormat="1" ht="26" customHeight="1" spans="1:11">
      <c r="A167" s="370">
        <v>148</v>
      </c>
      <c r="B167" s="126" t="s">
        <v>574</v>
      </c>
      <c r="C167" s="371" t="s">
        <v>779</v>
      </c>
      <c r="D167" s="371" t="s">
        <v>788</v>
      </c>
      <c r="E167" s="391"/>
      <c r="F167" s="391"/>
      <c r="G167" s="391"/>
      <c r="H167" s="392">
        <v>80</v>
      </c>
      <c r="I167" s="393"/>
      <c r="J167" s="372">
        <f t="shared" si="25"/>
        <v>0</v>
      </c>
      <c r="K167" s="397"/>
    </row>
    <row r="168" s="29" customFormat="1" customHeight="1" spans="1:11">
      <c r="A168" s="370">
        <v>149</v>
      </c>
      <c r="B168" s="126" t="s">
        <v>574</v>
      </c>
      <c r="C168" s="371" t="s">
        <v>779</v>
      </c>
      <c r="D168" s="371" t="s">
        <v>789</v>
      </c>
      <c r="E168" s="391"/>
      <c r="F168" s="391"/>
      <c r="G168" s="391"/>
      <c r="H168" s="392">
        <v>201.65</v>
      </c>
      <c r="I168" s="393"/>
      <c r="J168" s="372">
        <f t="shared" si="25"/>
        <v>0</v>
      </c>
      <c r="K168" s="397"/>
    </row>
    <row r="169" s="29" customFormat="1" customHeight="1" spans="1:11">
      <c r="A169" s="370">
        <v>150</v>
      </c>
      <c r="B169" s="126" t="s">
        <v>574</v>
      </c>
      <c r="C169" s="371" t="s">
        <v>779</v>
      </c>
      <c r="D169" s="371" t="s">
        <v>790</v>
      </c>
      <c r="E169" s="391"/>
      <c r="F169" s="391"/>
      <c r="G169" s="391"/>
      <c r="H169" s="392">
        <v>197.69</v>
      </c>
      <c r="I169" s="393"/>
      <c r="J169" s="372">
        <f t="shared" si="25"/>
        <v>0</v>
      </c>
      <c r="K169" s="397"/>
    </row>
    <row r="170" s="29" customFormat="1" customHeight="1" spans="1:11">
      <c r="A170" s="370">
        <v>151</v>
      </c>
      <c r="B170" s="126" t="s">
        <v>574</v>
      </c>
      <c r="C170" s="371" t="s">
        <v>779</v>
      </c>
      <c r="D170" s="371" t="s">
        <v>791</v>
      </c>
      <c r="E170" s="391"/>
      <c r="F170" s="391"/>
      <c r="G170" s="391"/>
      <c r="H170" s="392">
        <v>233</v>
      </c>
      <c r="I170" s="393"/>
      <c r="J170" s="372">
        <f t="shared" si="25"/>
        <v>0</v>
      </c>
      <c r="K170" s="396"/>
    </row>
    <row r="171" s="29" customFormat="1" ht="26" customHeight="1" spans="1:11">
      <c r="A171" s="370">
        <v>152</v>
      </c>
      <c r="B171" s="126" t="s">
        <v>574</v>
      </c>
      <c r="C171" s="371" t="s">
        <v>779</v>
      </c>
      <c r="D171" s="371" t="s">
        <v>792</v>
      </c>
      <c r="E171" s="391"/>
      <c r="F171" s="391"/>
      <c r="G171" s="391"/>
      <c r="H171" s="392">
        <v>44.96</v>
      </c>
      <c r="I171" s="393"/>
      <c r="J171" s="372">
        <f t="shared" si="25"/>
        <v>0</v>
      </c>
      <c r="K171" s="395" t="s">
        <v>793</v>
      </c>
    </row>
    <row r="172" s="29" customFormat="1" ht="26" customHeight="1" spans="1:11">
      <c r="A172" s="370">
        <v>153</v>
      </c>
      <c r="B172" s="126" t="s">
        <v>574</v>
      </c>
      <c r="C172" s="371" t="s">
        <v>779</v>
      </c>
      <c r="D172" s="371" t="s">
        <v>794</v>
      </c>
      <c r="E172" s="391"/>
      <c r="F172" s="391"/>
      <c r="G172" s="391"/>
      <c r="H172" s="392">
        <v>20</v>
      </c>
      <c r="I172" s="393"/>
      <c r="J172" s="372">
        <f t="shared" si="25"/>
        <v>0</v>
      </c>
      <c r="K172" s="397"/>
    </row>
    <row r="173" s="29" customFormat="1" ht="26" customHeight="1" spans="1:11">
      <c r="A173" s="370">
        <v>154</v>
      </c>
      <c r="B173" s="126" t="s">
        <v>574</v>
      </c>
      <c r="C173" s="371" t="s">
        <v>779</v>
      </c>
      <c r="D173" s="371" t="s">
        <v>795</v>
      </c>
      <c r="E173" s="391"/>
      <c r="F173" s="391"/>
      <c r="G173" s="391"/>
      <c r="H173" s="392">
        <v>30.18</v>
      </c>
      <c r="I173" s="393"/>
      <c r="J173" s="372">
        <f t="shared" si="25"/>
        <v>0</v>
      </c>
      <c r="K173" s="396"/>
    </row>
    <row r="174" s="29" customFormat="1" ht="26" customHeight="1" spans="1:11">
      <c r="A174" s="370">
        <v>155</v>
      </c>
      <c r="B174" s="126" t="s">
        <v>574</v>
      </c>
      <c r="C174" s="371" t="s">
        <v>779</v>
      </c>
      <c r="D174" s="371" t="s">
        <v>796</v>
      </c>
      <c r="E174" s="391"/>
      <c r="F174" s="391"/>
      <c r="G174" s="391"/>
      <c r="H174" s="392">
        <v>200</v>
      </c>
      <c r="I174" s="393"/>
      <c r="J174" s="372">
        <f t="shared" si="25"/>
        <v>0</v>
      </c>
      <c r="K174" s="125"/>
    </row>
    <row r="175" s="29" customFormat="1" ht="26" customHeight="1" spans="1:11">
      <c r="A175" s="370">
        <v>156</v>
      </c>
      <c r="B175" s="126" t="s">
        <v>574</v>
      </c>
      <c r="C175" s="371" t="s">
        <v>779</v>
      </c>
      <c r="D175" s="371" t="s">
        <v>797</v>
      </c>
      <c r="E175" s="391"/>
      <c r="F175" s="391"/>
      <c r="G175" s="391"/>
      <c r="H175" s="392">
        <v>100</v>
      </c>
      <c r="I175" s="393"/>
      <c r="J175" s="372">
        <f t="shared" si="25"/>
        <v>0</v>
      </c>
      <c r="K175" s="125" t="s">
        <v>798</v>
      </c>
    </row>
    <row r="176" s="29" customFormat="1" ht="26" customHeight="1" spans="1:11">
      <c r="A176" s="370">
        <v>157</v>
      </c>
      <c r="B176" s="126" t="s">
        <v>574</v>
      </c>
      <c r="C176" s="371" t="s">
        <v>779</v>
      </c>
      <c r="D176" s="371" t="s">
        <v>799</v>
      </c>
      <c r="E176" s="391"/>
      <c r="F176" s="391"/>
      <c r="G176" s="391"/>
      <c r="H176" s="392">
        <v>73</v>
      </c>
      <c r="I176" s="393"/>
      <c r="J176" s="372">
        <f t="shared" si="25"/>
        <v>0</v>
      </c>
      <c r="K176" s="395" t="s">
        <v>800</v>
      </c>
    </row>
    <row r="177" s="29" customFormat="1" ht="26" customHeight="1" spans="1:11">
      <c r="A177" s="370">
        <v>158</v>
      </c>
      <c r="B177" s="126" t="s">
        <v>574</v>
      </c>
      <c r="C177" s="371" t="s">
        <v>779</v>
      </c>
      <c r="D177" s="371" t="s">
        <v>801</v>
      </c>
      <c r="E177" s="391"/>
      <c r="F177" s="391"/>
      <c r="G177" s="391"/>
      <c r="H177" s="392">
        <v>30</v>
      </c>
      <c r="I177" s="393"/>
      <c r="J177" s="372">
        <f t="shared" si="25"/>
        <v>0</v>
      </c>
      <c r="K177" s="397"/>
    </row>
    <row r="178" s="29" customFormat="1" ht="26" customHeight="1" spans="1:11">
      <c r="A178" s="370">
        <v>159</v>
      </c>
      <c r="B178" s="126" t="s">
        <v>574</v>
      </c>
      <c r="C178" s="371" t="s">
        <v>779</v>
      </c>
      <c r="D178" s="371" t="s">
        <v>802</v>
      </c>
      <c r="E178" s="391"/>
      <c r="F178" s="391"/>
      <c r="G178" s="391"/>
      <c r="H178" s="392">
        <v>0.8</v>
      </c>
      <c r="I178" s="393"/>
      <c r="J178" s="372">
        <f t="shared" si="25"/>
        <v>0</v>
      </c>
      <c r="K178" s="397"/>
    </row>
    <row r="179" s="29" customFormat="1" ht="26" customHeight="1" spans="1:11">
      <c r="A179" s="370">
        <v>160</v>
      </c>
      <c r="B179" s="126" t="s">
        <v>574</v>
      </c>
      <c r="C179" s="371" t="s">
        <v>779</v>
      </c>
      <c r="D179" s="371" t="s">
        <v>803</v>
      </c>
      <c r="E179" s="391"/>
      <c r="F179" s="391"/>
      <c r="G179" s="391"/>
      <c r="H179" s="392">
        <v>13.79</v>
      </c>
      <c r="I179" s="393"/>
      <c r="J179" s="372">
        <f t="shared" si="25"/>
        <v>0</v>
      </c>
      <c r="K179" s="397"/>
    </row>
    <row r="180" s="29" customFormat="1" customHeight="1" spans="1:11">
      <c r="A180" s="370">
        <v>161</v>
      </c>
      <c r="B180" s="126" t="s">
        <v>574</v>
      </c>
      <c r="C180" s="371" t="s">
        <v>779</v>
      </c>
      <c r="D180" s="371" t="s">
        <v>804</v>
      </c>
      <c r="E180" s="391"/>
      <c r="F180" s="391"/>
      <c r="G180" s="391"/>
      <c r="H180" s="392">
        <v>22</v>
      </c>
      <c r="I180" s="393"/>
      <c r="J180" s="372">
        <f t="shared" si="25"/>
        <v>0</v>
      </c>
      <c r="K180" s="397"/>
    </row>
    <row r="181" s="29" customFormat="1" ht="26" customHeight="1" spans="1:11">
      <c r="A181" s="370">
        <v>162</v>
      </c>
      <c r="B181" s="126" t="s">
        <v>574</v>
      </c>
      <c r="C181" s="371" t="s">
        <v>779</v>
      </c>
      <c r="D181" s="371" t="s">
        <v>805</v>
      </c>
      <c r="E181" s="391"/>
      <c r="F181" s="391"/>
      <c r="G181" s="391"/>
      <c r="H181" s="392">
        <v>117</v>
      </c>
      <c r="I181" s="393"/>
      <c r="J181" s="372">
        <f t="shared" si="25"/>
        <v>0</v>
      </c>
      <c r="K181" s="397"/>
    </row>
    <row r="182" s="29" customFormat="1" ht="26" customHeight="1" spans="1:11">
      <c r="A182" s="370">
        <v>163</v>
      </c>
      <c r="B182" s="126" t="s">
        <v>574</v>
      </c>
      <c r="C182" s="371" t="s">
        <v>779</v>
      </c>
      <c r="D182" s="371" t="s">
        <v>806</v>
      </c>
      <c r="E182" s="391"/>
      <c r="F182" s="391"/>
      <c r="G182" s="391"/>
      <c r="H182" s="392">
        <v>2</v>
      </c>
      <c r="I182" s="393"/>
      <c r="J182" s="372">
        <f t="shared" si="25"/>
        <v>0</v>
      </c>
      <c r="K182" s="397"/>
    </row>
    <row r="183" s="29" customFormat="1" ht="26" customHeight="1" spans="1:11">
      <c r="A183" s="370">
        <v>164</v>
      </c>
      <c r="B183" s="126" t="s">
        <v>574</v>
      </c>
      <c r="C183" s="371" t="s">
        <v>779</v>
      </c>
      <c r="D183" s="371" t="s">
        <v>807</v>
      </c>
      <c r="E183" s="391"/>
      <c r="F183" s="391"/>
      <c r="G183" s="391"/>
      <c r="H183" s="392">
        <v>19.59</v>
      </c>
      <c r="I183" s="393"/>
      <c r="J183" s="372">
        <f t="shared" si="25"/>
        <v>0</v>
      </c>
      <c r="K183" s="397"/>
    </row>
    <row r="184" s="29" customFormat="1" ht="26" customHeight="1" spans="1:11">
      <c r="A184" s="370">
        <v>165</v>
      </c>
      <c r="B184" s="126" t="s">
        <v>574</v>
      </c>
      <c r="C184" s="371" t="s">
        <v>779</v>
      </c>
      <c r="D184" s="371" t="s">
        <v>808</v>
      </c>
      <c r="E184" s="391"/>
      <c r="F184" s="391"/>
      <c r="G184" s="391"/>
      <c r="H184" s="392">
        <v>24</v>
      </c>
      <c r="I184" s="393"/>
      <c r="J184" s="372">
        <f t="shared" si="25"/>
        <v>0</v>
      </c>
      <c r="K184" s="397"/>
    </row>
    <row r="185" s="29" customFormat="1" customHeight="1" spans="1:11">
      <c r="A185" s="370">
        <v>166</v>
      </c>
      <c r="B185" s="126" t="s">
        <v>574</v>
      </c>
      <c r="C185" s="371" t="s">
        <v>779</v>
      </c>
      <c r="D185" s="371" t="s">
        <v>809</v>
      </c>
      <c r="E185" s="391"/>
      <c r="F185" s="391"/>
      <c r="G185" s="391"/>
      <c r="H185" s="392">
        <v>70</v>
      </c>
      <c r="I185" s="393"/>
      <c r="J185" s="372">
        <f t="shared" si="25"/>
        <v>0</v>
      </c>
      <c r="K185" s="396"/>
    </row>
    <row r="186" s="29" customFormat="1" customHeight="1" spans="1:11">
      <c r="A186" s="370">
        <v>167</v>
      </c>
      <c r="B186" s="126" t="s">
        <v>574</v>
      </c>
      <c r="C186" s="371" t="s">
        <v>779</v>
      </c>
      <c r="D186" s="371" t="s">
        <v>810</v>
      </c>
      <c r="E186" s="391"/>
      <c r="F186" s="391"/>
      <c r="G186" s="391"/>
      <c r="H186" s="392">
        <v>20</v>
      </c>
      <c r="I186" s="393"/>
      <c r="J186" s="372">
        <f t="shared" si="25"/>
        <v>0</v>
      </c>
      <c r="K186" s="125" t="s">
        <v>811</v>
      </c>
    </row>
    <row r="187" s="29" customFormat="1" ht="26" customHeight="1" spans="1:11">
      <c r="A187" s="370">
        <v>168</v>
      </c>
      <c r="B187" s="126" t="s">
        <v>574</v>
      </c>
      <c r="C187" s="371" t="s">
        <v>779</v>
      </c>
      <c r="D187" s="371" t="s">
        <v>812</v>
      </c>
      <c r="E187" s="391">
        <v>24</v>
      </c>
      <c r="F187" s="391"/>
      <c r="G187" s="391">
        <v>4</v>
      </c>
      <c r="H187" s="393">
        <v>10</v>
      </c>
      <c r="I187" s="393">
        <v>10</v>
      </c>
      <c r="J187" s="372">
        <f t="shared" si="25"/>
        <v>34</v>
      </c>
      <c r="K187" s="398"/>
    </row>
    <row r="188" s="29" customFormat="1" ht="26" customHeight="1" spans="1:11">
      <c r="A188" s="370">
        <v>169</v>
      </c>
      <c r="B188" s="126" t="s">
        <v>574</v>
      </c>
      <c r="C188" s="371" t="s">
        <v>779</v>
      </c>
      <c r="D188" s="371" t="s">
        <v>813</v>
      </c>
      <c r="E188" s="391">
        <v>3</v>
      </c>
      <c r="F188" s="391"/>
      <c r="G188" s="391">
        <v>0</v>
      </c>
      <c r="H188" s="393"/>
      <c r="I188" s="393"/>
      <c r="J188" s="372">
        <f t="shared" si="25"/>
        <v>3</v>
      </c>
      <c r="K188" s="398"/>
    </row>
    <row r="189" s="29" customFormat="1" ht="26" customHeight="1" spans="1:11">
      <c r="A189" s="370">
        <v>170</v>
      </c>
      <c r="B189" s="126" t="s">
        <v>574</v>
      </c>
      <c r="C189" s="371" t="s">
        <v>779</v>
      </c>
      <c r="D189" s="371" t="s">
        <v>814</v>
      </c>
      <c r="E189" s="391">
        <v>2</v>
      </c>
      <c r="F189" s="391"/>
      <c r="G189" s="391">
        <v>0</v>
      </c>
      <c r="H189" s="393"/>
      <c r="I189" s="393"/>
      <c r="J189" s="372">
        <f t="shared" si="25"/>
        <v>2</v>
      </c>
      <c r="K189" s="125"/>
    </row>
    <row r="190" s="29" customFormat="1" ht="26" customHeight="1" spans="1:11">
      <c r="A190" s="370">
        <v>171</v>
      </c>
      <c r="B190" s="126" t="s">
        <v>574</v>
      </c>
      <c r="C190" s="371" t="s">
        <v>779</v>
      </c>
      <c r="D190" s="371" t="s">
        <v>815</v>
      </c>
      <c r="E190" s="391">
        <v>5.7</v>
      </c>
      <c r="F190" s="391"/>
      <c r="G190" s="391">
        <v>0</v>
      </c>
      <c r="H190" s="393"/>
      <c r="I190" s="393"/>
      <c r="J190" s="372">
        <f t="shared" si="25"/>
        <v>5.7</v>
      </c>
      <c r="K190" s="125"/>
    </row>
    <row r="191" s="29" customFormat="1" ht="26" customHeight="1" spans="1:11">
      <c r="A191" s="370">
        <v>172</v>
      </c>
      <c r="B191" s="126" t="s">
        <v>574</v>
      </c>
      <c r="C191" s="371" t="s">
        <v>779</v>
      </c>
      <c r="D191" s="371" t="s">
        <v>816</v>
      </c>
      <c r="E191" s="391">
        <v>90</v>
      </c>
      <c r="F191" s="391"/>
      <c r="G191" s="391">
        <v>0</v>
      </c>
      <c r="H191" s="393"/>
      <c r="I191" s="393"/>
      <c r="J191" s="372">
        <f t="shared" si="25"/>
        <v>90</v>
      </c>
      <c r="K191" s="125"/>
    </row>
    <row r="192" s="29" customFormat="1" ht="26" customHeight="1" spans="1:11">
      <c r="A192" s="370">
        <v>173</v>
      </c>
      <c r="B192" s="126" t="s">
        <v>574</v>
      </c>
      <c r="C192" s="371" t="s">
        <v>779</v>
      </c>
      <c r="D192" s="371" t="s">
        <v>817</v>
      </c>
      <c r="E192" s="391">
        <v>2</v>
      </c>
      <c r="F192" s="391"/>
      <c r="G192" s="391">
        <v>0</v>
      </c>
      <c r="H192" s="393"/>
      <c r="I192" s="393"/>
      <c r="J192" s="372">
        <f t="shared" si="25"/>
        <v>2</v>
      </c>
      <c r="K192" s="125"/>
    </row>
    <row r="193" s="334" customFormat="1" customHeight="1" spans="1:11">
      <c r="A193" s="353">
        <v>174</v>
      </c>
      <c r="B193" s="376" t="s">
        <v>818</v>
      </c>
      <c r="C193" s="377"/>
      <c r="D193" s="378"/>
      <c r="E193" s="355">
        <f t="shared" ref="E193:J193" si="27">SUM(E161:E192)</f>
        <v>126.7</v>
      </c>
      <c r="F193" s="355">
        <f t="shared" si="27"/>
        <v>0</v>
      </c>
      <c r="G193" s="355">
        <f t="shared" si="27"/>
        <v>4</v>
      </c>
      <c r="H193" s="355">
        <f t="shared" si="27"/>
        <v>2072.66</v>
      </c>
      <c r="I193" s="355">
        <f t="shared" si="27"/>
        <v>10</v>
      </c>
      <c r="J193" s="355">
        <f t="shared" si="27"/>
        <v>136.7</v>
      </c>
      <c r="K193" s="388"/>
    </row>
    <row r="194" s="29" customFormat="1" ht="26" customHeight="1" spans="1:11">
      <c r="A194" s="370">
        <v>175</v>
      </c>
      <c r="B194" s="126" t="s">
        <v>574</v>
      </c>
      <c r="C194" s="371" t="s">
        <v>819</v>
      </c>
      <c r="D194" s="371" t="s">
        <v>820</v>
      </c>
      <c r="E194" s="391">
        <v>100</v>
      </c>
      <c r="F194" s="391"/>
      <c r="G194" s="391">
        <v>100</v>
      </c>
      <c r="H194" s="393">
        <v>-100</v>
      </c>
      <c r="I194" s="393">
        <v>-100</v>
      </c>
      <c r="J194" s="372">
        <f t="shared" ref="J194:J198" si="28">E194+I194</f>
        <v>0</v>
      </c>
      <c r="K194" s="398"/>
    </row>
    <row r="195" s="334" customFormat="1" customHeight="1" spans="1:11">
      <c r="A195" s="353">
        <v>176</v>
      </c>
      <c r="B195" s="376" t="s">
        <v>821</v>
      </c>
      <c r="C195" s="377"/>
      <c r="D195" s="378"/>
      <c r="E195" s="355">
        <f t="shared" ref="E195:J195" si="29">SUM(E194:E194)</f>
        <v>100</v>
      </c>
      <c r="F195" s="355">
        <f t="shared" si="29"/>
        <v>0</v>
      </c>
      <c r="G195" s="355">
        <f t="shared" si="29"/>
        <v>100</v>
      </c>
      <c r="H195" s="355">
        <f t="shared" si="29"/>
        <v>-100</v>
      </c>
      <c r="I195" s="355">
        <f t="shared" si="29"/>
        <v>-100</v>
      </c>
      <c r="J195" s="355">
        <f t="shared" si="29"/>
        <v>0</v>
      </c>
      <c r="K195" s="388"/>
    </row>
    <row r="196" s="29" customFormat="1" ht="26" customHeight="1" spans="1:11">
      <c r="A196" s="370">
        <v>177</v>
      </c>
      <c r="B196" s="126" t="s">
        <v>574</v>
      </c>
      <c r="C196" s="371" t="s">
        <v>822</v>
      </c>
      <c r="D196" s="371" t="s">
        <v>823</v>
      </c>
      <c r="E196" s="391">
        <v>10</v>
      </c>
      <c r="F196" s="391"/>
      <c r="G196" s="391">
        <v>5</v>
      </c>
      <c r="H196" s="393"/>
      <c r="I196" s="393"/>
      <c r="J196" s="372">
        <f t="shared" si="28"/>
        <v>10</v>
      </c>
      <c r="K196" s="398"/>
    </row>
    <row r="197" s="29" customFormat="1" ht="26" customHeight="1" spans="1:11">
      <c r="A197" s="370">
        <v>178</v>
      </c>
      <c r="B197" s="126" t="s">
        <v>574</v>
      </c>
      <c r="C197" s="371" t="s">
        <v>822</v>
      </c>
      <c r="D197" s="371" t="s">
        <v>824</v>
      </c>
      <c r="E197" s="391">
        <v>25</v>
      </c>
      <c r="F197" s="391"/>
      <c r="G197" s="391">
        <v>20</v>
      </c>
      <c r="H197" s="393"/>
      <c r="I197" s="393"/>
      <c r="J197" s="372">
        <f t="shared" si="28"/>
        <v>25</v>
      </c>
      <c r="K197" s="398"/>
    </row>
    <row r="198" s="29" customFormat="1" ht="26" customHeight="1" spans="1:11">
      <c r="A198" s="370">
        <v>179</v>
      </c>
      <c r="B198" s="126" t="s">
        <v>574</v>
      </c>
      <c r="C198" s="371" t="s">
        <v>822</v>
      </c>
      <c r="D198" s="371" t="s">
        <v>825</v>
      </c>
      <c r="E198" s="391">
        <v>7</v>
      </c>
      <c r="F198" s="391"/>
      <c r="G198" s="391">
        <v>0</v>
      </c>
      <c r="H198" s="393"/>
      <c r="I198" s="393"/>
      <c r="J198" s="372">
        <f t="shared" si="28"/>
        <v>7</v>
      </c>
      <c r="K198" s="398"/>
    </row>
    <row r="199" s="334" customFormat="1" customHeight="1" spans="1:11">
      <c r="A199" s="353">
        <v>180</v>
      </c>
      <c r="B199" s="376" t="s">
        <v>826</v>
      </c>
      <c r="C199" s="377"/>
      <c r="D199" s="378"/>
      <c r="E199" s="355">
        <f t="shared" ref="E199:J199" si="30">SUM(E196:E198)</f>
        <v>42</v>
      </c>
      <c r="F199" s="355">
        <f t="shared" si="30"/>
        <v>0</v>
      </c>
      <c r="G199" s="355">
        <f t="shared" si="30"/>
        <v>25</v>
      </c>
      <c r="H199" s="355">
        <f t="shared" si="30"/>
        <v>0</v>
      </c>
      <c r="I199" s="355">
        <f t="shared" si="30"/>
        <v>0</v>
      </c>
      <c r="J199" s="355">
        <f t="shared" si="30"/>
        <v>42</v>
      </c>
      <c r="K199" s="388"/>
    </row>
    <row r="200" s="29" customFormat="1" ht="26" customHeight="1" spans="1:11">
      <c r="A200" s="370">
        <v>181</v>
      </c>
      <c r="B200" s="126" t="s">
        <v>576</v>
      </c>
      <c r="C200" s="371" t="s">
        <v>827</v>
      </c>
      <c r="D200" s="371" t="s">
        <v>828</v>
      </c>
      <c r="E200" s="391">
        <v>2</v>
      </c>
      <c r="F200" s="391"/>
      <c r="G200" s="391">
        <v>0</v>
      </c>
      <c r="H200" s="393"/>
      <c r="I200" s="393"/>
      <c r="J200" s="372">
        <f t="shared" ref="J200:J203" si="31">E200+I200</f>
        <v>2</v>
      </c>
      <c r="K200" s="398"/>
    </row>
    <row r="201" s="29" customFormat="1" ht="26" customHeight="1" spans="1:11">
      <c r="A201" s="370">
        <v>182</v>
      </c>
      <c r="B201" s="126" t="s">
        <v>576</v>
      </c>
      <c r="C201" s="371" t="s">
        <v>827</v>
      </c>
      <c r="D201" s="371" t="s">
        <v>829</v>
      </c>
      <c r="E201" s="391">
        <v>11</v>
      </c>
      <c r="F201" s="391"/>
      <c r="G201" s="391">
        <v>0</v>
      </c>
      <c r="H201" s="393"/>
      <c r="I201" s="393"/>
      <c r="J201" s="372">
        <f t="shared" si="31"/>
        <v>11</v>
      </c>
      <c r="K201" s="398"/>
    </row>
    <row r="202" s="29" customFormat="1" ht="26" customHeight="1" spans="1:11">
      <c r="A202" s="370">
        <v>183</v>
      </c>
      <c r="B202" s="126" t="s">
        <v>576</v>
      </c>
      <c r="C202" s="371" t="s">
        <v>827</v>
      </c>
      <c r="D202" s="371" t="s">
        <v>830</v>
      </c>
      <c r="E202" s="391">
        <v>2</v>
      </c>
      <c r="F202" s="391"/>
      <c r="G202" s="391">
        <v>0</v>
      </c>
      <c r="H202" s="393"/>
      <c r="I202" s="393"/>
      <c r="J202" s="372">
        <f t="shared" si="31"/>
        <v>2</v>
      </c>
      <c r="K202" s="398"/>
    </row>
    <row r="203" s="29" customFormat="1" ht="26" customHeight="1" spans="1:11">
      <c r="A203" s="370">
        <v>184</v>
      </c>
      <c r="B203" s="126" t="s">
        <v>576</v>
      </c>
      <c r="C203" s="371" t="s">
        <v>827</v>
      </c>
      <c r="D203" s="371" t="s">
        <v>831</v>
      </c>
      <c r="E203" s="391">
        <v>3</v>
      </c>
      <c r="F203" s="391"/>
      <c r="G203" s="391">
        <v>3</v>
      </c>
      <c r="H203" s="393"/>
      <c r="I203" s="393"/>
      <c r="J203" s="372">
        <f t="shared" si="31"/>
        <v>3</v>
      </c>
      <c r="K203" s="398"/>
    </row>
    <row r="204" s="334" customFormat="1" customHeight="1" spans="1:11">
      <c r="A204" s="353">
        <v>185</v>
      </c>
      <c r="B204" s="376" t="s">
        <v>832</v>
      </c>
      <c r="C204" s="377"/>
      <c r="D204" s="378"/>
      <c r="E204" s="355">
        <f t="shared" ref="E204:J204" si="32">SUM(E200:E203)</f>
        <v>18</v>
      </c>
      <c r="F204" s="355">
        <f t="shared" si="32"/>
        <v>0</v>
      </c>
      <c r="G204" s="355">
        <f t="shared" si="32"/>
        <v>3</v>
      </c>
      <c r="H204" s="355">
        <f t="shared" si="32"/>
        <v>0</v>
      </c>
      <c r="I204" s="355">
        <f t="shared" si="32"/>
        <v>0</v>
      </c>
      <c r="J204" s="355">
        <f t="shared" si="32"/>
        <v>18</v>
      </c>
      <c r="K204" s="388"/>
    </row>
    <row r="205" s="29" customFormat="1" ht="26" customHeight="1" spans="1:11">
      <c r="A205" s="370">
        <v>186</v>
      </c>
      <c r="B205" s="126" t="s">
        <v>569</v>
      </c>
      <c r="C205" s="371" t="s">
        <v>833</v>
      </c>
      <c r="D205" s="371" t="s">
        <v>834</v>
      </c>
      <c r="E205" s="391">
        <v>76.685</v>
      </c>
      <c r="F205" s="391"/>
      <c r="G205" s="391">
        <v>76.68</v>
      </c>
      <c r="H205" s="393"/>
      <c r="I205" s="393"/>
      <c r="J205" s="372">
        <f t="shared" ref="J205:J268" si="33">E205+I205</f>
        <v>76.685</v>
      </c>
      <c r="K205" s="398"/>
    </row>
    <row r="206" s="29" customFormat="1" ht="26" customHeight="1" spans="1:11">
      <c r="A206" s="370">
        <v>187</v>
      </c>
      <c r="B206" s="126" t="s">
        <v>569</v>
      </c>
      <c r="C206" s="371" t="s">
        <v>833</v>
      </c>
      <c r="D206" s="371" t="s">
        <v>835</v>
      </c>
      <c r="E206" s="391">
        <v>16.5</v>
      </c>
      <c r="F206" s="391"/>
      <c r="G206" s="391">
        <v>11.59</v>
      </c>
      <c r="H206" s="393"/>
      <c r="I206" s="393"/>
      <c r="J206" s="372">
        <f t="shared" si="33"/>
        <v>16.5</v>
      </c>
      <c r="K206" s="398" t="s">
        <v>836</v>
      </c>
    </row>
    <row r="207" s="29" customFormat="1" ht="26" customHeight="1" spans="1:11">
      <c r="A207" s="370">
        <v>188</v>
      </c>
      <c r="B207" s="126" t="s">
        <v>569</v>
      </c>
      <c r="C207" s="371" t="s">
        <v>833</v>
      </c>
      <c r="D207" s="371" t="s">
        <v>837</v>
      </c>
      <c r="E207" s="391">
        <v>25</v>
      </c>
      <c r="F207" s="391"/>
      <c r="G207" s="391">
        <v>14.59</v>
      </c>
      <c r="H207" s="393"/>
      <c r="I207" s="393"/>
      <c r="J207" s="372">
        <f t="shared" si="33"/>
        <v>25</v>
      </c>
      <c r="K207" s="398" t="s">
        <v>838</v>
      </c>
    </row>
    <row r="208" s="29" customFormat="1" ht="26" customHeight="1" spans="1:11">
      <c r="A208" s="370">
        <v>189</v>
      </c>
      <c r="B208" s="126" t="s">
        <v>569</v>
      </c>
      <c r="C208" s="371" t="s">
        <v>833</v>
      </c>
      <c r="D208" s="371" t="s">
        <v>839</v>
      </c>
      <c r="E208" s="391">
        <v>20</v>
      </c>
      <c r="F208" s="391"/>
      <c r="G208" s="391">
        <v>20</v>
      </c>
      <c r="H208" s="393"/>
      <c r="I208" s="393"/>
      <c r="J208" s="372">
        <f t="shared" si="33"/>
        <v>20</v>
      </c>
      <c r="K208" s="398"/>
    </row>
    <row r="209" s="29" customFormat="1" ht="26" customHeight="1" spans="1:11">
      <c r="A209" s="370">
        <v>190</v>
      </c>
      <c r="B209" s="126" t="s">
        <v>569</v>
      </c>
      <c r="C209" s="371" t="s">
        <v>833</v>
      </c>
      <c r="D209" s="371" t="s">
        <v>840</v>
      </c>
      <c r="E209" s="391">
        <v>250</v>
      </c>
      <c r="F209" s="391"/>
      <c r="G209" s="391">
        <v>250</v>
      </c>
      <c r="H209" s="393"/>
      <c r="I209" s="393"/>
      <c r="J209" s="372">
        <f t="shared" si="33"/>
        <v>250</v>
      </c>
      <c r="K209" s="398"/>
    </row>
    <row r="210" s="29" customFormat="1" customHeight="1" spans="1:11">
      <c r="A210" s="370">
        <v>191</v>
      </c>
      <c r="B210" s="389" t="s">
        <v>569</v>
      </c>
      <c r="C210" s="79" t="s">
        <v>833</v>
      </c>
      <c r="D210" s="79" t="s">
        <v>841</v>
      </c>
      <c r="E210" s="123">
        <v>590</v>
      </c>
      <c r="F210" s="123"/>
      <c r="G210" s="123">
        <v>590</v>
      </c>
      <c r="H210" s="123">
        <v>196.36</v>
      </c>
      <c r="I210" s="123">
        <v>0</v>
      </c>
      <c r="J210" s="372">
        <f t="shared" si="33"/>
        <v>590</v>
      </c>
      <c r="K210" s="79" t="s">
        <v>842</v>
      </c>
    </row>
    <row r="211" s="29" customFormat="1" ht="26" customHeight="1" spans="1:11">
      <c r="A211" s="370">
        <v>192</v>
      </c>
      <c r="B211" s="126" t="s">
        <v>569</v>
      </c>
      <c r="C211" s="371" t="s">
        <v>833</v>
      </c>
      <c r="D211" s="371" t="s">
        <v>843</v>
      </c>
      <c r="E211" s="391">
        <v>300</v>
      </c>
      <c r="F211" s="391"/>
      <c r="G211" s="391">
        <v>300</v>
      </c>
      <c r="H211" s="393"/>
      <c r="I211" s="393"/>
      <c r="J211" s="372">
        <f t="shared" si="33"/>
        <v>300</v>
      </c>
      <c r="K211" s="398"/>
    </row>
    <row r="212" s="29" customFormat="1" ht="86.1" customHeight="1" spans="1:11">
      <c r="A212" s="370">
        <v>193</v>
      </c>
      <c r="B212" s="389" t="s">
        <v>569</v>
      </c>
      <c r="C212" s="79" t="s">
        <v>833</v>
      </c>
      <c r="D212" s="79" t="s">
        <v>844</v>
      </c>
      <c r="E212" s="123">
        <v>369</v>
      </c>
      <c r="F212" s="123"/>
      <c r="G212" s="123">
        <v>219</v>
      </c>
      <c r="H212" s="123">
        <v>135.94</v>
      </c>
      <c r="I212" s="123">
        <v>50</v>
      </c>
      <c r="J212" s="372">
        <f t="shared" si="33"/>
        <v>419</v>
      </c>
      <c r="K212" s="394" t="s">
        <v>845</v>
      </c>
    </row>
    <row r="213" s="29" customFormat="1" customHeight="1" spans="1:11">
      <c r="A213" s="370">
        <v>194</v>
      </c>
      <c r="B213" s="389" t="s">
        <v>569</v>
      </c>
      <c r="C213" s="79" t="s">
        <v>833</v>
      </c>
      <c r="D213" s="79" t="s">
        <v>846</v>
      </c>
      <c r="E213" s="123">
        <v>234.9</v>
      </c>
      <c r="F213" s="123"/>
      <c r="G213" s="123">
        <v>171.9</v>
      </c>
      <c r="H213" s="123"/>
      <c r="I213" s="123"/>
      <c r="J213" s="372">
        <f t="shared" si="33"/>
        <v>234.9</v>
      </c>
      <c r="K213" s="79"/>
    </row>
    <row r="214" s="29" customFormat="1" ht="26" customHeight="1" spans="1:11">
      <c r="A214" s="370">
        <v>195</v>
      </c>
      <c r="B214" s="126" t="s">
        <v>569</v>
      </c>
      <c r="C214" s="371" t="s">
        <v>833</v>
      </c>
      <c r="D214" s="371" t="s">
        <v>847</v>
      </c>
      <c r="E214" s="391">
        <v>6.5</v>
      </c>
      <c r="F214" s="391"/>
      <c r="G214" s="391">
        <v>0</v>
      </c>
      <c r="H214" s="393"/>
      <c r="I214" s="393"/>
      <c r="J214" s="372">
        <f t="shared" si="33"/>
        <v>6.5</v>
      </c>
      <c r="K214" s="398"/>
    </row>
    <row r="215" s="29" customFormat="1" ht="26" customHeight="1" spans="1:11">
      <c r="A215" s="370">
        <v>196</v>
      </c>
      <c r="B215" s="126" t="s">
        <v>569</v>
      </c>
      <c r="C215" s="371" t="s">
        <v>833</v>
      </c>
      <c r="D215" s="371" t="s">
        <v>848</v>
      </c>
      <c r="E215" s="391">
        <v>30</v>
      </c>
      <c r="F215" s="391"/>
      <c r="G215" s="391">
        <v>30</v>
      </c>
      <c r="H215" s="393"/>
      <c r="I215" s="393"/>
      <c r="J215" s="372">
        <f t="shared" si="33"/>
        <v>30</v>
      </c>
      <c r="K215" s="398"/>
    </row>
    <row r="216" s="29" customFormat="1" ht="26" customHeight="1" spans="1:11">
      <c r="A216" s="370">
        <v>197</v>
      </c>
      <c r="B216" s="126" t="s">
        <v>569</v>
      </c>
      <c r="C216" s="371" t="s">
        <v>833</v>
      </c>
      <c r="D216" s="371" t="s">
        <v>849</v>
      </c>
      <c r="E216" s="391">
        <v>30</v>
      </c>
      <c r="F216" s="391"/>
      <c r="G216" s="391">
        <v>30</v>
      </c>
      <c r="H216" s="393"/>
      <c r="I216" s="393"/>
      <c r="J216" s="372">
        <f t="shared" si="33"/>
        <v>30</v>
      </c>
      <c r="K216" s="398"/>
    </row>
    <row r="217" s="29" customFormat="1" ht="26" customHeight="1" spans="1:11">
      <c r="A217" s="370">
        <v>198</v>
      </c>
      <c r="B217" s="126" t="s">
        <v>569</v>
      </c>
      <c r="C217" s="371" t="s">
        <v>833</v>
      </c>
      <c r="D217" s="371" t="s">
        <v>850</v>
      </c>
      <c r="E217" s="391">
        <v>30</v>
      </c>
      <c r="F217" s="391"/>
      <c r="G217" s="391">
        <v>30</v>
      </c>
      <c r="H217" s="393"/>
      <c r="I217" s="393"/>
      <c r="J217" s="372">
        <f t="shared" si="33"/>
        <v>30</v>
      </c>
      <c r="K217" s="398"/>
    </row>
    <row r="218" s="29" customFormat="1" ht="26" customHeight="1" spans="1:11">
      <c r="A218" s="370">
        <v>199</v>
      </c>
      <c r="B218" s="126" t="s">
        <v>569</v>
      </c>
      <c r="C218" s="371" t="s">
        <v>833</v>
      </c>
      <c r="D218" s="371" t="s">
        <v>851</v>
      </c>
      <c r="E218" s="391">
        <v>7</v>
      </c>
      <c r="F218" s="391"/>
      <c r="G218" s="391">
        <v>7</v>
      </c>
      <c r="H218" s="393"/>
      <c r="I218" s="393"/>
      <c r="J218" s="372">
        <f t="shared" si="33"/>
        <v>7</v>
      </c>
      <c r="K218" s="398"/>
    </row>
    <row r="219" s="29" customFormat="1" ht="26" customHeight="1" spans="1:11">
      <c r="A219" s="370">
        <v>200</v>
      </c>
      <c r="B219" s="126" t="s">
        <v>569</v>
      </c>
      <c r="C219" s="371" t="s">
        <v>833</v>
      </c>
      <c r="D219" s="371" t="s">
        <v>852</v>
      </c>
      <c r="E219" s="391">
        <v>10</v>
      </c>
      <c r="F219" s="391"/>
      <c r="G219" s="391">
        <v>10</v>
      </c>
      <c r="H219" s="393"/>
      <c r="I219" s="393"/>
      <c r="J219" s="372">
        <f t="shared" si="33"/>
        <v>10</v>
      </c>
      <c r="K219" s="398"/>
    </row>
    <row r="220" s="29" customFormat="1" ht="26" customHeight="1" spans="1:11">
      <c r="A220" s="370">
        <v>201</v>
      </c>
      <c r="B220" s="126" t="s">
        <v>569</v>
      </c>
      <c r="C220" s="371" t="s">
        <v>833</v>
      </c>
      <c r="D220" s="371" t="s">
        <v>853</v>
      </c>
      <c r="E220" s="391">
        <v>5</v>
      </c>
      <c r="F220" s="391"/>
      <c r="G220" s="391">
        <v>5</v>
      </c>
      <c r="H220" s="393"/>
      <c r="I220" s="393"/>
      <c r="J220" s="372">
        <f t="shared" si="33"/>
        <v>5</v>
      </c>
      <c r="K220" s="398"/>
    </row>
    <row r="221" s="29" customFormat="1" ht="26" customHeight="1" spans="1:11">
      <c r="A221" s="370">
        <v>202</v>
      </c>
      <c r="B221" s="126" t="s">
        <v>569</v>
      </c>
      <c r="C221" s="371" t="s">
        <v>833</v>
      </c>
      <c r="D221" s="371" t="s">
        <v>854</v>
      </c>
      <c r="E221" s="391">
        <v>5</v>
      </c>
      <c r="F221" s="391"/>
      <c r="G221" s="391">
        <v>5</v>
      </c>
      <c r="H221" s="393"/>
      <c r="I221" s="393"/>
      <c r="J221" s="372">
        <f t="shared" si="33"/>
        <v>5</v>
      </c>
      <c r="K221" s="398"/>
    </row>
    <row r="222" s="29" customFormat="1" ht="26" customHeight="1" spans="1:11">
      <c r="A222" s="370">
        <v>203</v>
      </c>
      <c r="B222" s="126" t="s">
        <v>569</v>
      </c>
      <c r="C222" s="371" t="s">
        <v>833</v>
      </c>
      <c r="D222" s="371" t="s">
        <v>855</v>
      </c>
      <c r="E222" s="391">
        <v>4</v>
      </c>
      <c r="F222" s="391"/>
      <c r="G222" s="391">
        <v>4</v>
      </c>
      <c r="H222" s="393"/>
      <c r="I222" s="393"/>
      <c r="J222" s="372">
        <f t="shared" si="33"/>
        <v>4</v>
      </c>
      <c r="K222" s="398"/>
    </row>
    <row r="223" s="29" customFormat="1" ht="26" customHeight="1" spans="1:11">
      <c r="A223" s="370">
        <v>204</v>
      </c>
      <c r="B223" s="126" t="s">
        <v>569</v>
      </c>
      <c r="C223" s="371" t="s">
        <v>833</v>
      </c>
      <c r="D223" s="371" t="s">
        <v>856</v>
      </c>
      <c r="E223" s="391">
        <v>6</v>
      </c>
      <c r="F223" s="391"/>
      <c r="G223" s="391">
        <v>6</v>
      </c>
      <c r="H223" s="393"/>
      <c r="I223" s="393"/>
      <c r="J223" s="372">
        <f t="shared" si="33"/>
        <v>6</v>
      </c>
      <c r="K223" s="398"/>
    </row>
    <row r="224" s="29" customFormat="1" ht="26" customHeight="1" spans="1:11">
      <c r="A224" s="370">
        <v>205</v>
      </c>
      <c r="B224" s="126" t="s">
        <v>569</v>
      </c>
      <c r="C224" s="371" t="s">
        <v>833</v>
      </c>
      <c r="D224" s="371" t="s">
        <v>857</v>
      </c>
      <c r="E224" s="391">
        <v>50</v>
      </c>
      <c r="F224" s="391"/>
      <c r="G224" s="391">
        <v>50</v>
      </c>
      <c r="H224" s="393"/>
      <c r="I224" s="393"/>
      <c r="J224" s="372">
        <f t="shared" si="33"/>
        <v>50</v>
      </c>
      <c r="K224" s="398"/>
    </row>
    <row r="225" s="29" customFormat="1" ht="26" customHeight="1" spans="1:11">
      <c r="A225" s="370">
        <v>206</v>
      </c>
      <c r="B225" s="126" t="s">
        <v>569</v>
      </c>
      <c r="C225" s="371" t="s">
        <v>833</v>
      </c>
      <c r="D225" s="371" t="s">
        <v>858</v>
      </c>
      <c r="E225" s="391">
        <v>3</v>
      </c>
      <c r="F225" s="391"/>
      <c r="G225" s="391">
        <v>3</v>
      </c>
      <c r="H225" s="393"/>
      <c r="I225" s="393"/>
      <c r="J225" s="372">
        <f t="shared" si="33"/>
        <v>3</v>
      </c>
      <c r="K225" s="398"/>
    </row>
    <row r="226" s="29" customFormat="1" ht="26" customHeight="1" spans="1:11">
      <c r="A226" s="370">
        <v>207</v>
      </c>
      <c r="B226" s="126" t="s">
        <v>569</v>
      </c>
      <c r="C226" s="371" t="s">
        <v>833</v>
      </c>
      <c r="D226" s="371" t="s">
        <v>859</v>
      </c>
      <c r="E226" s="391">
        <v>12</v>
      </c>
      <c r="F226" s="391"/>
      <c r="G226" s="391">
        <v>12</v>
      </c>
      <c r="H226" s="393"/>
      <c r="I226" s="393"/>
      <c r="J226" s="372">
        <f t="shared" si="33"/>
        <v>12</v>
      </c>
      <c r="K226" s="398"/>
    </row>
    <row r="227" s="29" customFormat="1" ht="26" customHeight="1" spans="1:11">
      <c r="A227" s="370">
        <v>208</v>
      </c>
      <c r="B227" s="126" t="s">
        <v>569</v>
      </c>
      <c r="C227" s="371" t="s">
        <v>833</v>
      </c>
      <c r="D227" s="371" t="s">
        <v>860</v>
      </c>
      <c r="E227" s="391">
        <v>6</v>
      </c>
      <c r="F227" s="391"/>
      <c r="G227" s="391">
        <v>6</v>
      </c>
      <c r="H227" s="393"/>
      <c r="I227" s="393"/>
      <c r="J227" s="372">
        <f t="shared" si="33"/>
        <v>6</v>
      </c>
      <c r="K227" s="398"/>
    </row>
    <row r="228" s="29" customFormat="1" ht="26" customHeight="1" spans="1:11">
      <c r="A228" s="370">
        <v>209</v>
      </c>
      <c r="B228" s="126" t="s">
        <v>569</v>
      </c>
      <c r="C228" s="371" t="s">
        <v>833</v>
      </c>
      <c r="D228" s="371" t="s">
        <v>861</v>
      </c>
      <c r="E228" s="391">
        <v>4</v>
      </c>
      <c r="F228" s="391"/>
      <c r="G228" s="391">
        <v>4</v>
      </c>
      <c r="H228" s="393"/>
      <c r="I228" s="393"/>
      <c r="J228" s="372">
        <f t="shared" si="33"/>
        <v>4</v>
      </c>
      <c r="K228" s="398"/>
    </row>
    <row r="229" s="29" customFormat="1" ht="26" customHeight="1" spans="1:11">
      <c r="A229" s="370">
        <v>210</v>
      </c>
      <c r="B229" s="126" t="s">
        <v>569</v>
      </c>
      <c r="C229" s="371" t="s">
        <v>833</v>
      </c>
      <c r="D229" s="371" t="s">
        <v>862</v>
      </c>
      <c r="E229" s="391">
        <v>40</v>
      </c>
      <c r="F229" s="391"/>
      <c r="G229" s="391">
        <v>3.1</v>
      </c>
      <c r="H229" s="393"/>
      <c r="I229" s="393"/>
      <c r="J229" s="372">
        <f t="shared" si="33"/>
        <v>40</v>
      </c>
      <c r="K229" s="398"/>
    </row>
    <row r="230" s="29" customFormat="1" ht="26" customHeight="1" spans="1:11">
      <c r="A230" s="370">
        <v>211</v>
      </c>
      <c r="B230" s="126" t="s">
        <v>569</v>
      </c>
      <c r="C230" s="371" t="s">
        <v>833</v>
      </c>
      <c r="D230" s="371" t="s">
        <v>863</v>
      </c>
      <c r="E230" s="391">
        <v>1000</v>
      </c>
      <c r="F230" s="391"/>
      <c r="G230" s="391">
        <v>1000</v>
      </c>
      <c r="H230" s="393"/>
      <c r="I230" s="393"/>
      <c r="J230" s="372">
        <f t="shared" si="33"/>
        <v>1000</v>
      </c>
      <c r="K230" s="398"/>
    </row>
    <row r="231" s="29" customFormat="1" ht="26" customHeight="1" spans="1:11">
      <c r="A231" s="370">
        <v>212</v>
      </c>
      <c r="B231" s="126" t="s">
        <v>569</v>
      </c>
      <c r="C231" s="371" t="s">
        <v>833</v>
      </c>
      <c r="D231" s="371" t="s">
        <v>864</v>
      </c>
      <c r="E231" s="391">
        <v>6</v>
      </c>
      <c r="F231" s="391"/>
      <c r="G231" s="391">
        <v>3</v>
      </c>
      <c r="H231" s="393"/>
      <c r="I231" s="393"/>
      <c r="J231" s="372">
        <f t="shared" si="33"/>
        <v>6</v>
      </c>
      <c r="K231" s="398" t="s">
        <v>865</v>
      </c>
    </row>
    <row r="232" s="29" customFormat="1" ht="26" customHeight="1" spans="1:11">
      <c r="A232" s="370">
        <v>213</v>
      </c>
      <c r="B232" s="126" t="s">
        <v>569</v>
      </c>
      <c r="C232" s="371" t="s">
        <v>833</v>
      </c>
      <c r="D232" s="371" t="s">
        <v>866</v>
      </c>
      <c r="E232" s="391">
        <v>0.58</v>
      </c>
      <c r="F232" s="391"/>
      <c r="G232" s="391">
        <v>0.32</v>
      </c>
      <c r="H232" s="393"/>
      <c r="I232" s="393"/>
      <c r="J232" s="372">
        <f t="shared" si="33"/>
        <v>0.58</v>
      </c>
      <c r="K232" s="398" t="s">
        <v>867</v>
      </c>
    </row>
    <row r="233" s="29" customFormat="1" ht="26" customHeight="1" spans="1:11">
      <c r="A233" s="370">
        <v>214</v>
      </c>
      <c r="B233" s="126" t="s">
        <v>569</v>
      </c>
      <c r="C233" s="371" t="s">
        <v>833</v>
      </c>
      <c r="D233" s="371" t="s">
        <v>868</v>
      </c>
      <c r="E233" s="391">
        <v>1</v>
      </c>
      <c r="F233" s="391"/>
      <c r="G233" s="391">
        <v>1</v>
      </c>
      <c r="H233" s="393"/>
      <c r="I233" s="393"/>
      <c r="J233" s="372">
        <f t="shared" si="33"/>
        <v>1</v>
      </c>
      <c r="K233" s="398"/>
    </row>
    <row r="234" s="29" customFormat="1" customHeight="1" spans="1:11">
      <c r="A234" s="370">
        <v>215</v>
      </c>
      <c r="B234" s="389" t="s">
        <v>569</v>
      </c>
      <c r="C234" s="79" t="s">
        <v>833</v>
      </c>
      <c r="D234" s="79" t="s">
        <v>869</v>
      </c>
      <c r="E234" s="123">
        <v>8</v>
      </c>
      <c r="F234" s="123"/>
      <c r="G234" s="123">
        <v>8</v>
      </c>
      <c r="H234" s="123">
        <v>18.71</v>
      </c>
      <c r="I234" s="123">
        <v>18.71</v>
      </c>
      <c r="J234" s="372">
        <f t="shared" si="33"/>
        <v>26.71</v>
      </c>
      <c r="K234" s="394" t="s">
        <v>870</v>
      </c>
    </row>
    <row r="235" s="29" customFormat="1" customHeight="1" spans="1:11">
      <c r="A235" s="370">
        <v>216</v>
      </c>
      <c r="B235" s="389" t="s">
        <v>569</v>
      </c>
      <c r="C235" s="79" t="s">
        <v>833</v>
      </c>
      <c r="D235" s="79" t="s">
        <v>871</v>
      </c>
      <c r="E235" s="123"/>
      <c r="F235" s="123"/>
      <c r="G235" s="123"/>
      <c r="H235" s="123">
        <v>18</v>
      </c>
      <c r="I235" s="123">
        <v>0</v>
      </c>
      <c r="J235" s="372">
        <f t="shared" si="33"/>
        <v>0</v>
      </c>
      <c r="K235" s="394" t="s">
        <v>872</v>
      </c>
    </row>
    <row r="236" s="29" customFormat="1" ht="26" customHeight="1" spans="1:11">
      <c r="A236" s="370">
        <v>217</v>
      </c>
      <c r="B236" s="126" t="s">
        <v>569</v>
      </c>
      <c r="C236" s="371" t="s">
        <v>833</v>
      </c>
      <c r="D236" s="371" t="s">
        <v>873</v>
      </c>
      <c r="E236" s="391"/>
      <c r="F236" s="391"/>
      <c r="G236" s="391"/>
      <c r="H236" s="393">
        <v>1910.09</v>
      </c>
      <c r="I236" s="393">
        <v>0</v>
      </c>
      <c r="J236" s="372">
        <f t="shared" si="33"/>
        <v>0</v>
      </c>
      <c r="K236" s="399" t="s">
        <v>874</v>
      </c>
    </row>
    <row r="237" s="29" customFormat="1" ht="26" customHeight="1" spans="1:11">
      <c r="A237" s="370">
        <v>218</v>
      </c>
      <c r="B237" s="126" t="s">
        <v>569</v>
      </c>
      <c r="C237" s="371" t="s">
        <v>833</v>
      </c>
      <c r="D237" s="371" t="s">
        <v>848</v>
      </c>
      <c r="E237" s="391"/>
      <c r="F237" s="391"/>
      <c r="G237" s="391"/>
      <c r="H237" s="393">
        <v>28</v>
      </c>
      <c r="I237" s="393">
        <v>0</v>
      </c>
      <c r="J237" s="372">
        <f t="shared" si="33"/>
        <v>0</v>
      </c>
      <c r="K237" s="400"/>
    </row>
    <row r="238" s="29" customFormat="1" ht="26" customHeight="1" spans="1:11">
      <c r="A238" s="370">
        <v>219</v>
      </c>
      <c r="B238" s="126" t="s">
        <v>569</v>
      </c>
      <c r="C238" s="371" t="s">
        <v>833</v>
      </c>
      <c r="D238" s="371" t="s">
        <v>849</v>
      </c>
      <c r="E238" s="391"/>
      <c r="F238" s="391"/>
      <c r="G238" s="391"/>
      <c r="H238" s="393">
        <v>70</v>
      </c>
      <c r="I238" s="393">
        <v>0</v>
      </c>
      <c r="J238" s="372">
        <f t="shared" si="33"/>
        <v>0</v>
      </c>
      <c r="K238" s="400"/>
    </row>
    <row r="239" s="29" customFormat="1" ht="26" customHeight="1" spans="1:11">
      <c r="A239" s="370">
        <v>220</v>
      </c>
      <c r="B239" s="126" t="s">
        <v>569</v>
      </c>
      <c r="C239" s="371" t="s">
        <v>833</v>
      </c>
      <c r="D239" s="371" t="s">
        <v>850</v>
      </c>
      <c r="E239" s="391"/>
      <c r="F239" s="391"/>
      <c r="G239" s="391"/>
      <c r="H239" s="393">
        <v>50</v>
      </c>
      <c r="I239" s="393">
        <v>0</v>
      </c>
      <c r="J239" s="372">
        <f t="shared" si="33"/>
        <v>0</v>
      </c>
      <c r="K239" s="400"/>
    </row>
    <row r="240" s="29" customFormat="1" ht="26" customHeight="1" spans="1:11">
      <c r="A240" s="370">
        <v>221</v>
      </c>
      <c r="B240" s="126" t="s">
        <v>569</v>
      </c>
      <c r="C240" s="371" t="s">
        <v>833</v>
      </c>
      <c r="D240" s="371" t="s">
        <v>851</v>
      </c>
      <c r="E240" s="391"/>
      <c r="F240" s="391"/>
      <c r="G240" s="391"/>
      <c r="H240" s="393">
        <v>7</v>
      </c>
      <c r="I240" s="393">
        <v>0</v>
      </c>
      <c r="J240" s="372">
        <f t="shared" si="33"/>
        <v>0</v>
      </c>
      <c r="K240" s="400"/>
    </row>
    <row r="241" s="29" customFormat="1" ht="26" customHeight="1" spans="1:11">
      <c r="A241" s="370">
        <v>222</v>
      </c>
      <c r="B241" s="126" t="s">
        <v>569</v>
      </c>
      <c r="C241" s="371" t="s">
        <v>833</v>
      </c>
      <c r="D241" s="371" t="s">
        <v>855</v>
      </c>
      <c r="E241" s="391"/>
      <c r="F241" s="391"/>
      <c r="G241" s="391"/>
      <c r="H241" s="393">
        <v>6</v>
      </c>
      <c r="I241" s="393">
        <v>0</v>
      </c>
      <c r="J241" s="372">
        <f t="shared" si="33"/>
        <v>0</v>
      </c>
      <c r="K241" s="400"/>
    </row>
    <row r="242" s="29" customFormat="1" ht="26" customHeight="1" spans="1:11">
      <c r="A242" s="370">
        <v>223</v>
      </c>
      <c r="B242" s="126" t="s">
        <v>569</v>
      </c>
      <c r="C242" s="371" t="s">
        <v>833</v>
      </c>
      <c r="D242" s="371" t="s">
        <v>857</v>
      </c>
      <c r="E242" s="391"/>
      <c r="F242" s="391"/>
      <c r="G242" s="391"/>
      <c r="H242" s="393">
        <v>38</v>
      </c>
      <c r="I242" s="393">
        <v>0</v>
      </c>
      <c r="J242" s="372">
        <f t="shared" si="33"/>
        <v>0</v>
      </c>
      <c r="K242" s="400"/>
    </row>
    <row r="243" s="29" customFormat="1" ht="26" customHeight="1" spans="1:11">
      <c r="A243" s="370">
        <v>224</v>
      </c>
      <c r="B243" s="126" t="s">
        <v>569</v>
      </c>
      <c r="C243" s="371" t="s">
        <v>833</v>
      </c>
      <c r="D243" s="371" t="s">
        <v>858</v>
      </c>
      <c r="E243" s="391"/>
      <c r="F243" s="391"/>
      <c r="G243" s="391"/>
      <c r="H243" s="393">
        <v>20</v>
      </c>
      <c r="I243" s="393">
        <v>0</v>
      </c>
      <c r="J243" s="372">
        <f t="shared" si="33"/>
        <v>0</v>
      </c>
      <c r="K243" s="400"/>
    </row>
    <row r="244" s="29" customFormat="1" ht="26" customHeight="1" spans="1:11">
      <c r="A244" s="370">
        <v>225</v>
      </c>
      <c r="B244" s="126" t="s">
        <v>569</v>
      </c>
      <c r="C244" s="371" t="s">
        <v>833</v>
      </c>
      <c r="D244" s="371" t="s">
        <v>860</v>
      </c>
      <c r="E244" s="391"/>
      <c r="F244" s="391"/>
      <c r="G244" s="391"/>
      <c r="H244" s="393">
        <v>10</v>
      </c>
      <c r="I244" s="393">
        <v>0</v>
      </c>
      <c r="J244" s="372">
        <f t="shared" si="33"/>
        <v>0</v>
      </c>
      <c r="K244" s="400"/>
    </row>
    <row r="245" s="29" customFormat="1" ht="26" customHeight="1" spans="1:11">
      <c r="A245" s="370">
        <v>226</v>
      </c>
      <c r="B245" s="126" t="s">
        <v>569</v>
      </c>
      <c r="C245" s="371" t="s">
        <v>833</v>
      </c>
      <c r="D245" s="371" t="s">
        <v>862</v>
      </c>
      <c r="E245" s="391"/>
      <c r="F245" s="391"/>
      <c r="G245" s="391"/>
      <c r="H245" s="393">
        <v>28</v>
      </c>
      <c r="I245" s="393">
        <v>0</v>
      </c>
      <c r="J245" s="372">
        <f t="shared" si="33"/>
        <v>0</v>
      </c>
      <c r="K245" s="401"/>
    </row>
    <row r="246" s="29" customFormat="1" ht="26" customHeight="1" spans="1:11">
      <c r="A246" s="370">
        <v>227</v>
      </c>
      <c r="B246" s="126" t="s">
        <v>569</v>
      </c>
      <c r="C246" s="371" t="s">
        <v>833</v>
      </c>
      <c r="D246" s="371" t="s">
        <v>875</v>
      </c>
      <c r="E246" s="391"/>
      <c r="F246" s="391"/>
      <c r="G246" s="391"/>
      <c r="H246" s="393">
        <v>50</v>
      </c>
      <c r="I246" s="393">
        <v>20</v>
      </c>
      <c r="J246" s="372">
        <f t="shared" si="33"/>
        <v>20</v>
      </c>
      <c r="K246" s="398" t="s">
        <v>876</v>
      </c>
    </row>
    <row r="247" s="29" customFormat="1" ht="26" customHeight="1" spans="1:11">
      <c r="A247" s="370">
        <v>228</v>
      </c>
      <c r="B247" s="126" t="s">
        <v>569</v>
      </c>
      <c r="C247" s="371" t="s">
        <v>833</v>
      </c>
      <c r="D247" s="371" t="s">
        <v>877</v>
      </c>
      <c r="E247" s="391"/>
      <c r="F247" s="391"/>
      <c r="G247" s="391"/>
      <c r="H247" s="393">
        <v>200</v>
      </c>
      <c r="I247" s="393">
        <v>80</v>
      </c>
      <c r="J247" s="372">
        <f t="shared" si="33"/>
        <v>80</v>
      </c>
      <c r="K247" s="398" t="s">
        <v>876</v>
      </c>
    </row>
    <row r="248" s="29" customFormat="1" ht="26" customHeight="1" spans="1:11">
      <c r="A248" s="370">
        <v>229</v>
      </c>
      <c r="B248" s="126" t="s">
        <v>627</v>
      </c>
      <c r="C248" s="371" t="s">
        <v>833</v>
      </c>
      <c r="D248" s="371" t="s">
        <v>878</v>
      </c>
      <c r="E248" s="391">
        <v>1102.674787</v>
      </c>
      <c r="F248" s="391"/>
      <c r="G248" s="391">
        <v>0</v>
      </c>
      <c r="H248" s="393">
        <v>6000</v>
      </c>
      <c r="I248" s="393">
        <v>4.844415</v>
      </c>
      <c r="J248" s="372">
        <f t="shared" si="33"/>
        <v>1107.519202</v>
      </c>
      <c r="K248" s="398" t="s">
        <v>879</v>
      </c>
    </row>
    <row r="249" s="29" customFormat="1" ht="26" customHeight="1" spans="1:11">
      <c r="A249" s="370">
        <v>230</v>
      </c>
      <c r="B249" s="126" t="s">
        <v>627</v>
      </c>
      <c r="C249" s="371" t="s">
        <v>833</v>
      </c>
      <c r="D249" s="371" t="s">
        <v>880</v>
      </c>
      <c r="E249" s="391">
        <v>0</v>
      </c>
      <c r="F249" s="391"/>
      <c r="G249" s="391">
        <v>0</v>
      </c>
      <c r="H249" s="393">
        <v>5</v>
      </c>
      <c r="I249" s="393"/>
      <c r="J249" s="372">
        <f t="shared" si="33"/>
        <v>0</v>
      </c>
      <c r="K249" s="398"/>
    </row>
    <row r="250" s="29" customFormat="1" ht="26" customHeight="1" spans="1:11">
      <c r="A250" s="370">
        <v>231</v>
      </c>
      <c r="B250" s="126" t="s">
        <v>627</v>
      </c>
      <c r="C250" s="371" t="s">
        <v>833</v>
      </c>
      <c r="D250" s="371" t="s">
        <v>881</v>
      </c>
      <c r="E250" s="391">
        <v>0</v>
      </c>
      <c r="F250" s="391"/>
      <c r="G250" s="391">
        <v>0</v>
      </c>
      <c r="H250" s="393">
        <v>4000</v>
      </c>
      <c r="I250" s="393"/>
      <c r="J250" s="372">
        <f t="shared" si="33"/>
        <v>0</v>
      </c>
      <c r="K250" s="398" t="s">
        <v>882</v>
      </c>
    </row>
    <row r="251" s="29" customFormat="1" ht="26" customHeight="1" spans="1:11">
      <c r="A251" s="370">
        <v>232</v>
      </c>
      <c r="B251" s="126" t="s">
        <v>627</v>
      </c>
      <c r="C251" s="371" t="s">
        <v>833</v>
      </c>
      <c r="D251" s="371" t="s">
        <v>883</v>
      </c>
      <c r="E251" s="391">
        <v>25.7</v>
      </c>
      <c r="F251" s="391"/>
      <c r="G251" s="391">
        <v>0</v>
      </c>
      <c r="H251" s="393"/>
      <c r="I251" s="393"/>
      <c r="J251" s="372">
        <f t="shared" si="33"/>
        <v>25.7</v>
      </c>
      <c r="K251" s="398"/>
    </row>
    <row r="252" s="29" customFormat="1" ht="26" customHeight="1" spans="1:11">
      <c r="A252" s="370">
        <v>233</v>
      </c>
      <c r="B252" s="126" t="s">
        <v>580</v>
      </c>
      <c r="C252" s="371" t="s">
        <v>833</v>
      </c>
      <c r="D252" s="371" t="s">
        <v>884</v>
      </c>
      <c r="E252" s="391">
        <v>60</v>
      </c>
      <c r="F252" s="391"/>
      <c r="G252" s="391">
        <v>60</v>
      </c>
      <c r="H252" s="393">
        <v>0</v>
      </c>
      <c r="I252" s="393">
        <v>0</v>
      </c>
      <c r="J252" s="372">
        <f t="shared" si="33"/>
        <v>60</v>
      </c>
      <c r="K252" s="398"/>
    </row>
    <row r="253" s="29" customFormat="1" ht="26" customHeight="1" spans="1:11">
      <c r="A253" s="370">
        <v>234</v>
      </c>
      <c r="B253" s="126" t="s">
        <v>569</v>
      </c>
      <c r="C253" s="371" t="s">
        <v>885</v>
      </c>
      <c r="D253" s="371" t="s">
        <v>886</v>
      </c>
      <c r="E253" s="391">
        <v>212.125</v>
      </c>
      <c r="F253" s="391"/>
      <c r="G253" s="391">
        <v>184.63</v>
      </c>
      <c r="H253" s="393"/>
      <c r="I253" s="393"/>
      <c r="J253" s="372">
        <f t="shared" si="33"/>
        <v>212.125</v>
      </c>
      <c r="K253" s="398" t="s">
        <v>887</v>
      </c>
    </row>
    <row r="254" s="29" customFormat="1" customHeight="1" spans="1:11">
      <c r="A254" s="370">
        <v>235</v>
      </c>
      <c r="B254" s="389" t="s">
        <v>569</v>
      </c>
      <c r="C254" s="79" t="s">
        <v>885</v>
      </c>
      <c r="D254" s="79" t="s">
        <v>888</v>
      </c>
      <c r="E254" s="123">
        <v>1016.46</v>
      </c>
      <c r="F254" s="123"/>
      <c r="G254" s="123">
        <v>816.46</v>
      </c>
      <c r="H254" s="123"/>
      <c r="I254" s="123"/>
      <c r="J254" s="372">
        <f t="shared" si="33"/>
        <v>1016.46</v>
      </c>
      <c r="K254" s="79" t="s">
        <v>889</v>
      </c>
    </row>
    <row r="255" s="29" customFormat="1" customHeight="1" spans="1:11">
      <c r="A255" s="370">
        <v>236</v>
      </c>
      <c r="B255" s="389" t="s">
        <v>569</v>
      </c>
      <c r="C255" s="79" t="s">
        <v>885</v>
      </c>
      <c r="D255" s="79" t="s">
        <v>890</v>
      </c>
      <c r="E255" s="123">
        <v>32.88</v>
      </c>
      <c r="F255" s="123"/>
      <c r="G255" s="123">
        <v>32.28</v>
      </c>
      <c r="H255" s="123"/>
      <c r="I255" s="123"/>
      <c r="J255" s="372">
        <f t="shared" si="33"/>
        <v>32.88</v>
      </c>
      <c r="K255" s="79" t="s">
        <v>891</v>
      </c>
    </row>
    <row r="256" s="29" customFormat="1" ht="26" customHeight="1" spans="1:11">
      <c r="A256" s="370">
        <v>237</v>
      </c>
      <c r="B256" s="126" t="s">
        <v>569</v>
      </c>
      <c r="C256" s="371" t="s">
        <v>885</v>
      </c>
      <c r="D256" s="371" t="s">
        <v>892</v>
      </c>
      <c r="E256" s="391">
        <v>334.2</v>
      </c>
      <c r="F256" s="391"/>
      <c r="G256" s="391">
        <v>334.2</v>
      </c>
      <c r="H256" s="393"/>
      <c r="I256" s="393"/>
      <c r="J256" s="372">
        <f t="shared" si="33"/>
        <v>334.2</v>
      </c>
      <c r="K256" s="398" t="s">
        <v>893</v>
      </c>
    </row>
    <row r="257" s="29" customFormat="1" ht="26" customHeight="1" spans="1:11">
      <c r="A257" s="370">
        <v>238</v>
      </c>
      <c r="B257" s="126" t="s">
        <v>569</v>
      </c>
      <c r="C257" s="371" t="s">
        <v>894</v>
      </c>
      <c r="D257" s="371" t="s">
        <v>895</v>
      </c>
      <c r="E257" s="391">
        <v>9.922</v>
      </c>
      <c r="F257" s="391"/>
      <c r="G257" s="391">
        <v>9.92</v>
      </c>
      <c r="H257" s="393"/>
      <c r="I257" s="393"/>
      <c r="J257" s="372">
        <f t="shared" si="33"/>
        <v>9.922</v>
      </c>
      <c r="K257" s="398" t="s">
        <v>896</v>
      </c>
    </row>
    <row r="258" s="29" customFormat="1" ht="26" customHeight="1" spans="1:11">
      <c r="A258" s="370">
        <v>239</v>
      </c>
      <c r="B258" s="126" t="s">
        <v>569</v>
      </c>
      <c r="C258" s="371" t="s">
        <v>894</v>
      </c>
      <c r="D258" s="371" t="s">
        <v>897</v>
      </c>
      <c r="E258" s="391">
        <v>93.904001</v>
      </c>
      <c r="F258" s="391"/>
      <c r="G258" s="391">
        <v>83.9</v>
      </c>
      <c r="H258" s="393"/>
      <c r="I258" s="393"/>
      <c r="J258" s="372">
        <f t="shared" si="33"/>
        <v>93.904001</v>
      </c>
      <c r="K258" s="398" t="s">
        <v>898</v>
      </c>
    </row>
    <row r="259" s="29" customFormat="1" customHeight="1" spans="1:11">
      <c r="A259" s="370">
        <v>240</v>
      </c>
      <c r="B259" s="389" t="s">
        <v>569</v>
      </c>
      <c r="C259" s="79" t="s">
        <v>894</v>
      </c>
      <c r="D259" s="79" t="s">
        <v>899</v>
      </c>
      <c r="E259" s="123">
        <v>2.88</v>
      </c>
      <c r="F259" s="123"/>
      <c r="G259" s="123">
        <v>2.88</v>
      </c>
      <c r="H259" s="123"/>
      <c r="I259" s="123"/>
      <c r="J259" s="372">
        <f t="shared" si="33"/>
        <v>2.88</v>
      </c>
      <c r="K259" s="79" t="s">
        <v>898</v>
      </c>
    </row>
    <row r="260" s="29" customFormat="1" customHeight="1" spans="1:11">
      <c r="A260" s="370">
        <v>241</v>
      </c>
      <c r="B260" s="126" t="s">
        <v>627</v>
      </c>
      <c r="C260" s="58" t="s">
        <v>900</v>
      </c>
      <c r="D260" s="147" t="s">
        <v>901</v>
      </c>
      <c r="E260" s="123">
        <v>0</v>
      </c>
      <c r="F260" s="123"/>
      <c r="G260" s="123">
        <v>0</v>
      </c>
      <c r="H260" s="123">
        <v>180</v>
      </c>
      <c r="I260" s="123"/>
      <c r="J260" s="372">
        <f t="shared" si="33"/>
        <v>0</v>
      </c>
      <c r="K260" s="79" t="s">
        <v>902</v>
      </c>
    </row>
    <row r="261" s="29" customFormat="1" customHeight="1" spans="1:11">
      <c r="A261" s="370">
        <v>242</v>
      </c>
      <c r="B261" s="126" t="s">
        <v>627</v>
      </c>
      <c r="C261" s="58" t="s">
        <v>903</v>
      </c>
      <c r="D261" s="147" t="s">
        <v>904</v>
      </c>
      <c r="E261" s="123">
        <v>0</v>
      </c>
      <c r="F261" s="123"/>
      <c r="G261" s="123">
        <v>0</v>
      </c>
      <c r="H261" s="123">
        <v>702.02</v>
      </c>
      <c r="I261" s="123"/>
      <c r="J261" s="372">
        <f t="shared" si="33"/>
        <v>0</v>
      </c>
      <c r="K261" s="79" t="s">
        <v>905</v>
      </c>
    </row>
    <row r="262" s="29" customFormat="1" ht="26" customHeight="1" spans="1:11">
      <c r="A262" s="370">
        <v>243</v>
      </c>
      <c r="B262" s="126" t="s">
        <v>627</v>
      </c>
      <c r="C262" s="371" t="s">
        <v>906</v>
      </c>
      <c r="D262" s="371" t="s">
        <v>907</v>
      </c>
      <c r="E262" s="391">
        <v>72.4738</v>
      </c>
      <c r="F262" s="391"/>
      <c r="G262" s="391">
        <v>0</v>
      </c>
      <c r="H262" s="393">
        <v>2000</v>
      </c>
      <c r="I262" s="393"/>
      <c r="J262" s="372">
        <f t="shared" si="33"/>
        <v>72.4738</v>
      </c>
      <c r="K262" s="398" t="s">
        <v>908</v>
      </c>
    </row>
    <row r="263" s="29" customFormat="1" customHeight="1" spans="1:11">
      <c r="A263" s="370">
        <v>244</v>
      </c>
      <c r="B263" s="126" t="s">
        <v>627</v>
      </c>
      <c r="C263" s="58" t="s">
        <v>909</v>
      </c>
      <c r="D263" s="147" t="s">
        <v>910</v>
      </c>
      <c r="E263" s="123">
        <v>0</v>
      </c>
      <c r="F263" s="123"/>
      <c r="G263" s="123">
        <v>0</v>
      </c>
      <c r="H263" s="123">
        <v>0.7</v>
      </c>
      <c r="I263" s="123">
        <v>0.7</v>
      </c>
      <c r="J263" s="372">
        <f t="shared" si="33"/>
        <v>0.7</v>
      </c>
      <c r="K263" s="79" t="s">
        <v>911</v>
      </c>
    </row>
    <row r="264" s="29" customFormat="1" ht="26" customHeight="1" spans="1:11">
      <c r="A264" s="370">
        <v>245</v>
      </c>
      <c r="B264" s="126" t="s">
        <v>627</v>
      </c>
      <c r="C264" s="371" t="s">
        <v>912</v>
      </c>
      <c r="D264" s="371" t="s">
        <v>913</v>
      </c>
      <c r="E264" s="391">
        <v>0</v>
      </c>
      <c r="F264" s="391"/>
      <c r="G264" s="391">
        <v>0</v>
      </c>
      <c r="H264" s="393">
        <v>307</v>
      </c>
      <c r="I264" s="393"/>
      <c r="J264" s="372">
        <f t="shared" si="33"/>
        <v>0</v>
      </c>
      <c r="K264" s="398" t="s">
        <v>914</v>
      </c>
    </row>
    <row r="265" s="29" customFormat="1" customHeight="1" spans="1:11">
      <c r="A265" s="370">
        <v>246</v>
      </c>
      <c r="B265" s="126" t="s">
        <v>627</v>
      </c>
      <c r="C265" s="58" t="s">
        <v>915</v>
      </c>
      <c r="D265" s="147" t="s">
        <v>916</v>
      </c>
      <c r="E265" s="123">
        <v>17.79</v>
      </c>
      <c r="F265" s="123"/>
      <c r="G265" s="123">
        <v>0</v>
      </c>
      <c r="H265" s="123">
        <v>300</v>
      </c>
      <c r="I265" s="123"/>
      <c r="J265" s="372">
        <f t="shared" si="33"/>
        <v>17.79</v>
      </c>
      <c r="K265" s="79" t="s">
        <v>917</v>
      </c>
    </row>
    <row r="266" s="29" customFormat="1" ht="26" customHeight="1" spans="1:11">
      <c r="A266" s="370">
        <v>247</v>
      </c>
      <c r="B266" s="126" t="s">
        <v>627</v>
      </c>
      <c r="C266" s="371" t="s">
        <v>918</v>
      </c>
      <c r="D266" s="371" t="s">
        <v>919</v>
      </c>
      <c r="E266" s="391">
        <v>40</v>
      </c>
      <c r="F266" s="391"/>
      <c r="G266" s="391">
        <v>0</v>
      </c>
      <c r="H266" s="393">
        <v>2778</v>
      </c>
      <c r="I266" s="393"/>
      <c r="J266" s="372">
        <f t="shared" si="33"/>
        <v>40</v>
      </c>
      <c r="K266" s="398" t="s">
        <v>920</v>
      </c>
    </row>
    <row r="267" s="29" customFormat="1" ht="26" customHeight="1" spans="1:11">
      <c r="A267" s="370">
        <v>248</v>
      </c>
      <c r="B267" s="126" t="s">
        <v>627</v>
      </c>
      <c r="C267" s="371" t="s">
        <v>918</v>
      </c>
      <c r="D267" s="371" t="s">
        <v>921</v>
      </c>
      <c r="E267" s="391">
        <v>0</v>
      </c>
      <c r="F267" s="391"/>
      <c r="G267" s="391">
        <v>0</v>
      </c>
      <c r="H267" s="393">
        <v>47.25</v>
      </c>
      <c r="I267" s="393"/>
      <c r="J267" s="372">
        <f t="shared" si="33"/>
        <v>0</v>
      </c>
      <c r="K267" s="398" t="s">
        <v>922</v>
      </c>
    </row>
    <row r="268" s="29" customFormat="1" customHeight="1" spans="1:11">
      <c r="A268" s="370">
        <v>249</v>
      </c>
      <c r="B268" s="126" t="s">
        <v>627</v>
      </c>
      <c r="C268" s="58" t="s">
        <v>923</v>
      </c>
      <c r="D268" s="147" t="s">
        <v>924</v>
      </c>
      <c r="E268" s="123">
        <v>0</v>
      </c>
      <c r="F268" s="123"/>
      <c r="G268" s="123">
        <v>0</v>
      </c>
      <c r="H268" s="123">
        <v>190.48</v>
      </c>
      <c r="I268" s="123">
        <v>3.074</v>
      </c>
      <c r="J268" s="372">
        <f t="shared" si="33"/>
        <v>3.074</v>
      </c>
      <c r="K268" s="79" t="s">
        <v>925</v>
      </c>
    </row>
    <row r="269" s="29" customFormat="1" ht="26" customHeight="1" spans="1:11">
      <c r="A269" s="370">
        <v>250</v>
      </c>
      <c r="B269" s="126" t="s">
        <v>627</v>
      </c>
      <c r="C269" s="371" t="s">
        <v>923</v>
      </c>
      <c r="D269" s="371" t="s">
        <v>926</v>
      </c>
      <c r="E269" s="391">
        <v>0</v>
      </c>
      <c r="F269" s="391"/>
      <c r="G269" s="391">
        <v>0</v>
      </c>
      <c r="H269" s="393">
        <v>260</v>
      </c>
      <c r="I269" s="393"/>
      <c r="J269" s="372">
        <f t="shared" ref="J269:J289" si="34">E269+I269</f>
        <v>0</v>
      </c>
      <c r="K269" s="398" t="s">
        <v>927</v>
      </c>
    </row>
    <row r="270" s="29" customFormat="1" customHeight="1" spans="1:11">
      <c r="A270" s="370">
        <v>251</v>
      </c>
      <c r="B270" s="126" t="s">
        <v>627</v>
      </c>
      <c r="C270" s="58" t="s">
        <v>928</v>
      </c>
      <c r="D270" s="147" t="s">
        <v>929</v>
      </c>
      <c r="E270" s="123">
        <v>0</v>
      </c>
      <c r="F270" s="123"/>
      <c r="G270" s="123">
        <v>0</v>
      </c>
      <c r="H270" s="123">
        <v>500</v>
      </c>
      <c r="I270" s="123"/>
      <c r="J270" s="372">
        <f t="shared" si="34"/>
        <v>0</v>
      </c>
      <c r="K270" s="79" t="s">
        <v>930</v>
      </c>
    </row>
    <row r="271" s="29" customFormat="1" ht="26" customHeight="1" spans="1:11">
      <c r="A271" s="370">
        <v>252</v>
      </c>
      <c r="B271" s="126" t="s">
        <v>627</v>
      </c>
      <c r="C271" s="371" t="s">
        <v>931</v>
      </c>
      <c r="D271" s="371" t="s">
        <v>932</v>
      </c>
      <c r="E271" s="391">
        <v>0</v>
      </c>
      <c r="F271" s="391"/>
      <c r="G271" s="391">
        <v>0</v>
      </c>
      <c r="H271" s="393">
        <v>25</v>
      </c>
      <c r="I271" s="393"/>
      <c r="J271" s="372">
        <f t="shared" si="34"/>
        <v>0</v>
      </c>
      <c r="K271" s="398" t="s">
        <v>933</v>
      </c>
    </row>
    <row r="272" s="29" customFormat="1" ht="26" customHeight="1" spans="1:11">
      <c r="A272" s="370">
        <v>253</v>
      </c>
      <c r="B272" s="126" t="s">
        <v>627</v>
      </c>
      <c r="C272" s="371" t="s">
        <v>931</v>
      </c>
      <c r="D272" s="371" t="s">
        <v>934</v>
      </c>
      <c r="E272" s="391">
        <v>0</v>
      </c>
      <c r="F272" s="391"/>
      <c r="G272" s="391">
        <v>0</v>
      </c>
      <c r="H272" s="393">
        <v>15</v>
      </c>
      <c r="I272" s="393"/>
      <c r="J272" s="372">
        <f t="shared" si="34"/>
        <v>0</v>
      </c>
      <c r="K272" s="398" t="s">
        <v>935</v>
      </c>
    </row>
    <row r="273" s="29" customFormat="1" customHeight="1" spans="1:11">
      <c r="A273" s="370">
        <v>254</v>
      </c>
      <c r="B273" s="126" t="s">
        <v>627</v>
      </c>
      <c r="C273" s="58" t="s">
        <v>936</v>
      </c>
      <c r="D273" s="147" t="s">
        <v>937</v>
      </c>
      <c r="E273" s="123">
        <v>16.4</v>
      </c>
      <c r="F273" s="123"/>
      <c r="G273" s="123">
        <v>0</v>
      </c>
      <c r="H273" s="123">
        <v>1000</v>
      </c>
      <c r="I273" s="123"/>
      <c r="J273" s="372">
        <f t="shared" si="34"/>
        <v>16.4</v>
      </c>
      <c r="K273" s="79" t="s">
        <v>938</v>
      </c>
    </row>
    <row r="274" s="29" customFormat="1" ht="26" customHeight="1" spans="1:11">
      <c r="A274" s="370">
        <v>255</v>
      </c>
      <c r="B274" s="126" t="s">
        <v>627</v>
      </c>
      <c r="C274" s="371" t="s">
        <v>939</v>
      </c>
      <c r="D274" s="371" t="s">
        <v>940</v>
      </c>
      <c r="E274" s="391">
        <v>0</v>
      </c>
      <c r="F274" s="391"/>
      <c r="G274" s="391">
        <v>0</v>
      </c>
      <c r="H274" s="393">
        <v>132</v>
      </c>
      <c r="I274" s="393"/>
      <c r="J274" s="372">
        <f t="shared" si="34"/>
        <v>0</v>
      </c>
      <c r="K274" s="398" t="s">
        <v>941</v>
      </c>
    </row>
    <row r="275" s="29" customFormat="1" ht="26" customHeight="1" spans="1:11">
      <c r="A275" s="370">
        <v>256</v>
      </c>
      <c r="B275" s="126" t="s">
        <v>627</v>
      </c>
      <c r="C275" s="371" t="s">
        <v>942</v>
      </c>
      <c r="D275" s="371" t="s">
        <v>943</v>
      </c>
      <c r="E275" s="391">
        <v>0</v>
      </c>
      <c r="F275" s="391"/>
      <c r="G275" s="391">
        <v>0</v>
      </c>
      <c r="H275" s="393">
        <v>72.88</v>
      </c>
      <c r="I275" s="393"/>
      <c r="J275" s="372">
        <f t="shared" si="34"/>
        <v>0</v>
      </c>
      <c r="K275" s="398" t="s">
        <v>944</v>
      </c>
    </row>
    <row r="276" s="29" customFormat="1" customHeight="1" spans="1:11">
      <c r="A276" s="370">
        <v>257</v>
      </c>
      <c r="B276" s="126" t="s">
        <v>627</v>
      </c>
      <c r="C276" s="58" t="s">
        <v>945</v>
      </c>
      <c r="D276" s="147" t="s">
        <v>946</v>
      </c>
      <c r="E276" s="123">
        <v>24.13</v>
      </c>
      <c r="F276" s="123"/>
      <c r="G276" s="123">
        <v>0</v>
      </c>
      <c r="H276" s="123">
        <v>500</v>
      </c>
      <c r="I276" s="123"/>
      <c r="J276" s="372">
        <f t="shared" si="34"/>
        <v>24.13</v>
      </c>
      <c r="K276" s="79" t="s">
        <v>947</v>
      </c>
    </row>
    <row r="277" customHeight="1" spans="1:11">
      <c r="A277" s="370">
        <v>258</v>
      </c>
      <c r="B277" s="389" t="s">
        <v>569</v>
      </c>
      <c r="C277" s="79" t="s">
        <v>948</v>
      </c>
      <c r="D277" s="79" t="s">
        <v>949</v>
      </c>
      <c r="E277" s="123">
        <v>80</v>
      </c>
      <c r="F277" s="123"/>
      <c r="G277" s="123">
        <v>0.14</v>
      </c>
      <c r="H277" s="123"/>
      <c r="I277" s="123">
        <v>-0.14</v>
      </c>
      <c r="J277" s="372">
        <f t="shared" si="34"/>
        <v>79.86</v>
      </c>
      <c r="K277" s="79"/>
    </row>
    <row r="278" s="29" customFormat="1" ht="26" customHeight="1" spans="1:11">
      <c r="A278" s="370">
        <v>259</v>
      </c>
      <c r="B278" s="126" t="s">
        <v>627</v>
      </c>
      <c r="C278" s="371" t="s">
        <v>948</v>
      </c>
      <c r="D278" s="371" t="s">
        <v>950</v>
      </c>
      <c r="E278" s="391">
        <v>29.5</v>
      </c>
      <c r="F278" s="391"/>
      <c r="G278" s="391">
        <v>29.5</v>
      </c>
      <c r="H278" s="393">
        <v>144.02</v>
      </c>
      <c r="I278" s="393">
        <v>-29.5</v>
      </c>
      <c r="J278" s="372">
        <f t="shared" si="34"/>
        <v>0</v>
      </c>
      <c r="K278" s="398" t="s">
        <v>951</v>
      </c>
    </row>
    <row r="279" s="29" customFormat="1" ht="26" customHeight="1" spans="1:11">
      <c r="A279" s="370">
        <v>260</v>
      </c>
      <c r="B279" s="126" t="s">
        <v>627</v>
      </c>
      <c r="C279" s="371" t="s">
        <v>952</v>
      </c>
      <c r="D279" s="371" t="s">
        <v>953</v>
      </c>
      <c r="E279" s="391">
        <v>19</v>
      </c>
      <c r="F279" s="391"/>
      <c r="G279" s="391">
        <v>0</v>
      </c>
      <c r="H279" s="393">
        <v>850</v>
      </c>
      <c r="I279" s="393"/>
      <c r="J279" s="372">
        <f t="shared" si="34"/>
        <v>19</v>
      </c>
      <c r="K279" s="398" t="s">
        <v>954</v>
      </c>
    </row>
    <row r="280" s="29" customFormat="1" customHeight="1" spans="1:11">
      <c r="A280" s="370">
        <v>261</v>
      </c>
      <c r="B280" s="126" t="s">
        <v>627</v>
      </c>
      <c r="C280" s="58" t="s">
        <v>955</v>
      </c>
      <c r="D280" s="147" t="s">
        <v>956</v>
      </c>
      <c r="E280" s="123">
        <v>0</v>
      </c>
      <c r="F280" s="123"/>
      <c r="G280" s="123">
        <v>0</v>
      </c>
      <c r="H280" s="123">
        <v>160</v>
      </c>
      <c r="I280" s="123"/>
      <c r="J280" s="372">
        <f t="shared" si="34"/>
        <v>0</v>
      </c>
      <c r="K280" s="79" t="s">
        <v>957</v>
      </c>
    </row>
    <row r="281" s="29" customFormat="1" customHeight="1" spans="1:11">
      <c r="A281" s="370">
        <v>262</v>
      </c>
      <c r="B281" s="126" t="s">
        <v>627</v>
      </c>
      <c r="C281" s="58" t="s">
        <v>958</v>
      </c>
      <c r="D281" s="147" t="s">
        <v>959</v>
      </c>
      <c r="E281" s="123">
        <v>0</v>
      </c>
      <c r="F281" s="123"/>
      <c r="G281" s="123">
        <v>0</v>
      </c>
      <c r="H281" s="123">
        <v>600</v>
      </c>
      <c r="I281" s="123"/>
      <c r="J281" s="372">
        <f t="shared" si="34"/>
        <v>0</v>
      </c>
      <c r="K281" s="79" t="s">
        <v>960</v>
      </c>
    </row>
    <row r="282" s="29" customFormat="1" customHeight="1" spans="1:11">
      <c r="A282" s="370">
        <v>263</v>
      </c>
      <c r="B282" s="126" t="s">
        <v>627</v>
      </c>
      <c r="C282" s="58" t="s">
        <v>961</v>
      </c>
      <c r="D282" s="147" t="s">
        <v>962</v>
      </c>
      <c r="E282" s="123">
        <v>0</v>
      </c>
      <c r="F282" s="123"/>
      <c r="G282" s="123">
        <v>0</v>
      </c>
      <c r="H282" s="123">
        <v>36</v>
      </c>
      <c r="I282" s="123"/>
      <c r="J282" s="372">
        <f t="shared" si="34"/>
        <v>0</v>
      </c>
      <c r="K282" s="79" t="s">
        <v>963</v>
      </c>
    </row>
    <row r="283" s="29" customFormat="1" ht="26" customHeight="1" spans="1:11">
      <c r="A283" s="370">
        <v>264</v>
      </c>
      <c r="B283" s="126" t="s">
        <v>627</v>
      </c>
      <c r="C283" s="371" t="s">
        <v>964</v>
      </c>
      <c r="D283" s="371" t="s">
        <v>965</v>
      </c>
      <c r="E283" s="391">
        <v>0</v>
      </c>
      <c r="F283" s="391"/>
      <c r="G283" s="391">
        <v>0</v>
      </c>
      <c r="H283" s="393">
        <v>5.16</v>
      </c>
      <c r="I283" s="393"/>
      <c r="J283" s="372">
        <f t="shared" si="34"/>
        <v>0</v>
      </c>
      <c r="K283" s="398" t="s">
        <v>966</v>
      </c>
    </row>
    <row r="284" s="29" customFormat="1" ht="26" customHeight="1" spans="1:11">
      <c r="A284" s="370">
        <v>265</v>
      </c>
      <c r="B284" s="126" t="s">
        <v>627</v>
      </c>
      <c r="C284" s="371" t="s">
        <v>967</v>
      </c>
      <c r="D284" s="371" t="s">
        <v>968</v>
      </c>
      <c r="E284" s="391">
        <v>0</v>
      </c>
      <c r="F284" s="391"/>
      <c r="G284" s="391">
        <v>0</v>
      </c>
      <c r="H284" s="393">
        <v>36</v>
      </c>
      <c r="I284" s="393"/>
      <c r="J284" s="372">
        <f t="shared" si="34"/>
        <v>0</v>
      </c>
      <c r="K284" s="398" t="s">
        <v>969</v>
      </c>
    </row>
    <row r="285" s="29" customFormat="1" customHeight="1" spans="1:11">
      <c r="A285" s="370">
        <v>266</v>
      </c>
      <c r="B285" s="389" t="s">
        <v>569</v>
      </c>
      <c r="C285" s="79" t="s">
        <v>970</v>
      </c>
      <c r="D285" s="394" t="s">
        <v>873</v>
      </c>
      <c r="E285" s="123"/>
      <c r="F285" s="123"/>
      <c r="G285" s="123"/>
      <c r="H285" s="123">
        <v>238.91</v>
      </c>
      <c r="I285" s="123">
        <v>0</v>
      </c>
      <c r="J285" s="372">
        <f t="shared" si="34"/>
        <v>0</v>
      </c>
      <c r="K285" s="394" t="s">
        <v>971</v>
      </c>
    </row>
    <row r="286" s="29" customFormat="1" ht="26" customHeight="1" spans="1:11">
      <c r="A286" s="370">
        <v>267</v>
      </c>
      <c r="B286" s="126" t="s">
        <v>569</v>
      </c>
      <c r="C286" s="371" t="s">
        <v>972</v>
      </c>
      <c r="D286" s="371" t="s">
        <v>973</v>
      </c>
      <c r="E286" s="391">
        <v>6</v>
      </c>
      <c r="F286" s="391"/>
      <c r="G286" s="391">
        <v>0</v>
      </c>
      <c r="H286" s="393"/>
      <c r="I286" s="393"/>
      <c r="J286" s="372">
        <f t="shared" si="34"/>
        <v>6</v>
      </c>
      <c r="K286" s="398"/>
    </row>
    <row r="287" s="29" customFormat="1" ht="26" customHeight="1" spans="1:11">
      <c r="A287" s="370">
        <v>268</v>
      </c>
      <c r="B287" s="126" t="s">
        <v>569</v>
      </c>
      <c r="C287" s="371" t="s">
        <v>972</v>
      </c>
      <c r="D287" s="371" t="s">
        <v>974</v>
      </c>
      <c r="E287" s="391">
        <v>20</v>
      </c>
      <c r="F287" s="391"/>
      <c r="G287" s="391">
        <v>10</v>
      </c>
      <c r="H287" s="393"/>
      <c r="I287" s="393"/>
      <c r="J287" s="372">
        <f t="shared" si="34"/>
        <v>20</v>
      </c>
      <c r="K287" s="398"/>
    </row>
    <row r="288" s="29" customFormat="1" ht="26" customHeight="1" spans="1:11">
      <c r="A288" s="370">
        <v>269</v>
      </c>
      <c r="B288" s="126" t="s">
        <v>569</v>
      </c>
      <c r="C288" s="371" t="s">
        <v>972</v>
      </c>
      <c r="D288" s="371" t="s">
        <v>975</v>
      </c>
      <c r="E288" s="391"/>
      <c r="F288" s="391"/>
      <c r="G288" s="391"/>
      <c r="H288" s="393">
        <v>10</v>
      </c>
      <c r="I288" s="393">
        <v>0</v>
      </c>
      <c r="J288" s="372">
        <f t="shared" si="34"/>
        <v>0</v>
      </c>
      <c r="K288" s="398"/>
    </row>
    <row r="289" s="29" customFormat="1" ht="26" customHeight="1" spans="1:11">
      <c r="A289" s="370">
        <v>270</v>
      </c>
      <c r="B289" s="126" t="s">
        <v>569</v>
      </c>
      <c r="C289" s="371" t="s">
        <v>976</v>
      </c>
      <c r="D289" s="371" t="s">
        <v>886</v>
      </c>
      <c r="E289" s="391">
        <v>21</v>
      </c>
      <c r="F289" s="391"/>
      <c r="G289" s="391">
        <v>21</v>
      </c>
      <c r="H289" s="393"/>
      <c r="I289" s="393"/>
      <c r="J289" s="372">
        <f t="shared" si="34"/>
        <v>21</v>
      </c>
      <c r="K289" s="398" t="s">
        <v>977</v>
      </c>
    </row>
    <row r="290" s="334" customFormat="1" customHeight="1" spans="1:11">
      <c r="A290" s="353">
        <v>271</v>
      </c>
      <c r="B290" s="376" t="s">
        <v>978</v>
      </c>
      <c r="C290" s="377"/>
      <c r="D290" s="378"/>
      <c r="E290" s="355">
        <f t="shared" ref="E290:J290" si="35">SUM(E205:E289)</f>
        <v>6383.204588</v>
      </c>
      <c r="F290" s="355">
        <f t="shared" si="35"/>
        <v>0</v>
      </c>
      <c r="G290" s="355">
        <f t="shared" si="35"/>
        <v>4456.09</v>
      </c>
      <c r="H290" s="355">
        <f t="shared" si="35"/>
        <v>23881.52</v>
      </c>
      <c r="I290" s="355">
        <f t="shared" si="35"/>
        <v>147.688415</v>
      </c>
      <c r="J290" s="355">
        <f t="shared" si="35"/>
        <v>6530.893003</v>
      </c>
      <c r="K290" s="388"/>
    </row>
    <row r="291" s="29" customFormat="1" ht="26" customHeight="1" spans="1:11">
      <c r="A291" s="370">
        <v>272</v>
      </c>
      <c r="B291" s="126" t="s">
        <v>569</v>
      </c>
      <c r="C291" s="371" t="s">
        <v>979</v>
      </c>
      <c r="D291" s="371" t="s">
        <v>980</v>
      </c>
      <c r="E291" s="391">
        <v>1.86</v>
      </c>
      <c r="F291" s="391"/>
      <c r="G291" s="391">
        <v>0.02</v>
      </c>
      <c r="H291" s="393"/>
      <c r="I291" s="393"/>
      <c r="J291" s="372">
        <f t="shared" ref="J291:J298" si="36">E291+I291</f>
        <v>1.86</v>
      </c>
      <c r="K291" s="398" t="s">
        <v>981</v>
      </c>
    </row>
    <row r="292" s="29" customFormat="1" ht="26" customHeight="1" spans="1:11">
      <c r="A292" s="370">
        <v>273</v>
      </c>
      <c r="B292" s="126" t="s">
        <v>569</v>
      </c>
      <c r="C292" s="371" t="s">
        <v>979</v>
      </c>
      <c r="D292" s="371" t="s">
        <v>982</v>
      </c>
      <c r="E292" s="391">
        <v>23.42</v>
      </c>
      <c r="F292" s="391"/>
      <c r="G292" s="391">
        <v>4.69</v>
      </c>
      <c r="H292" s="393"/>
      <c r="I292" s="393"/>
      <c r="J292" s="372">
        <f t="shared" si="36"/>
        <v>23.42</v>
      </c>
      <c r="K292" s="398" t="s">
        <v>983</v>
      </c>
    </row>
    <row r="293" s="29" customFormat="1" ht="26" customHeight="1" spans="1:11">
      <c r="A293" s="370">
        <v>274</v>
      </c>
      <c r="B293" s="126" t="s">
        <v>569</v>
      </c>
      <c r="C293" s="371" t="s">
        <v>979</v>
      </c>
      <c r="D293" s="371" t="s">
        <v>984</v>
      </c>
      <c r="E293" s="391">
        <v>30</v>
      </c>
      <c r="F293" s="391"/>
      <c r="G293" s="391">
        <v>20</v>
      </c>
      <c r="H293" s="393"/>
      <c r="I293" s="393"/>
      <c r="J293" s="372">
        <f t="shared" si="36"/>
        <v>30</v>
      </c>
      <c r="K293" s="398"/>
    </row>
    <row r="294" s="29" customFormat="1" ht="26" customHeight="1" spans="1:11">
      <c r="A294" s="370">
        <v>275</v>
      </c>
      <c r="B294" s="126" t="s">
        <v>627</v>
      </c>
      <c r="C294" s="371" t="s">
        <v>979</v>
      </c>
      <c r="D294" s="371" t="s">
        <v>985</v>
      </c>
      <c r="E294" s="391">
        <v>0</v>
      </c>
      <c r="F294" s="391"/>
      <c r="G294" s="391">
        <v>0</v>
      </c>
      <c r="H294" s="393">
        <v>2507.73</v>
      </c>
      <c r="I294" s="393"/>
      <c r="J294" s="372">
        <f t="shared" si="36"/>
        <v>0</v>
      </c>
      <c r="K294" s="398" t="s">
        <v>986</v>
      </c>
    </row>
    <row r="295" s="29" customFormat="1" ht="26" customHeight="1" spans="1:11">
      <c r="A295" s="370">
        <v>276</v>
      </c>
      <c r="B295" s="126" t="s">
        <v>627</v>
      </c>
      <c r="C295" s="371" t="s">
        <v>979</v>
      </c>
      <c r="D295" s="371" t="s">
        <v>987</v>
      </c>
      <c r="E295" s="391">
        <v>0</v>
      </c>
      <c r="F295" s="391"/>
      <c r="G295" s="391">
        <v>0</v>
      </c>
      <c r="H295" s="393">
        <v>220</v>
      </c>
      <c r="I295" s="393"/>
      <c r="J295" s="372">
        <f t="shared" si="36"/>
        <v>0</v>
      </c>
      <c r="K295" s="398" t="s">
        <v>988</v>
      </c>
    </row>
    <row r="296" s="29" customFormat="1" customHeight="1" spans="1:11">
      <c r="A296" s="370">
        <v>277</v>
      </c>
      <c r="B296" s="126" t="s">
        <v>627</v>
      </c>
      <c r="C296" s="79" t="s">
        <v>979</v>
      </c>
      <c r="D296" s="147" t="s">
        <v>989</v>
      </c>
      <c r="E296" s="123">
        <v>0</v>
      </c>
      <c r="F296" s="123"/>
      <c r="G296" s="123">
        <v>0</v>
      </c>
      <c r="H296" s="123">
        <v>29.27</v>
      </c>
      <c r="I296" s="123"/>
      <c r="J296" s="372">
        <f t="shared" si="36"/>
        <v>0</v>
      </c>
      <c r="K296" s="79"/>
    </row>
    <row r="297" s="29" customFormat="1" customHeight="1" spans="1:11">
      <c r="A297" s="370">
        <v>278</v>
      </c>
      <c r="B297" s="126" t="s">
        <v>627</v>
      </c>
      <c r="C297" s="79" t="s">
        <v>979</v>
      </c>
      <c r="D297" s="147" t="s">
        <v>990</v>
      </c>
      <c r="E297" s="123">
        <v>0</v>
      </c>
      <c r="F297" s="123"/>
      <c r="G297" s="123">
        <v>0</v>
      </c>
      <c r="H297" s="123">
        <v>68.14</v>
      </c>
      <c r="I297" s="123"/>
      <c r="J297" s="372">
        <f t="shared" si="36"/>
        <v>0</v>
      </c>
      <c r="K297" s="79" t="s">
        <v>991</v>
      </c>
    </row>
    <row r="298" s="29" customFormat="1" ht="26" customHeight="1" spans="1:11">
      <c r="A298" s="370">
        <v>279</v>
      </c>
      <c r="B298" s="126" t="s">
        <v>627</v>
      </c>
      <c r="C298" s="371" t="s">
        <v>979</v>
      </c>
      <c r="D298" s="371" t="s">
        <v>992</v>
      </c>
      <c r="E298" s="391">
        <v>10.89</v>
      </c>
      <c r="F298" s="391"/>
      <c r="G298" s="391">
        <v>0</v>
      </c>
      <c r="H298" s="393"/>
      <c r="I298" s="393"/>
      <c r="J298" s="372">
        <f t="shared" si="36"/>
        <v>10.89</v>
      </c>
      <c r="K298" s="398" t="s">
        <v>993</v>
      </c>
    </row>
    <row r="299" s="334" customFormat="1" customHeight="1" spans="1:11">
      <c r="A299" s="353">
        <v>280</v>
      </c>
      <c r="B299" s="376" t="s">
        <v>994</v>
      </c>
      <c r="C299" s="377"/>
      <c r="D299" s="378"/>
      <c r="E299" s="355">
        <f t="shared" ref="E299:J299" si="37">SUM(E291:E298)</f>
        <v>66.17</v>
      </c>
      <c r="F299" s="355">
        <f t="shared" si="37"/>
        <v>0</v>
      </c>
      <c r="G299" s="355">
        <f t="shared" si="37"/>
        <v>24.71</v>
      </c>
      <c r="H299" s="355">
        <f t="shared" si="37"/>
        <v>2825.14</v>
      </c>
      <c r="I299" s="355">
        <f t="shared" si="37"/>
        <v>0</v>
      </c>
      <c r="J299" s="355">
        <f t="shared" si="37"/>
        <v>66.17</v>
      </c>
      <c r="K299" s="388"/>
    </row>
    <row r="300" s="29" customFormat="1" ht="26" customHeight="1" spans="1:11">
      <c r="A300" s="370">
        <v>281</v>
      </c>
      <c r="B300" s="126" t="s">
        <v>572</v>
      </c>
      <c r="C300" s="371" t="s">
        <v>995</v>
      </c>
      <c r="D300" s="371" t="s">
        <v>996</v>
      </c>
      <c r="E300" s="391">
        <v>281.67</v>
      </c>
      <c r="F300" s="391"/>
      <c r="G300" s="391">
        <v>251.6879</v>
      </c>
      <c r="H300" s="393">
        <v>0</v>
      </c>
      <c r="I300" s="393">
        <v>0</v>
      </c>
      <c r="J300" s="372">
        <f t="shared" ref="J300:J330" si="38">E300+I300</f>
        <v>281.67</v>
      </c>
      <c r="K300" s="398" t="s">
        <v>997</v>
      </c>
    </row>
    <row r="301" s="29" customFormat="1" ht="26" customHeight="1" spans="1:11">
      <c r="A301" s="370">
        <v>282</v>
      </c>
      <c r="B301" s="126" t="s">
        <v>572</v>
      </c>
      <c r="C301" s="371" t="s">
        <v>995</v>
      </c>
      <c r="D301" s="371" t="s">
        <v>998</v>
      </c>
      <c r="E301" s="391">
        <v>5</v>
      </c>
      <c r="F301" s="391"/>
      <c r="G301" s="391">
        <v>0</v>
      </c>
      <c r="H301" s="393">
        <v>0</v>
      </c>
      <c r="I301" s="393">
        <v>0</v>
      </c>
      <c r="J301" s="372">
        <f t="shared" si="38"/>
        <v>5</v>
      </c>
      <c r="K301" s="398"/>
    </row>
    <row r="302" s="29" customFormat="1" customHeight="1" spans="1:11">
      <c r="A302" s="370">
        <v>283</v>
      </c>
      <c r="B302" s="126" t="s">
        <v>572</v>
      </c>
      <c r="C302" s="371" t="s">
        <v>995</v>
      </c>
      <c r="D302" s="371" t="s">
        <v>999</v>
      </c>
      <c r="E302" s="372">
        <v>2</v>
      </c>
      <c r="F302" s="372"/>
      <c r="G302" s="372">
        <v>0</v>
      </c>
      <c r="H302" s="372">
        <v>0</v>
      </c>
      <c r="I302" s="372">
        <v>0</v>
      </c>
      <c r="J302" s="372">
        <f t="shared" si="38"/>
        <v>2</v>
      </c>
      <c r="K302" s="79"/>
    </row>
    <row r="303" s="29" customFormat="1" ht="26" customHeight="1" spans="1:11">
      <c r="A303" s="370">
        <v>284</v>
      </c>
      <c r="B303" s="126" t="s">
        <v>576</v>
      </c>
      <c r="C303" s="371" t="s">
        <v>995</v>
      </c>
      <c r="D303" s="371" t="s">
        <v>1000</v>
      </c>
      <c r="E303" s="391">
        <v>198.32</v>
      </c>
      <c r="F303" s="391"/>
      <c r="G303" s="391">
        <v>16.73</v>
      </c>
      <c r="H303" s="393">
        <v>-16.73</v>
      </c>
      <c r="I303" s="393">
        <v>-16.73</v>
      </c>
      <c r="J303" s="372">
        <f t="shared" si="38"/>
        <v>181.59</v>
      </c>
      <c r="K303" s="398" t="s">
        <v>1001</v>
      </c>
    </row>
    <row r="304" s="29" customFormat="1" customHeight="1" spans="1:11">
      <c r="A304" s="370">
        <v>285</v>
      </c>
      <c r="B304" s="126" t="s">
        <v>576</v>
      </c>
      <c r="C304" s="79" t="s">
        <v>995</v>
      </c>
      <c r="D304" s="79" t="s">
        <v>1002</v>
      </c>
      <c r="E304" s="391">
        <v>330</v>
      </c>
      <c r="F304" s="391"/>
      <c r="G304" s="391">
        <v>330</v>
      </c>
      <c r="H304" s="391">
        <v>210</v>
      </c>
      <c r="I304" s="391">
        <v>210</v>
      </c>
      <c r="J304" s="372">
        <f t="shared" si="38"/>
        <v>540</v>
      </c>
      <c r="K304" s="79" t="s">
        <v>1003</v>
      </c>
    </row>
    <row r="305" s="29" customFormat="1" ht="26" customHeight="1" spans="1:11">
      <c r="A305" s="370">
        <v>286</v>
      </c>
      <c r="B305" s="126" t="s">
        <v>576</v>
      </c>
      <c r="C305" s="371" t="s">
        <v>995</v>
      </c>
      <c r="D305" s="371" t="s">
        <v>1004</v>
      </c>
      <c r="E305" s="391">
        <v>750</v>
      </c>
      <c r="F305" s="391"/>
      <c r="G305" s="391">
        <v>750</v>
      </c>
      <c r="H305" s="393"/>
      <c r="I305" s="393"/>
      <c r="J305" s="372">
        <f t="shared" si="38"/>
        <v>750</v>
      </c>
      <c r="K305" s="398" t="s">
        <v>1005</v>
      </c>
    </row>
    <row r="306" s="29" customFormat="1" ht="26" customHeight="1" spans="1:11">
      <c r="A306" s="370">
        <v>287</v>
      </c>
      <c r="B306" s="126" t="s">
        <v>576</v>
      </c>
      <c r="C306" s="371" t="s">
        <v>995</v>
      </c>
      <c r="D306" s="371" t="s">
        <v>1006</v>
      </c>
      <c r="E306" s="391">
        <v>5</v>
      </c>
      <c r="F306" s="391"/>
      <c r="G306" s="391">
        <v>5</v>
      </c>
      <c r="H306" s="393"/>
      <c r="I306" s="393"/>
      <c r="J306" s="372">
        <f t="shared" si="38"/>
        <v>5</v>
      </c>
      <c r="K306" s="398" t="s">
        <v>1007</v>
      </c>
    </row>
    <row r="307" s="29" customFormat="1" ht="26" customHeight="1" spans="1:11">
      <c r="A307" s="370">
        <v>288</v>
      </c>
      <c r="B307" s="126" t="s">
        <v>576</v>
      </c>
      <c r="C307" s="371" t="s">
        <v>995</v>
      </c>
      <c r="D307" s="371" t="s">
        <v>1008</v>
      </c>
      <c r="E307" s="391">
        <v>35</v>
      </c>
      <c r="F307" s="391"/>
      <c r="G307" s="391">
        <v>35</v>
      </c>
      <c r="H307" s="393">
        <v>22</v>
      </c>
      <c r="I307" s="393">
        <v>22</v>
      </c>
      <c r="J307" s="372">
        <f t="shared" si="38"/>
        <v>57</v>
      </c>
      <c r="K307" s="398" t="s">
        <v>1009</v>
      </c>
    </row>
    <row r="308" s="29" customFormat="1" ht="26" customHeight="1" spans="1:11">
      <c r="A308" s="370">
        <v>289</v>
      </c>
      <c r="B308" s="126" t="s">
        <v>576</v>
      </c>
      <c r="C308" s="371" t="s">
        <v>995</v>
      </c>
      <c r="D308" s="371" t="s">
        <v>1010</v>
      </c>
      <c r="E308" s="391">
        <v>1</v>
      </c>
      <c r="F308" s="391"/>
      <c r="G308" s="391">
        <v>1</v>
      </c>
      <c r="H308" s="393">
        <v>0</v>
      </c>
      <c r="I308" s="393">
        <v>0</v>
      </c>
      <c r="J308" s="372">
        <f t="shared" si="38"/>
        <v>1</v>
      </c>
      <c r="K308" s="398" t="s">
        <v>1011</v>
      </c>
    </row>
    <row r="309" s="29" customFormat="1" ht="26" customHeight="1" spans="1:11">
      <c r="A309" s="370">
        <v>290</v>
      </c>
      <c r="B309" s="126" t="s">
        <v>576</v>
      </c>
      <c r="C309" s="371" t="s">
        <v>995</v>
      </c>
      <c r="D309" s="371" t="s">
        <v>1012</v>
      </c>
      <c r="E309" s="391">
        <v>15</v>
      </c>
      <c r="F309" s="391"/>
      <c r="G309" s="391">
        <v>15</v>
      </c>
      <c r="H309" s="393"/>
      <c r="I309" s="393"/>
      <c r="J309" s="372">
        <f t="shared" si="38"/>
        <v>15</v>
      </c>
      <c r="K309" s="398"/>
    </row>
    <row r="310" s="29" customFormat="1" customHeight="1" spans="1:11">
      <c r="A310" s="370">
        <v>291</v>
      </c>
      <c r="B310" s="126" t="s">
        <v>576</v>
      </c>
      <c r="C310" s="79" t="s">
        <v>995</v>
      </c>
      <c r="D310" s="79" t="s">
        <v>1013</v>
      </c>
      <c r="E310" s="391">
        <v>300</v>
      </c>
      <c r="F310" s="391"/>
      <c r="G310" s="391">
        <v>300</v>
      </c>
      <c r="H310" s="391"/>
      <c r="I310" s="391"/>
      <c r="J310" s="372">
        <f t="shared" si="38"/>
        <v>300</v>
      </c>
      <c r="K310" s="79" t="s">
        <v>1014</v>
      </c>
    </row>
    <row r="311" s="29" customFormat="1" customHeight="1" spans="1:11">
      <c r="A311" s="370">
        <v>292</v>
      </c>
      <c r="B311" s="126" t="s">
        <v>576</v>
      </c>
      <c r="C311" s="79" t="s">
        <v>995</v>
      </c>
      <c r="D311" s="79" t="s">
        <v>1015</v>
      </c>
      <c r="E311" s="390">
        <v>21</v>
      </c>
      <c r="F311" s="390"/>
      <c r="G311" s="390">
        <v>14.958</v>
      </c>
      <c r="H311" s="390"/>
      <c r="I311" s="390">
        <v>-5</v>
      </c>
      <c r="J311" s="372">
        <f t="shared" si="38"/>
        <v>16</v>
      </c>
      <c r="K311" s="79" t="s">
        <v>1016</v>
      </c>
    </row>
    <row r="312" s="29" customFormat="1" customHeight="1" spans="1:11">
      <c r="A312" s="370">
        <v>293</v>
      </c>
      <c r="B312" s="126" t="s">
        <v>576</v>
      </c>
      <c r="C312" s="79" t="s">
        <v>995</v>
      </c>
      <c r="D312" s="79" t="s">
        <v>1017</v>
      </c>
      <c r="E312" s="391">
        <v>363</v>
      </c>
      <c r="F312" s="391"/>
      <c r="G312" s="391">
        <v>256.633</v>
      </c>
      <c r="H312" s="391"/>
      <c r="I312" s="391">
        <v>-120</v>
      </c>
      <c r="J312" s="372">
        <f t="shared" si="38"/>
        <v>243</v>
      </c>
      <c r="K312" s="79" t="s">
        <v>1018</v>
      </c>
    </row>
    <row r="313" s="29" customFormat="1" customHeight="1" spans="1:11">
      <c r="A313" s="370">
        <v>294</v>
      </c>
      <c r="B313" s="126" t="s">
        <v>576</v>
      </c>
      <c r="C313" s="79" t="s">
        <v>995</v>
      </c>
      <c r="D313" s="79" t="s">
        <v>1019</v>
      </c>
      <c r="E313" s="390">
        <v>32.4</v>
      </c>
      <c r="F313" s="390"/>
      <c r="G313" s="390">
        <v>16.4</v>
      </c>
      <c r="H313" s="390"/>
      <c r="I313" s="390"/>
      <c r="J313" s="372">
        <f t="shared" si="38"/>
        <v>32.4</v>
      </c>
      <c r="K313" s="402" t="s">
        <v>1020</v>
      </c>
    </row>
    <row r="314" s="29" customFormat="1" customHeight="1" spans="1:11">
      <c r="A314" s="370">
        <v>295</v>
      </c>
      <c r="B314" s="126" t="s">
        <v>576</v>
      </c>
      <c r="C314" s="79" t="s">
        <v>995</v>
      </c>
      <c r="D314" s="79" t="s">
        <v>1021</v>
      </c>
      <c r="E314" s="391"/>
      <c r="F314" s="391"/>
      <c r="G314" s="391">
        <v>0</v>
      </c>
      <c r="H314" s="391">
        <v>3.84</v>
      </c>
      <c r="I314" s="391">
        <v>3.84</v>
      </c>
      <c r="J314" s="372">
        <f t="shared" si="38"/>
        <v>3.84</v>
      </c>
      <c r="K314" s="79" t="s">
        <v>1022</v>
      </c>
    </row>
    <row r="315" s="29" customFormat="1" customHeight="1" spans="1:11">
      <c r="A315" s="370">
        <v>296</v>
      </c>
      <c r="B315" s="126" t="s">
        <v>576</v>
      </c>
      <c r="C315" s="79" t="s">
        <v>995</v>
      </c>
      <c r="D315" s="79" t="s">
        <v>1023</v>
      </c>
      <c r="E315" s="390">
        <v>38</v>
      </c>
      <c r="F315" s="390"/>
      <c r="G315" s="390">
        <v>38</v>
      </c>
      <c r="H315" s="390"/>
      <c r="I315" s="390"/>
      <c r="J315" s="372">
        <f t="shared" si="38"/>
        <v>38</v>
      </c>
      <c r="K315" s="79" t="s">
        <v>1024</v>
      </c>
    </row>
    <row r="316" s="29" customFormat="1" customHeight="1" spans="1:11">
      <c r="A316" s="370">
        <v>297</v>
      </c>
      <c r="B316" s="126" t="s">
        <v>576</v>
      </c>
      <c r="C316" s="79" t="s">
        <v>995</v>
      </c>
      <c r="D316" s="79" t="s">
        <v>1025</v>
      </c>
      <c r="E316" s="391">
        <v>17.76</v>
      </c>
      <c r="F316" s="391"/>
      <c r="G316" s="391">
        <v>17.76</v>
      </c>
      <c r="H316" s="391"/>
      <c r="I316" s="391"/>
      <c r="J316" s="372">
        <f t="shared" si="38"/>
        <v>17.76</v>
      </c>
      <c r="K316" s="79" t="s">
        <v>1026</v>
      </c>
    </row>
    <row r="317" s="29" customFormat="1" ht="26" customHeight="1" spans="1:11">
      <c r="A317" s="370">
        <v>298</v>
      </c>
      <c r="B317" s="126" t="s">
        <v>576</v>
      </c>
      <c r="C317" s="371" t="s">
        <v>995</v>
      </c>
      <c r="D317" s="371" t="s">
        <v>1027</v>
      </c>
      <c r="E317" s="391">
        <v>35</v>
      </c>
      <c r="F317" s="391"/>
      <c r="G317" s="391">
        <v>35</v>
      </c>
      <c r="H317" s="393"/>
      <c r="I317" s="393">
        <v>-35</v>
      </c>
      <c r="J317" s="372">
        <f t="shared" si="38"/>
        <v>0</v>
      </c>
      <c r="K317" s="398"/>
    </row>
    <row r="318" s="29" customFormat="1" ht="26" customHeight="1" spans="1:11">
      <c r="A318" s="370">
        <v>299</v>
      </c>
      <c r="B318" s="126" t="s">
        <v>576</v>
      </c>
      <c r="C318" s="371" t="s">
        <v>995</v>
      </c>
      <c r="D318" s="371" t="s">
        <v>1028</v>
      </c>
      <c r="E318" s="391">
        <v>1</v>
      </c>
      <c r="F318" s="391"/>
      <c r="G318" s="391">
        <v>1</v>
      </c>
      <c r="H318" s="393"/>
      <c r="I318" s="393"/>
      <c r="J318" s="372">
        <f t="shared" si="38"/>
        <v>1</v>
      </c>
      <c r="K318" s="398"/>
    </row>
    <row r="319" s="29" customFormat="1" ht="26" customHeight="1" spans="1:11">
      <c r="A319" s="370">
        <v>300</v>
      </c>
      <c r="B319" s="126" t="s">
        <v>576</v>
      </c>
      <c r="C319" s="371" t="s">
        <v>995</v>
      </c>
      <c r="D319" s="371" t="s">
        <v>1029</v>
      </c>
      <c r="E319" s="391">
        <v>1</v>
      </c>
      <c r="F319" s="391"/>
      <c r="G319" s="391">
        <v>1</v>
      </c>
      <c r="H319" s="393"/>
      <c r="I319" s="393"/>
      <c r="J319" s="372">
        <f t="shared" si="38"/>
        <v>1</v>
      </c>
      <c r="K319" s="398"/>
    </row>
    <row r="320" s="29" customFormat="1" ht="26" customHeight="1" spans="1:11">
      <c r="A320" s="370">
        <v>301</v>
      </c>
      <c r="B320" s="126" t="s">
        <v>576</v>
      </c>
      <c r="C320" s="371" t="s">
        <v>995</v>
      </c>
      <c r="D320" s="371" t="s">
        <v>1030</v>
      </c>
      <c r="E320" s="391"/>
      <c r="F320" s="391"/>
      <c r="G320" s="391"/>
      <c r="H320" s="393">
        <v>22</v>
      </c>
      <c r="I320" s="393">
        <v>0</v>
      </c>
      <c r="J320" s="372">
        <f t="shared" si="38"/>
        <v>0</v>
      </c>
      <c r="K320" s="398"/>
    </row>
    <row r="321" s="29" customFormat="1" customHeight="1" spans="1:11">
      <c r="A321" s="370">
        <v>302</v>
      </c>
      <c r="B321" s="126" t="s">
        <v>576</v>
      </c>
      <c r="C321" s="79" t="s">
        <v>995</v>
      </c>
      <c r="D321" s="79" t="s">
        <v>1031</v>
      </c>
      <c r="E321" s="390">
        <v>1</v>
      </c>
      <c r="F321" s="390"/>
      <c r="G321" s="390">
        <v>1</v>
      </c>
      <c r="H321" s="390"/>
      <c r="I321" s="390"/>
      <c r="J321" s="372">
        <f t="shared" si="38"/>
        <v>1</v>
      </c>
      <c r="K321" s="79"/>
    </row>
    <row r="322" s="29" customFormat="1" ht="26" customHeight="1" spans="1:11">
      <c r="A322" s="370">
        <v>303</v>
      </c>
      <c r="B322" s="126" t="s">
        <v>576</v>
      </c>
      <c r="C322" s="371" t="s">
        <v>995</v>
      </c>
      <c r="D322" s="371" t="s">
        <v>1032</v>
      </c>
      <c r="E322" s="391">
        <v>4</v>
      </c>
      <c r="F322" s="391"/>
      <c r="G322" s="391">
        <v>4</v>
      </c>
      <c r="H322" s="393"/>
      <c r="I322" s="393"/>
      <c r="J322" s="372">
        <f t="shared" si="38"/>
        <v>4</v>
      </c>
      <c r="K322" s="398"/>
    </row>
    <row r="323" s="29" customFormat="1" customHeight="1" spans="1:11">
      <c r="A323" s="370">
        <v>304</v>
      </c>
      <c r="B323" s="126" t="s">
        <v>576</v>
      </c>
      <c r="C323" s="79" t="s">
        <v>995</v>
      </c>
      <c r="D323" s="79" t="s">
        <v>1033</v>
      </c>
      <c r="E323" s="390">
        <v>42.24</v>
      </c>
      <c r="F323" s="390"/>
      <c r="G323" s="390">
        <v>42.24</v>
      </c>
      <c r="H323" s="390"/>
      <c r="I323" s="390"/>
      <c r="J323" s="372">
        <f t="shared" si="38"/>
        <v>42.24</v>
      </c>
      <c r="K323" s="79" t="s">
        <v>1034</v>
      </c>
    </row>
    <row r="324" s="29" customFormat="1" ht="26" customHeight="1" spans="1:11">
      <c r="A324" s="370">
        <v>305</v>
      </c>
      <c r="B324" s="126" t="s">
        <v>576</v>
      </c>
      <c r="C324" s="371" t="s">
        <v>995</v>
      </c>
      <c r="D324" s="371" t="s">
        <v>1035</v>
      </c>
      <c r="E324" s="391">
        <v>1</v>
      </c>
      <c r="F324" s="391"/>
      <c r="G324" s="391">
        <v>0</v>
      </c>
      <c r="H324" s="393"/>
      <c r="I324" s="393"/>
      <c r="J324" s="372">
        <f t="shared" si="38"/>
        <v>1</v>
      </c>
      <c r="K324" s="398"/>
    </row>
    <row r="325" s="29" customFormat="1" customHeight="1" spans="1:11">
      <c r="A325" s="370">
        <v>306</v>
      </c>
      <c r="B325" s="126" t="s">
        <v>576</v>
      </c>
      <c r="C325" s="79" t="s">
        <v>995</v>
      </c>
      <c r="D325" s="79" t="s">
        <v>1036</v>
      </c>
      <c r="E325" s="390">
        <v>100</v>
      </c>
      <c r="F325" s="390"/>
      <c r="G325" s="390">
        <v>52.3704</v>
      </c>
      <c r="H325" s="390">
        <v>33</v>
      </c>
      <c r="I325" s="390">
        <v>33</v>
      </c>
      <c r="J325" s="372">
        <f t="shared" si="38"/>
        <v>133</v>
      </c>
      <c r="K325" s="79" t="s">
        <v>1037</v>
      </c>
    </row>
    <row r="326" s="29" customFormat="1" ht="26" customHeight="1" spans="1:11">
      <c r="A326" s="370">
        <v>307</v>
      </c>
      <c r="B326" s="126" t="s">
        <v>576</v>
      </c>
      <c r="C326" s="371" t="s">
        <v>995</v>
      </c>
      <c r="D326" s="371" t="s">
        <v>1038</v>
      </c>
      <c r="E326" s="391">
        <v>10</v>
      </c>
      <c r="F326" s="391"/>
      <c r="G326" s="391">
        <v>5</v>
      </c>
      <c r="H326" s="393">
        <v>12</v>
      </c>
      <c r="I326" s="393">
        <v>0</v>
      </c>
      <c r="J326" s="372">
        <f t="shared" si="38"/>
        <v>10</v>
      </c>
      <c r="K326" s="398"/>
    </row>
    <row r="327" s="29" customFormat="1" ht="26" customHeight="1" spans="1:11">
      <c r="A327" s="370">
        <v>308</v>
      </c>
      <c r="B327" s="126" t="s">
        <v>576</v>
      </c>
      <c r="C327" s="371" t="s">
        <v>995</v>
      </c>
      <c r="D327" s="371" t="s">
        <v>1039</v>
      </c>
      <c r="E327" s="391">
        <v>1</v>
      </c>
      <c r="F327" s="391"/>
      <c r="G327" s="391">
        <v>0</v>
      </c>
      <c r="H327" s="393"/>
      <c r="I327" s="393"/>
      <c r="J327" s="372">
        <f t="shared" si="38"/>
        <v>1</v>
      </c>
      <c r="K327" s="398"/>
    </row>
    <row r="328" s="29" customFormat="1" customHeight="1" spans="1:11">
      <c r="A328" s="370">
        <v>309</v>
      </c>
      <c r="B328" s="126" t="s">
        <v>576</v>
      </c>
      <c r="C328" s="79" t="s">
        <v>995</v>
      </c>
      <c r="D328" s="79" t="s">
        <v>1040</v>
      </c>
      <c r="E328" s="391">
        <v>0.5</v>
      </c>
      <c r="F328" s="391"/>
      <c r="G328" s="391">
        <v>0.227</v>
      </c>
      <c r="H328" s="391"/>
      <c r="I328" s="391"/>
      <c r="J328" s="372">
        <f t="shared" si="38"/>
        <v>0.5</v>
      </c>
      <c r="K328" s="79" t="s">
        <v>1041</v>
      </c>
    </row>
    <row r="329" s="29" customFormat="1" ht="26" customHeight="1" spans="1:11">
      <c r="A329" s="370">
        <v>310</v>
      </c>
      <c r="B329" s="126" t="s">
        <v>576</v>
      </c>
      <c r="C329" s="371" t="s">
        <v>995</v>
      </c>
      <c r="D329" s="371" t="s">
        <v>1042</v>
      </c>
      <c r="E329" s="391">
        <v>1</v>
      </c>
      <c r="F329" s="391"/>
      <c r="G329" s="391">
        <v>0</v>
      </c>
      <c r="H329" s="393"/>
      <c r="I329" s="393"/>
      <c r="J329" s="372">
        <f t="shared" si="38"/>
        <v>1</v>
      </c>
      <c r="K329" s="398"/>
    </row>
    <row r="330" s="29" customFormat="1" ht="26" customHeight="1" spans="1:11">
      <c r="A330" s="370">
        <v>311</v>
      </c>
      <c r="B330" s="126" t="s">
        <v>576</v>
      </c>
      <c r="C330" s="371" t="s">
        <v>995</v>
      </c>
      <c r="D330" s="371" t="s">
        <v>1043</v>
      </c>
      <c r="E330" s="391">
        <v>2</v>
      </c>
      <c r="F330" s="391"/>
      <c r="G330" s="391">
        <v>0</v>
      </c>
      <c r="H330" s="393"/>
      <c r="I330" s="393"/>
      <c r="J330" s="372">
        <f t="shared" si="38"/>
        <v>2</v>
      </c>
      <c r="K330" s="398"/>
    </row>
    <row r="331" s="334" customFormat="1" customHeight="1" spans="1:11">
      <c r="A331" s="353">
        <v>312</v>
      </c>
      <c r="B331" s="376" t="s">
        <v>1044</v>
      </c>
      <c r="C331" s="377"/>
      <c r="D331" s="378"/>
      <c r="E331" s="355">
        <f t="shared" ref="E331:J331" si="39">SUM(E300:E330)</f>
        <v>2594.89</v>
      </c>
      <c r="F331" s="355">
        <f t="shared" si="39"/>
        <v>0</v>
      </c>
      <c r="G331" s="355">
        <f t="shared" si="39"/>
        <v>2190.0063</v>
      </c>
      <c r="H331" s="355">
        <f t="shared" si="39"/>
        <v>286.11</v>
      </c>
      <c r="I331" s="355">
        <f t="shared" si="39"/>
        <v>92.11</v>
      </c>
      <c r="J331" s="355">
        <f t="shared" si="39"/>
        <v>2687</v>
      </c>
      <c r="K331" s="388"/>
    </row>
    <row r="332" s="29" customFormat="1" ht="26" customHeight="1" spans="1:11">
      <c r="A332" s="370">
        <v>313</v>
      </c>
      <c r="B332" s="126" t="s">
        <v>574</v>
      </c>
      <c r="C332" s="371" t="s">
        <v>1045</v>
      </c>
      <c r="D332" s="371" t="s">
        <v>1046</v>
      </c>
      <c r="E332" s="391">
        <v>11.507212</v>
      </c>
      <c r="F332" s="391"/>
      <c r="G332" s="391">
        <v>9.747212</v>
      </c>
      <c r="H332" s="393"/>
      <c r="I332" s="393"/>
      <c r="J332" s="372">
        <f t="shared" ref="J332:J334" si="40">E332+I332</f>
        <v>11.507212</v>
      </c>
      <c r="K332" s="398"/>
    </row>
    <row r="333" s="29" customFormat="1" customHeight="1" spans="1:11">
      <c r="A333" s="370">
        <v>314</v>
      </c>
      <c r="B333" s="126" t="s">
        <v>574</v>
      </c>
      <c r="C333" s="371" t="s">
        <v>1045</v>
      </c>
      <c r="D333" s="371" t="s">
        <v>1047</v>
      </c>
      <c r="E333" s="391">
        <v>13</v>
      </c>
      <c r="F333" s="391"/>
      <c r="G333" s="391">
        <v>0</v>
      </c>
      <c r="H333" s="393">
        <v>3</v>
      </c>
      <c r="I333" s="393">
        <v>3</v>
      </c>
      <c r="J333" s="372">
        <f t="shared" si="40"/>
        <v>16</v>
      </c>
      <c r="K333" s="403"/>
    </row>
    <row r="334" s="29" customFormat="1" customHeight="1" spans="1:11">
      <c r="A334" s="370">
        <v>315</v>
      </c>
      <c r="B334" s="126" t="s">
        <v>574</v>
      </c>
      <c r="C334" s="371" t="s">
        <v>1045</v>
      </c>
      <c r="D334" s="371" t="s">
        <v>1048</v>
      </c>
      <c r="E334" s="391">
        <v>97.5</v>
      </c>
      <c r="F334" s="391"/>
      <c r="G334" s="391">
        <v>76.7358</v>
      </c>
      <c r="H334" s="393"/>
      <c r="I334" s="393"/>
      <c r="J334" s="372">
        <f t="shared" si="40"/>
        <v>97.5</v>
      </c>
      <c r="K334" s="125"/>
    </row>
    <row r="335" s="334" customFormat="1" customHeight="1" spans="1:11">
      <c r="A335" s="353">
        <v>316</v>
      </c>
      <c r="B335" s="376" t="s">
        <v>1049</v>
      </c>
      <c r="C335" s="377"/>
      <c r="D335" s="378"/>
      <c r="E335" s="355">
        <f t="shared" ref="E335:J335" si="41">SUM(E332:E334)</f>
        <v>122.007212</v>
      </c>
      <c r="F335" s="355">
        <f t="shared" si="41"/>
        <v>0</v>
      </c>
      <c r="G335" s="355">
        <f t="shared" si="41"/>
        <v>86.483012</v>
      </c>
      <c r="H335" s="355">
        <f t="shared" si="41"/>
        <v>3</v>
      </c>
      <c r="I335" s="355">
        <f t="shared" si="41"/>
        <v>3</v>
      </c>
      <c r="J335" s="355">
        <f t="shared" si="41"/>
        <v>125.007212</v>
      </c>
      <c r="K335" s="388"/>
    </row>
    <row r="336" s="29" customFormat="1" ht="36.95" customHeight="1" spans="1:11">
      <c r="A336" s="370">
        <v>317</v>
      </c>
      <c r="B336" s="126" t="s">
        <v>572</v>
      </c>
      <c r="C336" s="371" t="s">
        <v>1050</v>
      </c>
      <c r="D336" s="371" t="s">
        <v>422</v>
      </c>
      <c r="E336" s="372">
        <v>1</v>
      </c>
      <c r="F336" s="372"/>
      <c r="G336" s="372">
        <v>0</v>
      </c>
      <c r="H336" s="372">
        <v>10</v>
      </c>
      <c r="I336" s="372">
        <v>4</v>
      </c>
      <c r="J336" s="372">
        <f t="shared" ref="J336:J338" si="42">E336+I336</f>
        <v>5</v>
      </c>
      <c r="K336" s="79" t="s">
        <v>1051</v>
      </c>
    </row>
    <row r="337" s="29" customFormat="1" customHeight="1" spans="1:11">
      <c r="A337" s="370">
        <v>318</v>
      </c>
      <c r="B337" s="126" t="s">
        <v>572</v>
      </c>
      <c r="C337" s="371" t="s">
        <v>1050</v>
      </c>
      <c r="D337" s="371" t="s">
        <v>418</v>
      </c>
      <c r="E337" s="372">
        <v>1</v>
      </c>
      <c r="F337" s="372"/>
      <c r="G337" s="372">
        <v>0</v>
      </c>
      <c r="H337" s="372">
        <v>3</v>
      </c>
      <c r="I337" s="372">
        <v>1</v>
      </c>
      <c r="J337" s="372">
        <f t="shared" si="42"/>
        <v>2</v>
      </c>
      <c r="K337" s="120" t="s">
        <v>1052</v>
      </c>
    </row>
    <row r="338" s="29" customFormat="1" customHeight="1" spans="1:11">
      <c r="A338" s="370">
        <v>319</v>
      </c>
      <c r="B338" s="126" t="s">
        <v>572</v>
      </c>
      <c r="C338" s="371" t="s">
        <v>1050</v>
      </c>
      <c r="D338" s="371" t="s">
        <v>420</v>
      </c>
      <c r="E338" s="372">
        <v>0</v>
      </c>
      <c r="F338" s="372"/>
      <c r="G338" s="372">
        <v>0</v>
      </c>
      <c r="H338" s="372">
        <v>3</v>
      </c>
      <c r="I338" s="372">
        <v>1</v>
      </c>
      <c r="J338" s="372">
        <f t="shared" si="42"/>
        <v>1</v>
      </c>
      <c r="K338" s="120" t="s">
        <v>1053</v>
      </c>
    </row>
    <row r="339" s="334" customFormat="1" customHeight="1" spans="1:11">
      <c r="A339" s="353">
        <v>320</v>
      </c>
      <c r="B339" s="376" t="s">
        <v>1054</v>
      </c>
      <c r="C339" s="377"/>
      <c r="D339" s="378"/>
      <c r="E339" s="355">
        <f t="shared" ref="E339:J339" si="43">SUM(E336:E338)</f>
        <v>2</v>
      </c>
      <c r="F339" s="355">
        <f t="shared" si="43"/>
        <v>0</v>
      </c>
      <c r="G339" s="355">
        <f t="shared" si="43"/>
        <v>0</v>
      </c>
      <c r="H339" s="355">
        <f t="shared" si="43"/>
        <v>16</v>
      </c>
      <c r="I339" s="355">
        <f t="shared" si="43"/>
        <v>6</v>
      </c>
      <c r="J339" s="355">
        <f t="shared" si="43"/>
        <v>8</v>
      </c>
      <c r="K339" s="388"/>
    </row>
    <row r="340" s="29" customFormat="1" ht="26" customHeight="1" spans="1:11">
      <c r="A340" s="370">
        <v>321</v>
      </c>
      <c r="B340" s="126" t="s">
        <v>572</v>
      </c>
      <c r="C340" s="371" t="s">
        <v>1055</v>
      </c>
      <c r="D340" s="371" t="s">
        <v>1056</v>
      </c>
      <c r="E340" s="391">
        <v>19.92</v>
      </c>
      <c r="F340" s="391"/>
      <c r="G340" s="391">
        <v>8.3</v>
      </c>
      <c r="H340" s="393">
        <v>0</v>
      </c>
      <c r="I340" s="393">
        <v>0</v>
      </c>
      <c r="J340" s="372">
        <f t="shared" ref="J340:J377" si="44">E340+I340</f>
        <v>19.92</v>
      </c>
      <c r="K340" s="398" t="s">
        <v>1057</v>
      </c>
    </row>
    <row r="341" s="29" customFormat="1" ht="26" customHeight="1" spans="1:11">
      <c r="A341" s="370">
        <v>322</v>
      </c>
      <c r="B341" s="126" t="s">
        <v>572</v>
      </c>
      <c r="C341" s="371" t="s">
        <v>1055</v>
      </c>
      <c r="D341" s="371" t="s">
        <v>1058</v>
      </c>
      <c r="E341" s="391">
        <v>9.96</v>
      </c>
      <c r="F341" s="391"/>
      <c r="G341" s="391">
        <v>4.15</v>
      </c>
      <c r="H341" s="393">
        <v>0</v>
      </c>
      <c r="I341" s="393">
        <v>0</v>
      </c>
      <c r="J341" s="372">
        <f t="shared" si="44"/>
        <v>9.96</v>
      </c>
      <c r="K341" s="398" t="s">
        <v>1059</v>
      </c>
    </row>
    <row r="342" s="29" customFormat="1" ht="26" customHeight="1" spans="1:11">
      <c r="A342" s="370">
        <v>323</v>
      </c>
      <c r="B342" s="126" t="s">
        <v>572</v>
      </c>
      <c r="C342" s="371" t="s">
        <v>1055</v>
      </c>
      <c r="D342" s="371" t="s">
        <v>1060</v>
      </c>
      <c r="E342" s="391">
        <v>9.96</v>
      </c>
      <c r="F342" s="391"/>
      <c r="G342" s="391">
        <v>4.15</v>
      </c>
      <c r="H342" s="393">
        <v>0</v>
      </c>
      <c r="I342" s="393">
        <v>0</v>
      </c>
      <c r="J342" s="372">
        <f t="shared" si="44"/>
        <v>9.96</v>
      </c>
      <c r="K342" s="398" t="s">
        <v>1059</v>
      </c>
    </row>
    <row r="343" s="29" customFormat="1" ht="26" customHeight="1" spans="1:11">
      <c r="A343" s="370">
        <v>324</v>
      </c>
      <c r="B343" s="126" t="s">
        <v>572</v>
      </c>
      <c r="C343" s="371" t="s">
        <v>1055</v>
      </c>
      <c r="D343" s="371" t="s">
        <v>1061</v>
      </c>
      <c r="E343" s="391">
        <v>75.863016</v>
      </c>
      <c r="F343" s="391"/>
      <c r="G343" s="391">
        <v>33.2744</v>
      </c>
      <c r="H343" s="393">
        <v>0</v>
      </c>
      <c r="I343" s="393">
        <v>0</v>
      </c>
      <c r="J343" s="372">
        <f t="shared" si="44"/>
        <v>75.863016</v>
      </c>
      <c r="K343" s="398"/>
    </row>
    <row r="344" s="29" customFormat="1" customHeight="1" spans="1:11">
      <c r="A344" s="370">
        <v>325</v>
      </c>
      <c r="B344" s="126" t="s">
        <v>572</v>
      </c>
      <c r="C344" s="371" t="s">
        <v>1055</v>
      </c>
      <c r="D344" s="371" t="s">
        <v>1062</v>
      </c>
      <c r="E344" s="372">
        <v>14.94</v>
      </c>
      <c r="F344" s="372"/>
      <c r="G344" s="372">
        <v>6.225</v>
      </c>
      <c r="H344" s="372">
        <v>0</v>
      </c>
      <c r="I344" s="372">
        <v>0</v>
      </c>
      <c r="J344" s="372">
        <f t="shared" si="44"/>
        <v>14.94</v>
      </c>
      <c r="K344" s="79"/>
    </row>
    <row r="345" s="29" customFormat="1" ht="26" customHeight="1" spans="1:11">
      <c r="A345" s="370">
        <v>326</v>
      </c>
      <c r="B345" s="126" t="s">
        <v>572</v>
      </c>
      <c r="C345" s="371" t="s">
        <v>1055</v>
      </c>
      <c r="D345" s="371" t="s">
        <v>1063</v>
      </c>
      <c r="E345" s="391">
        <v>0.5</v>
      </c>
      <c r="F345" s="391"/>
      <c r="G345" s="391">
        <v>0</v>
      </c>
      <c r="H345" s="393">
        <v>0</v>
      </c>
      <c r="I345" s="393">
        <v>0</v>
      </c>
      <c r="J345" s="372">
        <f t="shared" si="44"/>
        <v>0.5</v>
      </c>
      <c r="K345" s="398"/>
    </row>
    <row r="346" s="29" customFormat="1" customHeight="1" spans="1:11">
      <c r="A346" s="370">
        <v>327</v>
      </c>
      <c r="B346" s="126" t="s">
        <v>572</v>
      </c>
      <c r="C346" s="371" t="s">
        <v>1055</v>
      </c>
      <c r="D346" s="371" t="s">
        <v>1064</v>
      </c>
      <c r="E346" s="372">
        <v>2</v>
      </c>
      <c r="F346" s="372"/>
      <c r="G346" s="372">
        <v>2</v>
      </c>
      <c r="H346" s="372">
        <v>0</v>
      </c>
      <c r="I346" s="372">
        <v>0</v>
      </c>
      <c r="J346" s="372">
        <f t="shared" si="44"/>
        <v>2</v>
      </c>
      <c r="K346" s="79"/>
    </row>
    <row r="347" s="29" customFormat="1" ht="26" customHeight="1" spans="1:11">
      <c r="A347" s="370">
        <v>328</v>
      </c>
      <c r="B347" s="126" t="s">
        <v>572</v>
      </c>
      <c r="C347" s="371" t="s">
        <v>1055</v>
      </c>
      <c r="D347" s="371" t="s">
        <v>1065</v>
      </c>
      <c r="E347" s="391">
        <v>3.6336</v>
      </c>
      <c r="F347" s="391"/>
      <c r="G347" s="391">
        <v>3.6336</v>
      </c>
      <c r="H347" s="393">
        <v>0</v>
      </c>
      <c r="I347" s="393">
        <v>0</v>
      </c>
      <c r="J347" s="372">
        <f t="shared" si="44"/>
        <v>3.6336</v>
      </c>
      <c r="K347" s="398"/>
    </row>
    <row r="348" s="29" customFormat="1" ht="26" customHeight="1" spans="1:11">
      <c r="A348" s="370">
        <v>329</v>
      </c>
      <c r="B348" s="126" t="s">
        <v>572</v>
      </c>
      <c r="C348" s="371" t="s">
        <v>1055</v>
      </c>
      <c r="D348" s="371" t="s">
        <v>1066</v>
      </c>
      <c r="E348" s="391">
        <v>2</v>
      </c>
      <c r="F348" s="391"/>
      <c r="G348" s="391">
        <v>2</v>
      </c>
      <c r="H348" s="393">
        <v>0</v>
      </c>
      <c r="I348" s="393">
        <v>0</v>
      </c>
      <c r="J348" s="372">
        <f t="shared" si="44"/>
        <v>2</v>
      </c>
      <c r="K348" s="398"/>
    </row>
    <row r="349" s="29" customFormat="1" ht="26" customHeight="1" spans="1:11">
      <c r="A349" s="370">
        <v>330</v>
      </c>
      <c r="B349" s="126" t="s">
        <v>572</v>
      </c>
      <c r="C349" s="371" t="s">
        <v>1055</v>
      </c>
      <c r="D349" s="371" t="s">
        <v>1067</v>
      </c>
      <c r="E349" s="391">
        <v>10.8</v>
      </c>
      <c r="F349" s="391"/>
      <c r="G349" s="391">
        <v>8.752394</v>
      </c>
      <c r="H349" s="393">
        <v>0</v>
      </c>
      <c r="I349" s="393">
        <v>0</v>
      </c>
      <c r="J349" s="372">
        <f t="shared" si="44"/>
        <v>10.8</v>
      </c>
      <c r="K349" s="398"/>
    </row>
    <row r="350" s="29" customFormat="1" ht="26" customHeight="1" spans="1:11">
      <c r="A350" s="370">
        <v>331</v>
      </c>
      <c r="B350" s="126" t="s">
        <v>572</v>
      </c>
      <c r="C350" s="371" t="s">
        <v>1055</v>
      </c>
      <c r="D350" s="371" t="s">
        <v>1068</v>
      </c>
      <c r="E350" s="391">
        <v>30</v>
      </c>
      <c r="F350" s="391"/>
      <c r="G350" s="391">
        <v>30</v>
      </c>
      <c r="H350" s="393">
        <v>0</v>
      </c>
      <c r="I350" s="393">
        <v>-20</v>
      </c>
      <c r="J350" s="372">
        <f t="shared" si="44"/>
        <v>10</v>
      </c>
      <c r="K350" s="398"/>
    </row>
    <row r="351" s="29" customFormat="1" customHeight="1" spans="1:11">
      <c r="A351" s="370">
        <v>332</v>
      </c>
      <c r="B351" s="126" t="s">
        <v>572</v>
      </c>
      <c r="C351" s="371" t="s">
        <v>1055</v>
      </c>
      <c r="D351" s="371" t="s">
        <v>1069</v>
      </c>
      <c r="E351" s="372">
        <v>5.2</v>
      </c>
      <c r="F351" s="372"/>
      <c r="G351" s="372">
        <v>5.2</v>
      </c>
      <c r="H351" s="372">
        <v>0</v>
      </c>
      <c r="I351" s="372">
        <v>0</v>
      </c>
      <c r="J351" s="372">
        <f t="shared" si="44"/>
        <v>5.2</v>
      </c>
      <c r="K351" s="79"/>
    </row>
    <row r="352" s="29" customFormat="1" ht="26" customHeight="1" spans="1:11">
      <c r="A352" s="370">
        <v>333</v>
      </c>
      <c r="B352" s="126" t="s">
        <v>572</v>
      </c>
      <c r="C352" s="371" t="s">
        <v>1055</v>
      </c>
      <c r="D352" s="371" t="s">
        <v>1070</v>
      </c>
      <c r="E352" s="391">
        <v>4</v>
      </c>
      <c r="F352" s="391"/>
      <c r="G352" s="391">
        <v>4</v>
      </c>
      <c r="H352" s="393">
        <v>0</v>
      </c>
      <c r="I352" s="393">
        <v>0</v>
      </c>
      <c r="J352" s="372">
        <f t="shared" si="44"/>
        <v>4</v>
      </c>
      <c r="K352" s="398"/>
    </row>
    <row r="353" s="29" customFormat="1" ht="26" customHeight="1" spans="1:11">
      <c r="A353" s="370">
        <v>334</v>
      </c>
      <c r="B353" s="126" t="s">
        <v>572</v>
      </c>
      <c r="C353" s="371" t="s">
        <v>1055</v>
      </c>
      <c r="D353" s="371" t="s">
        <v>1071</v>
      </c>
      <c r="E353" s="391">
        <v>2</v>
      </c>
      <c r="F353" s="391"/>
      <c r="G353" s="391">
        <v>1.791635</v>
      </c>
      <c r="H353" s="393">
        <v>0</v>
      </c>
      <c r="I353" s="393">
        <v>0</v>
      </c>
      <c r="J353" s="372">
        <f t="shared" si="44"/>
        <v>2</v>
      </c>
      <c r="K353" s="398"/>
    </row>
    <row r="354" s="29" customFormat="1" ht="26" customHeight="1" spans="1:11">
      <c r="A354" s="370">
        <v>335</v>
      </c>
      <c r="B354" s="126" t="s">
        <v>572</v>
      </c>
      <c r="C354" s="371" t="s">
        <v>1055</v>
      </c>
      <c r="D354" s="371" t="s">
        <v>1072</v>
      </c>
      <c r="E354" s="391">
        <v>7.35</v>
      </c>
      <c r="F354" s="391"/>
      <c r="G354" s="391">
        <v>7.35</v>
      </c>
      <c r="H354" s="393">
        <v>0</v>
      </c>
      <c r="I354" s="393">
        <v>-7.35</v>
      </c>
      <c r="J354" s="372">
        <f t="shared" si="44"/>
        <v>0</v>
      </c>
      <c r="K354" s="398"/>
    </row>
    <row r="355" s="29" customFormat="1" ht="26" customHeight="1" spans="1:11">
      <c r="A355" s="370">
        <v>336</v>
      </c>
      <c r="B355" s="126" t="s">
        <v>572</v>
      </c>
      <c r="C355" s="371" t="s">
        <v>1055</v>
      </c>
      <c r="D355" s="371" t="s">
        <v>1073</v>
      </c>
      <c r="E355" s="391">
        <v>7</v>
      </c>
      <c r="F355" s="391"/>
      <c r="G355" s="391">
        <v>2</v>
      </c>
      <c r="H355" s="393">
        <v>0</v>
      </c>
      <c r="I355" s="393">
        <v>0</v>
      </c>
      <c r="J355" s="372">
        <f t="shared" si="44"/>
        <v>7</v>
      </c>
      <c r="K355" s="398"/>
    </row>
    <row r="356" s="29" customFormat="1" ht="26" customHeight="1" spans="1:11">
      <c r="A356" s="370">
        <v>337</v>
      </c>
      <c r="B356" s="126" t="s">
        <v>572</v>
      </c>
      <c r="C356" s="371" t="s">
        <v>1055</v>
      </c>
      <c r="D356" s="371" t="s">
        <v>1074</v>
      </c>
      <c r="E356" s="391">
        <v>2</v>
      </c>
      <c r="F356" s="391"/>
      <c r="G356" s="391">
        <v>0</v>
      </c>
      <c r="H356" s="393">
        <v>0</v>
      </c>
      <c r="I356" s="393">
        <v>0</v>
      </c>
      <c r="J356" s="372">
        <f t="shared" si="44"/>
        <v>2</v>
      </c>
      <c r="K356" s="398"/>
    </row>
    <row r="357" s="29" customFormat="1" ht="26" customHeight="1" spans="1:11">
      <c r="A357" s="370">
        <v>338</v>
      </c>
      <c r="B357" s="126" t="s">
        <v>572</v>
      </c>
      <c r="C357" s="371" t="s">
        <v>1055</v>
      </c>
      <c r="D357" s="371" t="s">
        <v>1075</v>
      </c>
      <c r="E357" s="391">
        <v>0.5</v>
      </c>
      <c r="F357" s="391"/>
      <c r="G357" s="391">
        <v>0</v>
      </c>
      <c r="H357" s="393">
        <v>0</v>
      </c>
      <c r="I357" s="393">
        <v>0</v>
      </c>
      <c r="J357" s="372">
        <f t="shared" si="44"/>
        <v>0.5</v>
      </c>
      <c r="K357" s="398"/>
    </row>
    <row r="358" s="29" customFormat="1" ht="26" customHeight="1" spans="1:11">
      <c r="A358" s="370">
        <v>339</v>
      </c>
      <c r="B358" s="126" t="s">
        <v>572</v>
      </c>
      <c r="C358" s="371" t="s">
        <v>1055</v>
      </c>
      <c r="D358" s="371" t="s">
        <v>1076</v>
      </c>
      <c r="E358" s="391">
        <v>1</v>
      </c>
      <c r="F358" s="391"/>
      <c r="G358" s="391">
        <v>1</v>
      </c>
      <c r="H358" s="393">
        <v>0</v>
      </c>
      <c r="I358" s="393">
        <v>0</v>
      </c>
      <c r="J358" s="372">
        <f t="shared" si="44"/>
        <v>1</v>
      </c>
      <c r="K358" s="398"/>
    </row>
    <row r="359" s="29" customFormat="1" ht="26" customHeight="1" spans="1:11">
      <c r="A359" s="370">
        <v>340</v>
      </c>
      <c r="B359" s="126" t="s">
        <v>572</v>
      </c>
      <c r="C359" s="371" t="s">
        <v>1055</v>
      </c>
      <c r="D359" s="371" t="s">
        <v>1077</v>
      </c>
      <c r="E359" s="391">
        <v>4.724678</v>
      </c>
      <c r="F359" s="391"/>
      <c r="G359" s="391">
        <v>3.96503</v>
      </c>
      <c r="H359" s="393">
        <v>0</v>
      </c>
      <c r="I359" s="393">
        <v>0</v>
      </c>
      <c r="J359" s="372">
        <f t="shared" si="44"/>
        <v>4.724678</v>
      </c>
      <c r="K359" s="398"/>
    </row>
    <row r="360" s="29" customFormat="1" ht="26" customHeight="1" spans="1:11">
      <c r="A360" s="370">
        <v>341</v>
      </c>
      <c r="B360" s="126" t="s">
        <v>572</v>
      </c>
      <c r="C360" s="371" t="s">
        <v>1055</v>
      </c>
      <c r="D360" s="371" t="s">
        <v>1078</v>
      </c>
      <c r="E360" s="391">
        <v>153</v>
      </c>
      <c r="F360" s="391"/>
      <c r="G360" s="391">
        <v>153</v>
      </c>
      <c r="H360" s="393">
        <v>0</v>
      </c>
      <c r="I360" s="393">
        <v>0</v>
      </c>
      <c r="J360" s="372">
        <f t="shared" si="44"/>
        <v>153</v>
      </c>
      <c r="K360" s="398"/>
    </row>
    <row r="361" s="29" customFormat="1" ht="26" customHeight="1" spans="1:11">
      <c r="A361" s="370">
        <v>342</v>
      </c>
      <c r="B361" s="126" t="s">
        <v>572</v>
      </c>
      <c r="C361" s="371" t="s">
        <v>1055</v>
      </c>
      <c r="D361" s="371" t="s">
        <v>1079</v>
      </c>
      <c r="E361" s="391">
        <v>0.5</v>
      </c>
      <c r="F361" s="391"/>
      <c r="G361" s="391">
        <v>0</v>
      </c>
      <c r="H361" s="393">
        <v>0</v>
      </c>
      <c r="I361" s="393">
        <v>0</v>
      </c>
      <c r="J361" s="372">
        <f t="shared" si="44"/>
        <v>0.5</v>
      </c>
      <c r="K361" s="398"/>
    </row>
    <row r="362" s="29" customFormat="1" ht="26" customHeight="1" spans="1:11">
      <c r="A362" s="370">
        <v>343</v>
      </c>
      <c r="B362" s="126" t="s">
        <v>572</v>
      </c>
      <c r="C362" s="371" t="s">
        <v>1055</v>
      </c>
      <c r="D362" s="371" t="s">
        <v>1080</v>
      </c>
      <c r="E362" s="391">
        <v>2</v>
      </c>
      <c r="F362" s="391"/>
      <c r="G362" s="391">
        <v>1</v>
      </c>
      <c r="H362" s="393">
        <v>0</v>
      </c>
      <c r="I362" s="393">
        <v>0</v>
      </c>
      <c r="J362" s="372">
        <f t="shared" si="44"/>
        <v>2</v>
      </c>
      <c r="K362" s="398"/>
    </row>
    <row r="363" s="29" customFormat="1" ht="120" customHeight="1" spans="1:11">
      <c r="A363" s="370">
        <v>344</v>
      </c>
      <c r="B363" s="126" t="s">
        <v>572</v>
      </c>
      <c r="C363" s="371" t="s">
        <v>1055</v>
      </c>
      <c r="D363" s="371" t="s">
        <v>1081</v>
      </c>
      <c r="E363" s="372">
        <v>0</v>
      </c>
      <c r="F363" s="372"/>
      <c r="G363" s="372">
        <v>0</v>
      </c>
      <c r="H363" s="372">
        <v>34.15</v>
      </c>
      <c r="I363" s="372">
        <v>10</v>
      </c>
      <c r="J363" s="372">
        <f t="shared" si="44"/>
        <v>10</v>
      </c>
      <c r="K363" s="79" t="s">
        <v>1082</v>
      </c>
    </row>
    <row r="364" s="29" customFormat="1" ht="50.1" customHeight="1" spans="1:11">
      <c r="A364" s="370">
        <v>345</v>
      </c>
      <c r="B364" s="126" t="s">
        <v>572</v>
      </c>
      <c r="C364" s="371" t="s">
        <v>1055</v>
      </c>
      <c r="D364" s="371" t="s">
        <v>1083</v>
      </c>
      <c r="E364" s="372">
        <v>0</v>
      </c>
      <c r="F364" s="372"/>
      <c r="G364" s="372">
        <v>0</v>
      </c>
      <c r="H364" s="372">
        <v>155.151</v>
      </c>
      <c r="I364" s="372">
        <v>155.151</v>
      </c>
      <c r="J364" s="372">
        <f t="shared" si="44"/>
        <v>155.151</v>
      </c>
      <c r="K364" s="79" t="s">
        <v>1084</v>
      </c>
    </row>
    <row r="365" s="29" customFormat="1" ht="36" customHeight="1" spans="1:11">
      <c r="A365" s="370">
        <v>346</v>
      </c>
      <c r="B365" s="126" t="s">
        <v>572</v>
      </c>
      <c r="C365" s="371" t="s">
        <v>1055</v>
      </c>
      <c r="D365" s="371" t="s">
        <v>1085</v>
      </c>
      <c r="E365" s="372">
        <v>0</v>
      </c>
      <c r="F365" s="372"/>
      <c r="G365" s="372">
        <v>0</v>
      </c>
      <c r="H365" s="372">
        <v>7.56</v>
      </c>
      <c r="I365" s="372"/>
      <c r="J365" s="372">
        <f t="shared" si="44"/>
        <v>0</v>
      </c>
      <c r="K365" s="79" t="s">
        <v>1086</v>
      </c>
    </row>
    <row r="366" s="29" customFormat="1" ht="33" customHeight="1" spans="1:11">
      <c r="A366" s="370">
        <v>347</v>
      </c>
      <c r="B366" s="126" t="s">
        <v>572</v>
      </c>
      <c r="C366" s="371" t="s">
        <v>1055</v>
      </c>
      <c r="D366" s="371" t="s">
        <v>1087</v>
      </c>
      <c r="E366" s="372">
        <v>0</v>
      </c>
      <c r="F366" s="372"/>
      <c r="G366" s="372">
        <v>0</v>
      </c>
      <c r="H366" s="372">
        <v>26.4</v>
      </c>
      <c r="I366" s="372"/>
      <c r="J366" s="372">
        <f t="shared" si="44"/>
        <v>0</v>
      </c>
      <c r="K366" s="79" t="s">
        <v>1086</v>
      </c>
    </row>
    <row r="367" s="29" customFormat="1" ht="60" customHeight="1" spans="1:11">
      <c r="A367" s="370">
        <v>348</v>
      </c>
      <c r="B367" s="126" t="s">
        <v>572</v>
      </c>
      <c r="C367" s="371" t="s">
        <v>1055</v>
      </c>
      <c r="D367" s="371" t="s">
        <v>1088</v>
      </c>
      <c r="E367" s="372">
        <v>0</v>
      </c>
      <c r="F367" s="372"/>
      <c r="G367" s="372">
        <v>0</v>
      </c>
      <c r="H367" s="372">
        <v>33.786</v>
      </c>
      <c r="I367" s="372"/>
      <c r="J367" s="372">
        <f t="shared" si="44"/>
        <v>0</v>
      </c>
      <c r="K367" s="79" t="s">
        <v>1089</v>
      </c>
    </row>
    <row r="368" s="29" customFormat="1" ht="60" customHeight="1" spans="1:11">
      <c r="A368" s="370">
        <v>349</v>
      </c>
      <c r="B368" s="126" t="s">
        <v>572</v>
      </c>
      <c r="C368" s="371" t="s">
        <v>1055</v>
      </c>
      <c r="D368" s="371" t="s">
        <v>1090</v>
      </c>
      <c r="E368" s="372">
        <v>0</v>
      </c>
      <c r="F368" s="372"/>
      <c r="G368" s="372">
        <v>0</v>
      </c>
      <c r="H368" s="372">
        <v>15.6</v>
      </c>
      <c r="I368" s="372"/>
      <c r="J368" s="372">
        <f t="shared" si="44"/>
        <v>0</v>
      </c>
      <c r="K368" s="79" t="s">
        <v>1091</v>
      </c>
    </row>
    <row r="369" s="29" customFormat="1" ht="50.1" customHeight="1" spans="1:11">
      <c r="A369" s="370">
        <v>350</v>
      </c>
      <c r="B369" s="126" t="s">
        <v>572</v>
      </c>
      <c r="C369" s="371" t="s">
        <v>1055</v>
      </c>
      <c r="D369" s="371" t="s">
        <v>1092</v>
      </c>
      <c r="E369" s="372">
        <v>0</v>
      </c>
      <c r="F369" s="372"/>
      <c r="G369" s="372">
        <v>0</v>
      </c>
      <c r="H369" s="372">
        <v>9.5</v>
      </c>
      <c r="I369" s="372"/>
      <c r="J369" s="372">
        <f t="shared" si="44"/>
        <v>0</v>
      </c>
      <c r="K369" s="79" t="s">
        <v>1093</v>
      </c>
    </row>
    <row r="370" s="29" customFormat="1" customHeight="1" spans="1:11">
      <c r="A370" s="370">
        <v>351</v>
      </c>
      <c r="B370" s="126" t="s">
        <v>572</v>
      </c>
      <c r="C370" s="371" t="s">
        <v>1055</v>
      </c>
      <c r="D370" s="371" t="s">
        <v>1094</v>
      </c>
      <c r="E370" s="372">
        <v>0</v>
      </c>
      <c r="F370" s="372"/>
      <c r="G370" s="372">
        <v>0</v>
      </c>
      <c r="H370" s="372">
        <v>120</v>
      </c>
      <c r="I370" s="372"/>
      <c r="J370" s="372">
        <f t="shared" si="44"/>
        <v>0</v>
      </c>
      <c r="K370" s="79" t="s">
        <v>1095</v>
      </c>
    </row>
    <row r="371" s="29" customFormat="1" customHeight="1" spans="1:11">
      <c r="A371" s="370">
        <v>352</v>
      </c>
      <c r="B371" s="126" t="s">
        <v>572</v>
      </c>
      <c r="C371" s="371" t="s">
        <v>1055</v>
      </c>
      <c r="D371" s="371" t="s">
        <v>1096</v>
      </c>
      <c r="E371" s="372">
        <v>0</v>
      </c>
      <c r="F371" s="372"/>
      <c r="G371" s="372">
        <v>0</v>
      </c>
      <c r="H371" s="372">
        <v>5.5</v>
      </c>
      <c r="I371" s="372"/>
      <c r="J371" s="372">
        <f t="shared" si="44"/>
        <v>0</v>
      </c>
      <c r="K371" s="79" t="s">
        <v>1097</v>
      </c>
    </row>
    <row r="372" s="29" customFormat="1" customHeight="1" spans="1:11">
      <c r="A372" s="370">
        <v>353</v>
      </c>
      <c r="B372" s="126" t="s">
        <v>572</v>
      </c>
      <c r="C372" s="371" t="s">
        <v>1055</v>
      </c>
      <c r="D372" s="371" t="s">
        <v>1098</v>
      </c>
      <c r="E372" s="372">
        <v>0</v>
      </c>
      <c r="F372" s="372"/>
      <c r="G372" s="372">
        <v>0</v>
      </c>
      <c r="H372" s="372">
        <v>21</v>
      </c>
      <c r="I372" s="372"/>
      <c r="J372" s="372">
        <f t="shared" si="44"/>
        <v>0</v>
      </c>
      <c r="K372" s="79" t="s">
        <v>1099</v>
      </c>
    </row>
    <row r="373" s="29" customFormat="1" ht="50.1" customHeight="1" spans="1:11">
      <c r="A373" s="370">
        <v>354</v>
      </c>
      <c r="B373" s="126" t="s">
        <v>572</v>
      </c>
      <c r="C373" s="371" t="s">
        <v>1055</v>
      </c>
      <c r="D373" s="371" t="s">
        <v>1100</v>
      </c>
      <c r="E373" s="372">
        <v>51.75</v>
      </c>
      <c r="F373" s="372"/>
      <c r="G373" s="372">
        <v>34.5935</v>
      </c>
      <c r="H373" s="372">
        <v>15</v>
      </c>
      <c r="I373" s="372"/>
      <c r="J373" s="372">
        <f t="shared" si="44"/>
        <v>51.75</v>
      </c>
      <c r="K373" s="79" t="s">
        <v>1101</v>
      </c>
    </row>
    <row r="374" s="29" customFormat="1" customHeight="1" spans="1:11">
      <c r="A374" s="370">
        <v>355</v>
      </c>
      <c r="B374" s="126" t="s">
        <v>572</v>
      </c>
      <c r="C374" s="371" t="s">
        <v>1055</v>
      </c>
      <c r="D374" s="371" t="s">
        <v>1102</v>
      </c>
      <c r="E374" s="372">
        <v>0</v>
      </c>
      <c r="F374" s="372"/>
      <c r="G374" s="372">
        <v>0</v>
      </c>
      <c r="H374" s="372">
        <v>48</v>
      </c>
      <c r="I374" s="372"/>
      <c r="J374" s="372">
        <f t="shared" si="44"/>
        <v>0</v>
      </c>
      <c r="K374" s="79" t="s">
        <v>1103</v>
      </c>
    </row>
    <row r="375" s="29" customFormat="1" customHeight="1" spans="1:11">
      <c r="A375" s="370">
        <v>356</v>
      </c>
      <c r="B375" s="126" t="s">
        <v>572</v>
      </c>
      <c r="C375" s="371" t="s">
        <v>1055</v>
      </c>
      <c r="D375" s="371" t="s">
        <v>1104</v>
      </c>
      <c r="E375" s="372">
        <v>10</v>
      </c>
      <c r="F375" s="372"/>
      <c r="G375" s="372">
        <v>1.32634</v>
      </c>
      <c r="H375" s="372">
        <v>50</v>
      </c>
      <c r="I375" s="372">
        <v>50</v>
      </c>
      <c r="J375" s="372">
        <f t="shared" si="44"/>
        <v>60</v>
      </c>
      <c r="K375" s="79" t="s">
        <v>1105</v>
      </c>
    </row>
    <row r="376" s="29" customFormat="1" customHeight="1" spans="1:11">
      <c r="A376" s="370">
        <v>357</v>
      </c>
      <c r="B376" s="126" t="s">
        <v>572</v>
      </c>
      <c r="C376" s="371" t="s">
        <v>1055</v>
      </c>
      <c r="D376" s="371" t="s">
        <v>1106</v>
      </c>
      <c r="E376" s="372">
        <v>41.5154</v>
      </c>
      <c r="F376" s="372"/>
      <c r="G376" s="372">
        <v>0</v>
      </c>
      <c r="H376" s="372">
        <v>7.908111</v>
      </c>
      <c r="I376" s="372">
        <v>0</v>
      </c>
      <c r="J376" s="372">
        <f t="shared" si="44"/>
        <v>41.5154</v>
      </c>
      <c r="K376" s="79" t="s">
        <v>1107</v>
      </c>
    </row>
    <row r="377" s="29" customFormat="1" ht="26" customHeight="1" spans="1:11">
      <c r="A377" s="370">
        <v>358</v>
      </c>
      <c r="B377" s="126" t="s">
        <v>580</v>
      </c>
      <c r="C377" s="371" t="s">
        <v>1055</v>
      </c>
      <c r="D377" s="371" t="s">
        <v>1108</v>
      </c>
      <c r="E377" s="391">
        <v>2.5</v>
      </c>
      <c r="F377" s="391"/>
      <c r="G377" s="391">
        <v>2.5</v>
      </c>
      <c r="H377" s="393">
        <v>0</v>
      </c>
      <c r="I377" s="393">
        <v>0</v>
      </c>
      <c r="J377" s="372">
        <f t="shared" si="44"/>
        <v>2.5</v>
      </c>
      <c r="K377" s="398"/>
    </row>
    <row r="378" s="334" customFormat="1" customHeight="1" spans="1:11">
      <c r="A378" s="353">
        <v>359</v>
      </c>
      <c r="B378" s="376" t="s">
        <v>1109</v>
      </c>
      <c r="C378" s="377"/>
      <c r="D378" s="378"/>
      <c r="E378" s="355">
        <f t="shared" ref="E378:J378" si="45">SUM(E340:E377)</f>
        <v>474.616694</v>
      </c>
      <c r="F378" s="355">
        <f t="shared" si="45"/>
        <v>0</v>
      </c>
      <c r="G378" s="355">
        <f t="shared" si="45"/>
        <v>320.211899</v>
      </c>
      <c r="H378" s="355">
        <f t="shared" si="45"/>
        <v>549.555111</v>
      </c>
      <c r="I378" s="355">
        <f t="shared" si="45"/>
        <v>187.801</v>
      </c>
      <c r="J378" s="355">
        <f t="shared" si="45"/>
        <v>662.417694</v>
      </c>
      <c r="K378" s="388"/>
    </row>
    <row r="379" s="29" customFormat="1" ht="26" customHeight="1" spans="1:11">
      <c r="A379" s="370">
        <v>360</v>
      </c>
      <c r="B379" s="126" t="s">
        <v>572</v>
      </c>
      <c r="C379" s="371" t="s">
        <v>1110</v>
      </c>
      <c r="D379" s="371" t="s">
        <v>1111</v>
      </c>
      <c r="E379" s="391">
        <v>4</v>
      </c>
      <c r="F379" s="391"/>
      <c r="G379" s="391">
        <v>3.85</v>
      </c>
      <c r="H379" s="393">
        <v>0</v>
      </c>
      <c r="I379" s="393">
        <v>0</v>
      </c>
      <c r="J379" s="372">
        <f t="shared" ref="J379:J386" si="46">E379+I379</f>
        <v>4</v>
      </c>
      <c r="K379" s="398"/>
    </row>
    <row r="380" s="334" customFormat="1" customHeight="1" spans="1:11">
      <c r="A380" s="353">
        <v>361</v>
      </c>
      <c r="B380" s="376" t="s">
        <v>1112</v>
      </c>
      <c r="C380" s="377"/>
      <c r="D380" s="378"/>
      <c r="E380" s="355">
        <f t="shared" ref="E380:J380" si="47">SUM(E379:E379)</f>
        <v>4</v>
      </c>
      <c r="F380" s="355">
        <f t="shared" si="47"/>
        <v>0</v>
      </c>
      <c r="G380" s="355">
        <f t="shared" si="47"/>
        <v>3.85</v>
      </c>
      <c r="H380" s="355">
        <f t="shared" si="47"/>
        <v>0</v>
      </c>
      <c r="I380" s="355">
        <f t="shared" si="47"/>
        <v>0</v>
      </c>
      <c r="J380" s="355">
        <f t="shared" si="47"/>
        <v>4</v>
      </c>
      <c r="K380" s="388"/>
    </row>
    <row r="381" s="29" customFormat="1" ht="26" customHeight="1" spans="1:11">
      <c r="A381" s="370">
        <v>362</v>
      </c>
      <c r="B381" s="126" t="s">
        <v>572</v>
      </c>
      <c r="C381" s="371" t="s">
        <v>1113</v>
      </c>
      <c r="D381" s="371" t="s">
        <v>1114</v>
      </c>
      <c r="E381" s="391">
        <v>4</v>
      </c>
      <c r="F381" s="391"/>
      <c r="G381" s="391">
        <v>0</v>
      </c>
      <c r="H381" s="393">
        <v>4</v>
      </c>
      <c r="I381" s="393">
        <v>2</v>
      </c>
      <c r="J381" s="372">
        <f t="shared" si="46"/>
        <v>6</v>
      </c>
      <c r="K381" s="398" t="s">
        <v>1115</v>
      </c>
    </row>
    <row r="382" s="334" customFormat="1" customHeight="1" spans="1:11">
      <c r="A382" s="353">
        <v>363</v>
      </c>
      <c r="B382" s="376" t="s">
        <v>1116</v>
      </c>
      <c r="C382" s="377"/>
      <c r="D382" s="378"/>
      <c r="E382" s="355">
        <f t="shared" ref="E382:J382" si="48">SUM(E381:E381)</f>
        <v>4</v>
      </c>
      <c r="F382" s="355">
        <f t="shared" si="48"/>
        <v>0</v>
      </c>
      <c r="G382" s="355">
        <f t="shared" si="48"/>
        <v>0</v>
      </c>
      <c r="H382" s="355">
        <f t="shared" si="48"/>
        <v>4</v>
      </c>
      <c r="I382" s="355">
        <f t="shared" si="48"/>
        <v>2</v>
      </c>
      <c r="J382" s="355">
        <f t="shared" si="48"/>
        <v>6</v>
      </c>
      <c r="K382" s="388"/>
    </row>
    <row r="383" s="29" customFormat="1" ht="26" customHeight="1" spans="1:11">
      <c r="A383" s="370">
        <v>364</v>
      </c>
      <c r="B383" s="126" t="s">
        <v>572</v>
      </c>
      <c r="C383" s="371" t="s">
        <v>1117</v>
      </c>
      <c r="D383" s="371" t="s">
        <v>1118</v>
      </c>
      <c r="E383" s="391">
        <v>1</v>
      </c>
      <c r="F383" s="391"/>
      <c r="G383" s="391">
        <v>1</v>
      </c>
      <c r="H383" s="393">
        <v>0</v>
      </c>
      <c r="I383" s="393">
        <v>0</v>
      </c>
      <c r="J383" s="372">
        <f t="shared" si="46"/>
        <v>1</v>
      </c>
      <c r="K383" s="398"/>
    </row>
    <row r="384" s="29" customFormat="1" ht="26" customHeight="1" spans="1:11">
      <c r="A384" s="370">
        <v>365</v>
      </c>
      <c r="B384" s="126" t="s">
        <v>572</v>
      </c>
      <c r="C384" s="371" t="s">
        <v>1117</v>
      </c>
      <c r="D384" s="371" t="s">
        <v>1119</v>
      </c>
      <c r="E384" s="391">
        <v>2</v>
      </c>
      <c r="F384" s="391"/>
      <c r="G384" s="391">
        <v>2</v>
      </c>
      <c r="H384" s="393">
        <v>0</v>
      </c>
      <c r="I384" s="393">
        <v>0</v>
      </c>
      <c r="J384" s="372">
        <f t="shared" si="46"/>
        <v>2</v>
      </c>
      <c r="K384" s="398"/>
    </row>
    <row r="385" s="29" customFormat="1" ht="26" customHeight="1" spans="1:11">
      <c r="A385" s="370">
        <v>366</v>
      </c>
      <c r="B385" s="126" t="s">
        <v>572</v>
      </c>
      <c r="C385" s="371" t="s">
        <v>1117</v>
      </c>
      <c r="D385" s="371" t="s">
        <v>1120</v>
      </c>
      <c r="E385" s="391">
        <v>7.2</v>
      </c>
      <c r="F385" s="391"/>
      <c r="G385" s="391">
        <v>7.2</v>
      </c>
      <c r="H385" s="393">
        <v>0</v>
      </c>
      <c r="I385" s="393">
        <v>0</v>
      </c>
      <c r="J385" s="372">
        <f t="shared" si="46"/>
        <v>7.2</v>
      </c>
      <c r="K385" s="398"/>
    </row>
    <row r="386" s="29" customFormat="1" ht="26" customHeight="1" spans="1:11">
      <c r="A386" s="370">
        <v>367</v>
      </c>
      <c r="B386" s="126" t="s">
        <v>572</v>
      </c>
      <c r="C386" s="371" t="s">
        <v>1117</v>
      </c>
      <c r="D386" s="371" t="s">
        <v>1121</v>
      </c>
      <c r="E386" s="391">
        <v>14.636779</v>
      </c>
      <c r="F386" s="391"/>
      <c r="G386" s="391">
        <v>0</v>
      </c>
      <c r="H386" s="393">
        <v>0</v>
      </c>
      <c r="I386" s="393">
        <v>0</v>
      </c>
      <c r="J386" s="372">
        <f t="shared" si="46"/>
        <v>14.636779</v>
      </c>
      <c r="K386" s="398"/>
    </row>
    <row r="387" s="334" customFormat="1" customHeight="1" spans="1:11">
      <c r="A387" s="353">
        <v>368</v>
      </c>
      <c r="B387" s="376" t="s">
        <v>1122</v>
      </c>
      <c r="C387" s="377"/>
      <c r="D387" s="378"/>
      <c r="E387" s="355">
        <f t="shared" ref="E387:J387" si="49">SUM(E383:E386)</f>
        <v>24.836779</v>
      </c>
      <c r="F387" s="355">
        <f t="shared" si="49"/>
        <v>0</v>
      </c>
      <c r="G387" s="355">
        <f t="shared" si="49"/>
        <v>10.2</v>
      </c>
      <c r="H387" s="355">
        <f t="shared" si="49"/>
        <v>0</v>
      </c>
      <c r="I387" s="355">
        <f t="shared" si="49"/>
        <v>0</v>
      </c>
      <c r="J387" s="355">
        <f t="shared" si="49"/>
        <v>24.836779</v>
      </c>
      <c r="K387" s="388"/>
    </row>
    <row r="388" s="29" customFormat="1" ht="26" customHeight="1" spans="1:11">
      <c r="A388" s="370">
        <v>369</v>
      </c>
      <c r="B388" s="126" t="s">
        <v>569</v>
      </c>
      <c r="C388" s="371" t="s">
        <v>1123</v>
      </c>
      <c r="D388" s="371" t="s">
        <v>1124</v>
      </c>
      <c r="E388" s="391">
        <v>16</v>
      </c>
      <c r="F388" s="391"/>
      <c r="G388" s="391">
        <v>0</v>
      </c>
      <c r="H388" s="393"/>
      <c r="I388" s="393"/>
      <c r="J388" s="372">
        <f t="shared" ref="J388:J394" si="50">E388+I388</f>
        <v>16</v>
      </c>
      <c r="K388" s="398"/>
    </row>
    <row r="389" s="29" customFormat="1" ht="26" customHeight="1" spans="1:11">
      <c r="A389" s="370">
        <v>370</v>
      </c>
      <c r="B389" s="126" t="s">
        <v>569</v>
      </c>
      <c r="C389" s="371" t="s">
        <v>1123</v>
      </c>
      <c r="D389" s="371" t="s">
        <v>1125</v>
      </c>
      <c r="E389" s="391">
        <v>20.2</v>
      </c>
      <c r="F389" s="391"/>
      <c r="G389" s="391">
        <v>0</v>
      </c>
      <c r="H389" s="393"/>
      <c r="I389" s="393"/>
      <c r="J389" s="372">
        <f t="shared" si="50"/>
        <v>20.2</v>
      </c>
      <c r="K389" s="398"/>
    </row>
    <row r="390" s="29" customFormat="1" ht="26" customHeight="1" spans="1:11">
      <c r="A390" s="370">
        <v>371</v>
      </c>
      <c r="B390" s="126" t="s">
        <v>569</v>
      </c>
      <c r="C390" s="371" t="s">
        <v>1123</v>
      </c>
      <c r="D390" s="371" t="s">
        <v>1126</v>
      </c>
      <c r="E390" s="391">
        <v>30</v>
      </c>
      <c r="F390" s="391"/>
      <c r="G390" s="391">
        <v>0</v>
      </c>
      <c r="H390" s="393"/>
      <c r="I390" s="393"/>
      <c r="J390" s="372">
        <f t="shared" si="50"/>
        <v>30</v>
      </c>
      <c r="K390" s="398"/>
    </row>
    <row r="391" s="29" customFormat="1" ht="26" customHeight="1" spans="1:11">
      <c r="A391" s="370">
        <v>372</v>
      </c>
      <c r="B391" s="126" t="s">
        <v>569</v>
      </c>
      <c r="C391" s="371" t="s">
        <v>1123</v>
      </c>
      <c r="D391" s="371" t="s">
        <v>1127</v>
      </c>
      <c r="E391" s="391">
        <v>2</v>
      </c>
      <c r="F391" s="391"/>
      <c r="G391" s="391">
        <v>2</v>
      </c>
      <c r="H391" s="393"/>
      <c r="I391" s="393"/>
      <c r="J391" s="372">
        <f t="shared" si="50"/>
        <v>2</v>
      </c>
      <c r="K391" s="398"/>
    </row>
    <row r="392" s="29" customFormat="1" ht="26" customHeight="1" spans="1:11">
      <c r="A392" s="370">
        <v>373</v>
      </c>
      <c r="B392" s="126" t="s">
        <v>569</v>
      </c>
      <c r="C392" s="371" t="s">
        <v>1123</v>
      </c>
      <c r="D392" s="371" t="s">
        <v>1128</v>
      </c>
      <c r="E392" s="391">
        <v>15</v>
      </c>
      <c r="F392" s="391"/>
      <c r="G392" s="391">
        <v>0</v>
      </c>
      <c r="H392" s="393"/>
      <c r="I392" s="393"/>
      <c r="J392" s="372">
        <f t="shared" si="50"/>
        <v>15</v>
      </c>
      <c r="K392" s="398"/>
    </row>
    <row r="393" s="29" customFormat="1" ht="26" customHeight="1" spans="1:11">
      <c r="A393" s="370">
        <v>374</v>
      </c>
      <c r="B393" s="126" t="s">
        <v>569</v>
      </c>
      <c r="C393" s="371" t="s">
        <v>1123</v>
      </c>
      <c r="D393" s="371" t="s">
        <v>1129</v>
      </c>
      <c r="E393" s="391">
        <v>36</v>
      </c>
      <c r="F393" s="391"/>
      <c r="G393" s="391">
        <v>1</v>
      </c>
      <c r="H393" s="393"/>
      <c r="I393" s="393">
        <v>0</v>
      </c>
      <c r="J393" s="372">
        <f t="shared" si="50"/>
        <v>36</v>
      </c>
      <c r="K393" s="398"/>
    </row>
    <row r="394" s="29" customFormat="1" customHeight="1" spans="1:11">
      <c r="A394" s="370">
        <v>375</v>
      </c>
      <c r="B394" s="389" t="s">
        <v>569</v>
      </c>
      <c r="C394" s="79" t="s">
        <v>1123</v>
      </c>
      <c r="D394" s="79" t="s">
        <v>1130</v>
      </c>
      <c r="E394" s="123"/>
      <c r="F394" s="123"/>
      <c r="G394" s="123"/>
      <c r="H394" s="123">
        <v>15</v>
      </c>
      <c r="I394" s="123">
        <v>15</v>
      </c>
      <c r="J394" s="372">
        <f t="shared" si="50"/>
        <v>15</v>
      </c>
      <c r="K394" s="394" t="s">
        <v>1131</v>
      </c>
    </row>
    <row r="395" s="334" customFormat="1" customHeight="1" spans="1:11">
      <c r="A395" s="353">
        <v>376</v>
      </c>
      <c r="B395" s="376" t="s">
        <v>1132</v>
      </c>
      <c r="C395" s="377"/>
      <c r="D395" s="378"/>
      <c r="E395" s="355">
        <f t="shared" ref="E395:J395" si="51">SUM(E388:E394)</f>
        <v>119.2</v>
      </c>
      <c r="F395" s="355">
        <f t="shared" si="51"/>
        <v>0</v>
      </c>
      <c r="G395" s="355">
        <f t="shared" si="51"/>
        <v>3</v>
      </c>
      <c r="H395" s="355">
        <f t="shared" si="51"/>
        <v>15</v>
      </c>
      <c r="I395" s="355">
        <f t="shared" si="51"/>
        <v>15</v>
      </c>
      <c r="J395" s="355">
        <f t="shared" si="51"/>
        <v>134.2</v>
      </c>
      <c r="K395" s="388"/>
    </row>
    <row r="396" s="29" customFormat="1" ht="26" customHeight="1" spans="1:11">
      <c r="A396" s="370">
        <v>377</v>
      </c>
      <c r="B396" s="126" t="s">
        <v>571</v>
      </c>
      <c r="C396" s="371" t="s">
        <v>1133</v>
      </c>
      <c r="D396" s="371" t="s">
        <v>1134</v>
      </c>
      <c r="E396" s="391">
        <v>13.2</v>
      </c>
      <c r="F396" s="391"/>
      <c r="G396" s="391">
        <v>13.2</v>
      </c>
      <c r="H396" s="393">
        <v>25.2</v>
      </c>
      <c r="I396" s="393">
        <v>10</v>
      </c>
      <c r="J396" s="372">
        <f t="shared" ref="J396:J419" si="52">E396+I396</f>
        <v>23.2</v>
      </c>
      <c r="K396" s="398"/>
    </row>
    <row r="397" s="29" customFormat="1" ht="26" customHeight="1" spans="1:11">
      <c r="A397" s="370">
        <v>378</v>
      </c>
      <c r="B397" s="126" t="s">
        <v>571</v>
      </c>
      <c r="C397" s="371" t="s">
        <v>1133</v>
      </c>
      <c r="D397" s="371" t="s">
        <v>1135</v>
      </c>
      <c r="E397" s="391">
        <v>3</v>
      </c>
      <c r="F397" s="391"/>
      <c r="G397" s="391">
        <v>3</v>
      </c>
      <c r="H397" s="393"/>
      <c r="I397" s="393">
        <v>-3</v>
      </c>
      <c r="J397" s="372">
        <f t="shared" si="52"/>
        <v>0</v>
      </c>
      <c r="K397" s="398" t="s">
        <v>1136</v>
      </c>
    </row>
    <row r="398" s="29" customFormat="1" ht="26" customHeight="1" spans="1:11">
      <c r="A398" s="370">
        <v>379</v>
      </c>
      <c r="B398" s="126" t="s">
        <v>576</v>
      </c>
      <c r="C398" s="371" t="s">
        <v>1133</v>
      </c>
      <c r="D398" s="371" t="s">
        <v>1137</v>
      </c>
      <c r="E398" s="391">
        <v>146.64</v>
      </c>
      <c r="F398" s="391"/>
      <c r="G398" s="391">
        <v>146.64</v>
      </c>
      <c r="H398" s="393"/>
      <c r="I398" s="393"/>
      <c r="J398" s="372">
        <f t="shared" si="52"/>
        <v>146.64</v>
      </c>
      <c r="K398" s="398" t="s">
        <v>1138</v>
      </c>
    </row>
    <row r="399" s="29" customFormat="1" ht="26" customHeight="1" spans="1:11">
      <c r="A399" s="370">
        <v>380</v>
      </c>
      <c r="B399" s="126" t="s">
        <v>576</v>
      </c>
      <c r="C399" s="371" t="s">
        <v>1133</v>
      </c>
      <c r="D399" s="371" t="s">
        <v>1139</v>
      </c>
      <c r="E399" s="391">
        <v>999.02</v>
      </c>
      <c r="F399" s="391"/>
      <c r="G399" s="391">
        <v>999.02</v>
      </c>
      <c r="H399" s="393"/>
      <c r="I399" s="393"/>
      <c r="J399" s="372">
        <f t="shared" si="52"/>
        <v>999.02</v>
      </c>
      <c r="K399" s="398" t="s">
        <v>1140</v>
      </c>
    </row>
    <row r="400" s="29" customFormat="1" ht="26" customHeight="1" spans="1:11">
      <c r="A400" s="370">
        <v>381</v>
      </c>
      <c r="B400" s="126" t="s">
        <v>576</v>
      </c>
      <c r="C400" s="371" t="s">
        <v>1133</v>
      </c>
      <c r="D400" s="371" t="s">
        <v>1141</v>
      </c>
      <c r="E400" s="391">
        <v>28.38</v>
      </c>
      <c r="F400" s="391"/>
      <c r="G400" s="391">
        <v>28.38</v>
      </c>
      <c r="H400" s="393"/>
      <c r="I400" s="393"/>
      <c r="J400" s="372">
        <f t="shared" si="52"/>
        <v>28.38</v>
      </c>
      <c r="K400" s="398" t="s">
        <v>1142</v>
      </c>
    </row>
    <row r="401" s="29" customFormat="1" ht="26" customHeight="1" spans="1:11">
      <c r="A401" s="370">
        <v>382</v>
      </c>
      <c r="B401" s="126" t="s">
        <v>576</v>
      </c>
      <c r="C401" s="371" t="s">
        <v>1133</v>
      </c>
      <c r="D401" s="371" t="s">
        <v>1143</v>
      </c>
      <c r="E401" s="391">
        <v>25</v>
      </c>
      <c r="F401" s="391"/>
      <c r="G401" s="391">
        <v>25</v>
      </c>
      <c r="H401" s="393">
        <v>42</v>
      </c>
      <c r="I401" s="393">
        <v>42</v>
      </c>
      <c r="J401" s="372">
        <f t="shared" si="52"/>
        <v>67</v>
      </c>
      <c r="K401" s="398" t="s">
        <v>1144</v>
      </c>
    </row>
    <row r="402" s="29" customFormat="1" customHeight="1" spans="1:11">
      <c r="A402" s="370">
        <v>383</v>
      </c>
      <c r="B402" s="126" t="s">
        <v>576</v>
      </c>
      <c r="C402" s="79" t="s">
        <v>1133</v>
      </c>
      <c r="D402" s="79" t="s">
        <v>1145</v>
      </c>
      <c r="E402" s="390">
        <v>10</v>
      </c>
      <c r="F402" s="390"/>
      <c r="G402" s="390">
        <v>5</v>
      </c>
      <c r="H402" s="390"/>
      <c r="I402" s="390"/>
      <c r="J402" s="372">
        <f t="shared" si="52"/>
        <v>10</v>
      </c>
      <c r="K402" s="79"/>
    </row>
    <row r="403" s="29" customFormat="1" ht="26" customHeight="1" spans="1:11">
      <c r="A403" s="370">
        <v>384</v>
      </c>
      <c r="B403" s="126" t="s">
        <v>576</v>
      </c>
      <c r="C403" s="371" t="s">
        <v>1133</v>
      </c>
      <c r="D403" s="371" t="s">
        <v>1146</v>
      </c>
      <c r="E403" s="391"/>
      <c r="F403" s="391"/>
      <c r="G403" s="391"/>
      <c r="H403" s="393">
        <v>50</v>
      </c>
      <c r="I403" s="393">
        <v>0</v>
      </c>
      <c r="J403" s="372">
        <f t="shared" si="52"/>
        <v>0</v>
      </c>
      <c r="K403" s="398"/>
    </row>
    <row r="404" s="29" customFormat="1" ht="26" customHeight="1" spans="1:11">
      <c r="A404" s="370">
        <v>385</v>
      </c>
      <c r="B404" s="126" t="s">
        <v>576</v>
      </c>
      <c r="C404" s="371" t="s">
        <v>1133</v>
      </c>
      <c r="D404" s="371" t="s">
        <v>1147</v>
      </c>
      <c r="E404" s="391">
        <v>5</v>
      </c>
      <c r="F404" s="391"/>
      <c r="G404" s="391">
        <v>5</v>
      </c>
      <c r="H404" s="393"/>
      <c r="I404" s="393"/>
      <c r="J404" s="372">
        <f t="shared" si="52"/>
        <v>5</v>
      </c>
      <c r="K404" s="398"/>
    </row>
    <row r="405" s="29" customFormat="1" ht="26" customHeight="1" spans="1:11">
      <c r="A405" s="370">
        <v>386</v>
      </c>
      <c r="B405" s="126" t="s">
        <v>576</v>
      </c>
      <c r="C405" s="371" t="s">
        <v>1133</v>
      </c>
      <c r="D405" s="371" t="s">
        <v>460</v>
      </c>
      <c r="E405" s="391">
        <v>9</v>
      </c>
      <c r="F405" s="391"/>
      <c r="G405" s="391">
        <v>8.565839</v>
      </c>
      <c r="H405" s="393"/>
      <c r="I405" s="393"/>
      <c r="J405" s="372">
        <f t="shared" si="52"/>
        <v>9</v>
      </c>
      <c r="K405" s="398"/>
    </row>
    <row r="406" s="29" customFormat="1" customHeight="1" spans="1:11">
      <c r="A406" s="370">
        <v>387</v>
      </c>
      <c r="B406" s="126" t="s">
        <v>576</v>
      </c>
      <c r="C406" s="79" t="s">
        <v>1133</v>
      </c>
      <c r="D406" s="79" t="s">
        <v>1148</v>
      </c>
      <c r="E406" s="390">
        <v>0.06</v>
      </c>
      <c r="F406" s="390"/>
      <c r="G406" s="390">
        <v>0.06</v>
      </c>
      <c r="H406" s="390"/>
      <c r="I406" s="390"/>
      <c r="J406" s="372">
        <f t="shared" si="52"/>
        <v>0.06</v>
      </c>
      <c r="K406" s="79" t="s">
        <v>1149</v>
      </c>
    </row>
    <row r="407" s="29" customFormat="1" ht="26" customHeight="1" spans="1:11">
      <c r="A407" s="370">
        <v>388</v>
      </c>
      <c r="B407" s="126" t="s">
        <v>576</v>
      </c>
      <c r="C407" s="371" t="s">
        <v>1133</v>
      </c>
      <c r="D407" s="371" t="s">
        <v>1150</v>
      </c>
      <c r="E407" s="391">
        <v>5</v>
      </c>
      <c r="F407" s="391"/>
      <c r="G407" s="391">
        <v>5</v>
      </c>
      <c r="H407" s="393"/>
      <c r="I407" s="393"/>
      <c r="J407" s="372">
        <f t="shared" si="52"/>
        <v>5</v>
      </c>
      <c r="K407" s="398"/>
    </row>
    <row r="408" s="29" customFormat="1" ht="26" customHeight="1" spans="1:11">
      <c r="A408" s="370">
        <v>389</v>
      </c>
      <c r="B408" s="126" t="s">
        <v>576</v>
      </c>
      <c r="C408" s="371" t="s">
        <v>1133</v>
      </c>
      <c r="D408" s="371" t="s">
        <v>1151</v>
      </c>
      <c r="E408" s="391">
        <v>2</v>
      </c>
      <c r="F408" s="391"/>
      <c r="G408" s="391">
        <v>2</v>
      </c>
      <c r="H408" s="393"/>
      <c r="I408" s="393"/>
      <c r="J408" s="372">
        <f t="shared" si="52"/>
        <v>2</v>
      </c>
      <c r="K408" s="398"/>
    </row>
    <row r="409" s="29" customFormat="1" ht="26" customHeight="1" spans="1:11">
      <c r="A409" s="370">
        <v>390</v>
      </c>
      <c r="B409" s="126" t="s">
        <v>576</v>
      </c>
      <c r="C409" s="371" t="s">
        <v>1133</v>
      </c>
      <c r="D409" s="371" t="s">
        <v>1152</v>
      </c>
      <c r="E409" s="391">
        <v>28</v>
      </c>
      <c r="F409" s="391"/>
      <c r="G409" s="391">
        <v>28</v>
      </c>
      <c r="H409" s="393"/>
      <c r="I409" s="393">
        <v>-28</v>
      </c>
      <c r="J409" s="372">
        <f t="shared" si="52"/>
        <v>0</v>
      </c>
      <c r="K409" s="398"/>
    </row>
    <row r="410" s="29" customFormat="1" ht="26" customHeight="1" spans="1:11">
      <c r="A410" s="370">
        <v>391</v>
      </c>
      <c r="B410" s="126" t="s">
        <v>576</v>
      </c>
      <c r="C410" s="371" t="s">
        <v>1133</v>
      </c>
      <c r="D410" s="371" t="s">
        <v>1153</v>
      </c>
      <c r="E410" s="391">
        <v>5</v>
      </c>
      <c r="F410" s="391"/>
      <c r="G410" s="391">
        <v>5</v>
      </c>
      <c r="H410" s="393"/>
      <c r="I410" s="393"/>
      <c r="J410" s="372">
        <f t="shared" si="52"/>
        <v>5</v>
      </c>
      <c r="K410" s="398"/>
    </row>
    <row r="411" s="29" customFormat="1" ht="26" customHeight="1" spans="1:11">
      <c r="A411" s="370">
        <v>392</v>
      </c>
      <c r="B411" s="126" t="s">
        <v>576</v>
      </c>
      <c r="C411" s="371" t="s">
        <v>1133</v>
      </c>
      <c r="D411" s="371" t="s">
        <v>1154</v>
      </c>
      <c r="E411" s="391">
        <v>10</v>
      </c>
      <c r="F411" s="391"/>
      <c r="G411" s="391">
        <v>0</v>
      </c>
      <c r="H411" s="393"/>
      <c r="I411" s="393"/>
      <c r="J411" s="372">
        <f t="shared" si="52"/>
        <v>10</v>
      </c>
      <c r="K411" s="398"/>
    </row>
    <row r="412" s="29" customFormat="1" ht="26" customHeight="1" spans="1:11">
      <c r="A412" s="370">
        <v>393</v>
      </c>
      <c r="B412" s="126" t="s">
        <v>576</v>
      </c>
      <c r="C412" s="371" t="s">
        <v>1133</v>
      </c>
      <c r="D412" s="371" t="s">
        <v>1155</v>
      </c>
      <c r="E412" s="391">
        <v>10</v>
      </c>
      <c r="F412" s="391"/>
      <c r="G412" s="391">
        <v>4.5</v>
      </c>
      <c r="H412" s="393"/>
      <c r="I412" s="393"/>
      <c r="J412" s="372">
        <f t="shared" si="52"/>
        <v>10</v>
      </c>
      <c r="K412" s="398"/>
    </row>
    <row r="413" s="29" customFormat="1" ht="26" customHeight="1" spans="1:11">
      <c r="A413" s="370">
        <v>394</v>
      </c>
      <c r="B413" s="126" t="s">
        <v>576</v>
      </c>
      <c r="C413" s="371" t="s">
        <v>1133</v>
      </c>
      <c r="D413" s="371" t="s">
        <v>1156</v>
      </c>
      <c r="E413" s="391">
        <v>3</v>
      </c>
      <c r="F413" s="391"/>
      <c r="G413" s="391">
        <v>1</v>
      </c>
      <c r="H413" s="393"/>
      <c r="I413" s="393"/>
      <c r="J413" s="372">
        <f t="shared" si="52"/>
        <v>3</v>
      </c>
      <c r="K413" s="398"/>
    </row>
    <row r="414" s="29" customFormat="1" ht="26" customHeight="1" spans="1:11">
      <c r="A414" s="370">
        <v>395</v>
      </c>
      <c r="B414" s="126" t="s">
        <v>576</v>
      </c>
      <c r="C414" s="371" t="s">
        <v>1133</v>
      </c>
      <c r="D414" s="371" t="s">
        <v>1157</v>
      </c>
      <c r="E414" s="391">
        <v>2</v>
      </c>
      <c r="F414" s="391"/>
      <c r="G414" s="391">
        <v>0.3</v>
      </c>
      <c r="H414" s="393"/>
      <c r="I414" s="393"/>
      <c r="J414" s="372">
        <f t="shared" si="52"/>
        <v>2</v>
      </c>
      <c r="K414" s="398"/>
    </row>
    <row r="415" s="29" customFormat="1" ht="26" customHeight="1" spans="1:11">
      <c r="A415" s="370">
        <v>396</v>
      </c>
      <c r="B415" s="126" t="s">
        <v>576</v>
      </c>
      <c r="C415" s="371" t="s">
        <v>1133</v>
      </c>
      <c r="D415" s="371" t="s">
        <v>1158</v>
      </c>
      <c r="E415" s="391">
        <v>3</v>
      </c>
      <c r="F415" s="391"/>
      <c r="G415" s="391">
        <v>0</v>
      </c>
      <c r="H415" s="393"/>
      <c r="I415" s="393"/>
      <c r="J415" s="372">
        <f t="shared" si="52"/>
        <v>3</v>
      </c>
      <c r="K415" s="398"/>
    </row>
    <row r="416" s="29" customFormat="1" ht="26" customHeight="1" spans="1:11">
      <c r="A416" s="370">
        <v>397</v>
      </c>
      <c r="B416" s="126" t="s">
        <v>576</v>
      </c>
      <c r="C416" s="371" t="s">
        <v>1133</v>
      </c>
      <c r="D416" s="371" t="s">
        <v>1159</v>
      </c>
      <c r="E416" s="391">
        <v>9</v>
      </c>
      <c r="F416" s="391"/>
      <c r="G416" s="391">
        <v>5.2</v>
      </c>
      <c r="H416" s="393"/>
      <c r="I416" s="393"/>
      <c r="J416" s="372">
        <f t="shared" si="52"/>
        <v>9</v>
      </c>
      <c r="K416" s="398"/>
    </row>
    <row r="417" s="29" customFormat="1" ht="26" customHeight="1" spans="1:11">
      <c r="A417" s="370">
        <v>398</v>
      </c>
      <c r="B417" s="126" t="s">
        <v>576</v>
      </c>
      <c r="C417" s="371" t="s">
        <v>1133</v>
      </c>
      <c r="D417" s="371" t="s">
        <v>1160</v>
      </c>
      <c r="E417" s="391">
        <v>14.85</v>
      </c>
      <c r="F417" s="391"/>
      <c r="G417" s="391">
        <v>8.925</v>
      </c>
      <c r="H417" s="393"/>
      <c r="I417" s="393"/>
      <c r="J417" s="372">
        <f t="shared" si="52"/>
        <v>14.85</v>
      </c>
      <c r="K417" s="398" t="s">
        <v>1161</v>
      </c>
    </row>
    <row r="418" s="29" customFormat="1" ht="26" customHeight="1" spans="1:11">
      <c r="A418" s="370">
        <v>399</v>
      </c>
      <c r="B418" s="126" t="s">
        <v>576</v>
      </c>
      <c r="C418" s="371" t="s">
        <v>1133</v>
      </c>
      <c r="D418" s="371" t="s">
        <v>1162</v>
      </c>
      <c r="E418" s="391">
        <v>36</v>
      </c>
      <c r="F418" s="391"/>
      <c r="G418" s="391">
        <v>26.568321</v>
      </c>
      <c r="H418" s="393"/>
      <c r="I418" s="393"/>
      <c r="J418" s="372">
        <f t="shared" si="52"/>
        <v>36</v>
      </c>
      <c r="K418" s="398"/>
    </row>
    <row r="419" s="29" customFormat="1" ht="26" customHeight="1" spans="1:11">
      <c r="A419" s="370">
        <v>400</v>
      </c>
      <c r="B419" s="126" t="s">
        <v>576</v>
      </c>
      <c r="C419" s="371" t="s">
        <v>1163</v>
      </c>
      <c r="D419" s="371" t="s">
        <v>1164</v>
      </c>
      <c r="E419" s="391">
        <v>4</v>
      </c>
      <c r="F419" s="391"/>
      <c r="G419" s="391">
        <v>0</v>
      </c>
      <c r="H419" s="393"/>
      <c r="I419" s="393"/>
      <c r="J419" s="372">
        <f t="shared" si="52"/>
        <v>4</v>
      </c>
      <c r="K419" s="398"/>
    </row>
    <row r="420" s="334" customFormat="1" customHeight="1" spans="1:11">
      <c r="A420" s="353">
        <v>401</v>
      </c>
      <c r="B420" s="376" t="s">
        <v>1165</v>
      </c>
      <c r="C420" s="377"/>
      <c r="D420" s="378"/>
      <c r="E420" s="355">
        <f t="shared" ref="E420:J420" si="53">SUM(E396:E419)</f>
        <v>1371.15</v>
      </c>
      <c r="F420" s="355">
        <f t="shared" si="53"/>
        <v>0</v>
      </c>
      <c r="G420" s="355">
        <f t="shared" si="53"/>
        <v>1320.35916</v>
      </c>
      <c r="H420" s="355">
        <f t="shared" si="53"/>
        <v>117.2</v>
      </c>
      <c r="I420" s="355">
        <f t="shared" si="53"/>
        <v>21</v>
      </c>
      <c r="J420" s="355">
        <f t="shared" si="53"/>
        <v>1392.15</v>
      </c>
      <c r="K420" s="388"/>
    </row>
    <row r="421" s="29" customFormat="1" customHeight="1" spans="1:11">
      <c r="A421" s="370">
        <v>402</v>
      </c>
      <c r="B421" s="126" t="s">
        <v>571</v>
      </c>
      <c r="C421" s="371" t="s">
        <v>1166</v>
      </c>
      <c r="D421" s="147" t="s">
        <v>1167</v>
      </c>
      <c r="E421" s="123">
        <v>0</v>
      </c>
      <c r="F421" s="123"/>
      <c r="G421" s="123">
        <v>0</v>
      </c>
      <c r="H421" s="123">
        <v>18</v>
      </c>
      <c r="I421" s="123">
        <v>18</v>
      </c>
      <c r="J421" s="372">
        <f t="shared" ref="J421:J426" si="54">E421+I421</f>
        <v>18</v>
      </c>
      <c r="K421" s="79" t="s">
        <v>1168</v>
      </c>
    </row>
    <row r="422" s="29" customFormat="1" ht="26" customHeight="1" spans="1:11">
      <c r="A422" s="370">
        <v>403</v>
      </c>
      <c r="B422" s="126" t="s">
        <v>569</v>
      </c>
      <c r="C422" s="371" t="s">
        <v>1166</v>
      </c>
      <c r="D422" s="371" t="s">
        <v>1169</v>
      </c>
      <c r="E422" s="391">
        <v>20</v>
      </c>
      <c r="F422" s="391"/>
      <c r="G422" s="391">
        <v>5</v>
      </c>
      <c r="H422" s="393"/>
      <c r="I422" s="393"/>
      <c r="J422" s="372">
        <f t="shared" si="54"/>
        <v>20</v>
      </c>
      <c r="K422" s="398"/>
    </row>
    <row r="423" s="29" customFormat="1" ht="26" customHeight="1" spans="1:11">
      <c r="A423" s="370">
        <v>404</v>
      </c>
      <c r="B423" s="126" t="s">
        <v>569</v>
      </c>
      <c r="C423" s="371" t="s">
        <v>1166</v>
      </c>
      <c r="D423" s="371" t="s">
        <v>1170</v>
      </c>
      <c r="E423" s="391">
        <v>2</v>
      </c>
      <c r="F423" s="391"/>
      <c r="G423" s="391">
        <v>2</v>
      </c>
      <c r="H423" s="393"/>
      <c r="I423" s="393"/>
      <c r="J423" s="372">
        <f t="shared" si="54"/>
        <v>2</v>
      </c>
      <c r="K423" s="398"/>
    </row>
    <row r="424" s="29" customFormat="1" ht="26" customHeight="1" spans="1:11">
      <c r="A424" s="370">
        <v>405</v>
      </c>
      <c r="B424" s="126" t="s">
        <v>569</v>
      </c>
      <c r="C424" s="371" t="s">
        <v>1166</v>
      </c>
      <c r="D424" s="371" t="s">
        <v>1171</v>
      </c>
      <c r="E424" s="391">
        <v>22.386</v>
      </c>
      <c r="F424" s="391"/>
      <c r="G424" s="391">
        <v>9.48</v>
      </c>
      <c r="H424" s="393"/>
      <c r="I424" s="393"/>
      <c r="J424" s="372">
        <f t="shared" si="54"/>
        <v>22.386</v>
      </c>
      <c r="K424" s="398"/>
    </row>
    <row r="425" s="29" customFormat="1" ht="26" customHeight="1" spans="1:11">
      <c r="A425" s="370">
        <v>406</v>
      </c>
      <c r="B425" s="126" t="s">
        <v>569</v>
      </c>
      <c r="C425" s="371" t="s">
        <v>1166</v>
      </c>
      <c r="D425" s="371" t="s">
        <v>1172</v>
      </c>
      <c r="E425" s="391">
        <v>15</v>
      </c>
      <c r="F425" s="391"/>
      <c r="G425" s="391">
        <v>15</v>
      </c>
      <c r="H425" s="393"/>
      <c r="I425" s="393"/>
      <c r="J425" s="372">
        <f t="shared" si="54"/>
        <v>15</v>
      </c>
      <c r="K425" s="398"/>
    </row>
    <row r="426" s="29" customFormat="1" ht="26" customHeight="1" spans="1:11">
      <c r="A426" s="370">
        <v>407</v>
      </c>
      <c r="B426" s="126" t="s">
        <v>580</v>
      </c>
      <c r="C426" s="371" t="s">
        <v>1166</v>
      </c>
      <c r="D426" s="371" t="s">
        <v>1173</v>
      </c>
      <c r="E426" s="391">
        <v>7.2</v>
      </c>
      <c r="F426" s="391"/>
      <c r="G426" s="391">
        <v>0</v>
      </c>
      <c r="H426" s="393">
        <v>0</v>
      </c>
      <c r="I426" s="393">
        <v>0</v>
      </c>
      <c r="J426" s="372">
        <f t="shared" si="54"/>
        <v>7.2</v>
      </c>
      <c r="K426" s="398"/>
    </row>
    <row r="427" s="334" customFormat="1" customHeight="1" spans="1:11">
      <c r="A427" s="353">
        <v>408</v>
      </c>
      <c r="B427" s="376" t="s">
        <v>1174</v>
      </c>
      <c r="C427" s="377"/>
      <c r="D427" s="378"/>
      <c r="E427" s="355">
        <f t="shared" ref="E427:J427" si="55">SUM(E421:E426)</f>
        <v>66.586</v>
      </c>
      <c r="F427" s="355">
        <f t="shared" si="55"/>
        <v>0</v>
      </c>
      <c r="G427" s="355">
        <f t="shared" si="55"/>
        <v>31.48</v>
      </c>
      <c r="H427" s="355">
        <f t="shared" si="55"/>
        <v>18</v>
      </c>
      <c r="I427" s="355">
        <f t="shared" si="55"/>
        <v>18</v>
      </c>
      <c r="J427" s="355">
        <f t="shared" si="55"/>
        <v>84.586</v>
      </c>
      <c r="K427" s="388"/>
    </row>
    <row r="428" s="29" customFormat="1" ht="39" customHeight="1" spans="1:11">
      <c r="A428" s="370">
        <v>409</v>
      </c>
      <c r="B428" s="126" t="s">
        <v>574</v>
      </c>
      <c r="C428" s="371" t="s">
        <v>1175</v>
      </c>
      <c r="D428" s="371" t="s">
        <v>1176</v>
      </c>
      <c r="E428" s="391"/>
      <c r="F428" s="391"/>
      <c r="G428" s="391"/>
      <c r="H428" s="393">
        <v>6</v>
      </c>
      <c r="I428" s="393"/>
      <c r="J428" s="372">
        <f t="shared" ref="J428:J434" si="56">E428+I428</f>
        <v>0</v>
      </c>
      <c r="K428" s="125" t="s">
        <v>1177</v>
      </c>
    </row>
    <row r="429" s="29" customFormat="1" customHeight="1" spans="1:11">
      <c r="A429" s="370">
        <v>410</v>
      </c>
      <c r="B429" s="126" t="s">
        <v>574</v>
      </c>
      <c r="C429" s="371" t="s">
        <v>1175</v>
      </c>
      <c r="D429" s="371" t="s">
        <v>1178</v>
      </c>
      <c r="E429" s="391"/>
      <c r="F429" s="391"/>
      <c r="G429" s="391"/>
      <c r="H429" s="392">
        <v>8</v>
      </c>
      <c r="I429" s="393"/>
      <c r="J429" s="372">
        <f t="shared" si="56"/>
        <v>0</v>
      </c>
      <c r="K429" s="125" t="s">
        <v>1179</v>
      </c>
    </row>
    <row r="430" s="29" customFormat="1" customHeight="1" spans="1:11">
      <c r="A430" s="370">
        <v>411</v>
      </c>
      <c r="B430" s="126" t="s">
        <v>574</v>
      </c>
      <c r="C430" s="371" t="s">
        <v>1175</v>
      </c>
      <c r="D430" s="371" t="s">
        <v>1180</v>
      </c>
      <c r="E430" s="391"/>
      <c r="F430" s="391"/>
      <c r="G430" s="391"/>
      <c r="H430" s="392">
        <v>2</v>
      </c>
      <c r="I430" s="393"/>
      <c r="J430" s="372">
        <f t="shared" si="56"/>
        <v>0</v>
      </c>
      <c r="K430" s="125" t="s">
        <v>1181</v>
      </c>
    </row>
    <row r="431" s="29" customFormat="1" ht="42" customHeight="1" spans="1:11">
      <c r="A431" s="370">
        <v>412</v>
      </c>
      <c r="B431" s="126" t="s">
        <v>574</v>
      </c>
      <c r="C431" s="371" t="s">
        <v>1175</v>
      </c>
      <c r="D431" s="371" t="s">
        <v>1182</v>
      </c>
      <c r="E431" s="391">
        <v>104.4</v>
      </c>
      <c r="F431" s="391"/>
      <c r="G431" s="391">
        <v>40.79</v>
      </c>
      <c r="H431" s="393">
        <v>20.54</v>
      </c>
      <c r="I431" s="393">
        <v>20</v>
      </c>
      <c r="J431" s="372">
        <f t="shared" si="56"/>
        <v>124.4</v>
      </c>
      <c r="K431" s="404"/>
    </row>
    <row r="432" s="29" customFormat="1" customHeight="1" spans="1:11">
      <c r="A432" s="370">
        <v>413</v>
      </c>
      <c r="B432" s="126" t="s">
        <v>574</v>
      </c>
      <c r="C432" s="371" t="s">
        <v>1175</v>
      </c>
      <c r="D432" s="371" t="s">
        <v>1183</v>
      </c>
      <c r="E432" s="391">
        <v>11</v>
      </c>
      <c r="F432" s="391"/>
      <c r="G432" s="391">
        <v>5</v>
      </c>
      <c r="H432" s="393">
        <v>1.8</v>
      </c>
      <c r="I432" s="393"/>
      <c r="J432" s="372">
        <f t="shared" si="56"/>
        <v>11</v>
      </c>
      <c r="K432" s="125" t="s">
        <v>1184</v>
      </c>
    </row>
    <row r="433" s="29" customFormat="1" customHeight="1" spans="1:11">
      <c r="A433" s="370">
        <v>414</v>
      </c>
      <c r="B433" s="126" t="s">
        <v>574</v>
      </c>
      <c r="C433" s="371" t="s">
        <v>1175</v>
      </c>
      <c r="D433" s="371" t="s">
        <v>1185</v>
      </c>
      <c r="E433" s="391">
        <v>80</v>
      </c>
      <c r="F433" s="391"/>
      <c r="G433" s="391">
        <v>80</v>
      </c>
      <c r="H433" s="393">
        <v>18</v>
      </c>
      <c r="I433" s="393"/>
      <c r="J433" s="372">
        <f t="shared" si="56"/>
        <v>80</v>
      </c>
      <c r="K433" s="125" t="s">
        <v>1186</v>
      </c>
    </row>
    <row r="434" s="29" customFormat="1" customHeight="1" spans="1:11">
      <c r="A434" s="370">
        <v>415</v>
      </c>
      <c r="B434" s="126" t="s">
        <v>574</v>
      </c>
      <c r="C434" s="371" t="s">
        <v>1175</v>
      </c>
      <c r="D434" s="371" t="s">
        <v>1187</v>
      </c>
      <c r="E434" s="391">
        <v>35</v>
      </c>
      <c r="F434" s="391"/>
      <c r="G434" s="391">
        <v>17.768</v>
      </c>
      <c r="H434" s="393">
        <v>11</v>
      </c>
      <c r="I434" s="393"/>
      <c r="J434" s="372">
        <f t="shared" si="56"/>
        <v>35</v>
      </c>
      <c r="K434" s="125" t="s">
        <v>1188</v>
      </c>
    </row>
    <row r="435" s="334" customFormat="1" customHeight="1" spans="1:11">
      <c r="A435" s="353">
        <v>416</v>
      </c>
      <c r="B435" s="376" t="s">
        <v>1189</v>
      </c>
      <c r="C435" s="377"/>
      <c r="D435" s="378"/>
      <c r="E435" s="355">
        <f t="shared" ref="E435:J435" si="57">SUM(E428:E434)</f>
        <v>230.4</v>
      </c>
      <c r="F435" s="355">
        <f t="shared" si="57"/>
        <v>0</v>
      </c>
      <c r="G435" s="355">
        <f t="shared" si="57"/>
        <v>143.558</v>
      </c>
      <c r="H435" s="355">
        <f t="shared" si="57"/>
        <v>67.34</v>
      </c>
      <c r="I435" s="355">
        <f t="shared" si="57"/>
        <v>20</v>
      </c>
      <c r="J435" s="355">
        <f t="shared" si="57"/>
        <v>250.4</v>
      </c>
      <c r="K435" s="388"/>
    </row>
    <row r="436" s="29" customFormat="1" ht="26" customHeight="1" spans="1:11">
      <c r="A436" s="370">
        <v>417</v>
      </c>
      <c r="B436" s="126" t="s">
        <v>574</v>
      </c>
      <c r="C436" s="371" t="s">
        <v>1190</v>
      </c>
      <c r="D436" s="371" t="s">
        <v>1191</v>
      </c>
      <c r="E436" s="391"/>
      <c r="F436" s="391"/>
      <c r="G436" s="391"/>
      <c r="H436" s="393">
        <v>85</v>
      </c>
      <c r="I436" s="393">
        <v>50</v>
      </c>
      <c r="J436" s="372">
        <f t="shared" ref="J436:J438" si="58">E436+I436</f>
        <v>50</v>
      </c>
      <c r="K436" s="398"/>
    </row>
    <row r="437" s="29" customFormat="1" ht="26" customHeight="1" spans="1:11">
      <c r="A437" s="370">
        <v>418</v>
      </c>
      <c r="B437" s="126" t="s">
        <v>574</v>
      </c>
      <c r="C437" s="371" t="s">
        <v>1190</v>
      </c>
      <c r="D437" s="371" t="s">
        <v>1192</v>
      </c>
      <c r="E437" s="391">
        <v>12</v>
      </c>
      <c r="F437" s="391"/>
      <c r="G437" s="391">
        <v>1</v>
      </c>
      <c r="H437" s="393"/>
      <c r="I437" s="393"/>
      <c r="J437" s="372">
        <f t="shared" si="58"/>
        <v>12</v>
      </c>
      <c r="K437" s="398"/>
    </row>
    <row r="438" s="29" customFormat="1" ht="26" customHeight="1" spans="1:11">
      <c r="A438" s="370">
        <v>419</v>
      </c>
      <c r="B438" s="126" t="s">
        <v>574</v>
      </c>
      <c r="C438" s="371" t="s">
        <v>1190</v>
      </c>
      <c r="D438" s="371" t="s">
        <v>1193</v>
      </c>
      <c r="E438" s="391">
        <v>5</v>
      </c>
      <c r="F438" s="391"/>
      <c r="G438" s="391">
        <v>4.274797</v>
      </c>
      <c r="H438" s="393"/>
      <c r="I438" s="393"/>
      <c r="J438" s="372">
        <f t="shared" si="58"/>
        <v>5</v>
      </c>
      <c r="K438" s="398"/>
    </row>
    <row r="439" s="334" customFormat="1" customHeight="1" spans="1:11">
      <c r="A439" s="353">
        <v>420</v>
      </c>
      <c r="B439" s="376" t="s">
        <v>1194</v>
      </c>
      <c r="C439" s="377"/>
      <c r="D439" s="378"/>
      <c r="E439" s="355">
        <f t="shared" ref="E439:J439" si="59">SUM(E436:E438)</f>
        <v>17</v>
      </c>
      <c r="F439" s="355">
        <f t="shared" si="59"/>
        <v>0</v>
      </c>
      <c r="G439" s="355">
        <f t="shared" si="59"/>
        <v>5.274797</v>
      </c>
      <c r="H439" s="355">
        <f t="shared" si="59"/>
        <v>85</v>
      </c>
      <c r="I439" s="355">
        <f t="shared" si="59"/>
        <v>50</v>
      </c>
      <c r="J439" s="355">
        <f t="shared" si="59"/>
        <v>67</v>
      </c>
      <c r="K439" s="388"/>
    </row>
    <row r="440" s="29" customFormat="1" ht="26" customHeight="1" spans="1:11">
      <c r="A440" s="370">
        <v>421</v>
      </c>
      <c r="B440" s="126" t="s">
        <v>569</v>
      </c>
      <c r="C440" s="371" t="s">
        <v>1195</v>
      </c>
      <c r="D440" s="371" t="s">
        <v>1196</v>
      </c>
      <c r="E440" s="391">
        <v>2</v>
      </c>
      <c r="F440" s="391"/>
      <c r="G440" s="391">
        <v>0</v>
      </c>
      <c r="H440" s="393"/>
      <c r="I440" s="393"/>
      <c r="J440" s="372">
        <f t="shared" ref="J440:J458" si="60">E440+I440</f>
        <v>2</v>
      </c>
      <c r="K440" s="398"/>
    </row>
    <row r="441" s="29" customFormat="1" ht="26" customHeight="1" spans="1:11">
      <c r="A441" s="370">
        <v>422</v>
      </c>
      <c r="B441" s="126" t="s">
        <v>569</v>
      </c>
      <c r="C441" s="371" t="s">
        <v>1195</v>
      </c>
      <c r="D441" s="371" t="s">
        <v>1197</v>
      </c>
      <c r="E441" s="391">
        <v>1</v>
      </c>
      <c r="F441" s="391"/>
      <c r="G441" s="391">
        <v>0</v>
      </c>
      <c r="H441" s="393"/>
      <c r="I441" s="393"/>
      <c r="J441" s="372">
        <f t="shared" si="60"/>
        <v>1</v>
      </c>
      <c r="K441" s="398"/>
    </row>
    <row r="442" s="29" customFormat="1" ht="26" customHeight="1" spans="1:11">
      <c r="A442" s="370">
        <v>423</v>
      </c>
      <c r="B442" s="126" t="s">
        <v>569</v>
      </c>
      <c r="C442" s="371" t="s">
        <v>1195</v>
      </c>
      <c r="D442" s="371" t="s">
        <v>1198</v>
      </c>
      <c r="E442" s="391">
        <v>4</v>
      </c>
      <c r="F442" s="391"/>
      <c r="G442" s="391">
        <v>4</v>
      </c>
      <c r="H442" s="393"/>
      <c r="I442" s="393"/>
      <c r="J442" s="372">
        <f t="shared" si="60"/>
        <v>4</v>
      </c>
      <c r="K442" s="398"/>
    </row>
    <row r="443" s="29" customFormat="1" ht="26" customHeight="1" spans="1:11">
      <c r="A443" s="370">
        <v>424</v>
      </c>
      <c r="B443" s="126" t="s">
        <v>569</v>
      </c>
      <c r="C443" s="371" t="s">
        <v>1195</v>
      </c>
      <c r="D443" s="371" t="s">
        <v>201</v>
      </c>
      <c r="E443" s="391">
        <v>15</v>
      </c>
      <c r="F443" s="391"/>
      <c r="G443" s="391">
        <v>3</v>
      </c>
      <c r="H443" s="393"/>
      <c r="I443" s="393"/>
      <c r="J443" s="372">
        <f t="shared" si="60"/>
        <v>15</v>
      </c>
      <c r="K443" s="398"/>
    </row>
    <row r="444" s="29" customFormat="1" ht="26" customHeight="1" spans="1:11">
      <c r="A444" s="370">
        <v>425</v>
      </c>
      <c r="B444" s="126" t="s">
        <v>569</v>
      </c>
      <c r="C444" s="371" t="s">
        <v>1195</v>
      </c>
      <c r="D444" s="371" t="s">
        <v>1199</v>
      </c>
      <c r="E444" s="391">
        <v>5</v>
      </c>
      <c r="F444" s="391"/>
      <c r="G444" s="391">
        <v>0</v>
      </c>
      <c r="H444" s="393"/>
      <c r="I444" s="393"/>
      <c r="J444" s="372">
        <f t="shared" si="60"/>
        <v>5</v>
      </c>
      <c r="K444" s="398"/>
    </row>
    <row r="445" s="29" customFormat="1" ht="26" customHeight="1" spans="1:11">
      <c r="A445" s="370">
        <v>426</v>
      </c>
      <c r="B445" s="126" t="s">
        <v>569</v>
      </c>
      <c r="C445" s="371" t="s">
        <v>1195</v>
      </c>
      <c r="D445" s="371" t="s">
        <v>1200</v>
      </c>
      <c r="E445" s="391">
        <v>5</v>
      </c>
      <c r="F445" s="391"/>
      <c r="G445" s="391">
        <v>5</v>
      </c>
      <c r="H445" s="393"/>
      <c r="I445" s="393"/>
      <c r="J445" s="372">
        <f t="shared" si="60"/>
        <v>5</v>
      </c>
      <c r="K445" s="398"/>
    </row>
    <row r="446" s="29" customFormat="1" ht="26" customHeight="1" spans="1:11">
      <c r="A446" s="370">
        <v>427</v>
      </c>
      <c r="B446" s="126" t="s">
        <v>569</v>
      </c>
      <c r="C446" s="371" t="s">
        <v>1195</v>
      </c>
      <c r="D446" s="371" t="s">
        <v>1201</v>
      </c>
      <c r="E446" s="391">
        <v>8.5</v>
      </c>
      <c r="F446" s="391"/>
      <c r="G446" s="391">
        <v>8.5</v>
      </c>
      <c r="H446" s="393"/>
      <c r="I446" s="393"/>
      <c r="J446" s="372">
        <f t="shared" si="60"/>
        <v>8.5</v>
      </c>
      <c r="K446" s="398"/>
    </row>
    <row r="447" s="29" customFormat="1" ht="26" customHeight="1" spans="1:11">
      <c r="A447" s="370">
        <v>428</v>
      </c>
      <c r="B447" s="126" t="s">
        <v>569</v>
      </c>
      <c r="C447" s="371" t="s">
        <v>1195</v>
      </c>
      <c r="D447" s="371" t="s">
        <v>1202</v>
      </c>
      <c r="E447" s="391">
        <v>2</v>
      </c>
      <c r="F447" s="391"/>
      <c r="G447" s="391">
        <v>2</v>
      </c>
      <c r="H447" s="393"/>
      <c r="I447" s="393"/>
      <c r="J447" s="372">
        <f t="shared" si="60"/>
        <v>2</v>
      </c>
      <c r="K447" s="398"/>
    </row>
    <row r="448" s="29" customFormat="1" ht="26" customHeight="1" spans="1:11">
      <c r="A448" s="370">
        <v>429</v>
      </c>
      <c r="B448" s="126" t="s">
        <v>569</v>
      </c>
      <c r="C448" s="371" t="s">
        <v>1195</v>
      </c>
      <c r="D448" s="371" t="s">
        <v>1203</v>
      </c>
      <c r="E448" s="391">
        <v>1</v>
      </c>
      <c r="F448" s="391"/>
      <c r="G448" s="391">
        <v>1</v>
      </c>
      <c r="H448" s="393"/>
      <c r="I448" s="393"/>
      <c r="J448" s="372">
        <f t="shared" si="60"/>
        <v>1</v>
      </c>
      <c r="K448" s="398"/>
    </row>
    <row r="449" s="29" customFormat="1" ht="26" customHeight="1" spans="1:11">
      <c r="A449" s="370">
        <v>430</v>
      </c>
      <c r="B449" s="126" t="s">
        <v>569</v>
      </c>
      <c r="C449" s="371" t="s">
        <v>1195</v>
      </c>
      <c r="D449" s="371" t="s">
        <v>1204</v>
      </c>
      <c r="E449" s="391">
        <v>2</v>
      </c>
      <c r="F449" s="391"/>
      <c r="G449" s="391">
        <v>2</v>
      </c>
      <c r="H449" s="393"/>
      <c r="I449" s="393"/>
      <c r="J449" s="372">
        <f t="shared" si="60"/>
        <v>2</v>
      </c>
      <c r="K449" s="398"/>
    </row>
    <row r="450" s="29" customFormat="1" ht="26" customHeight="1" spans="1:11">
      <c r="A450" s="370">
        <v>431</v>
      </c>
      <c r="B450" s="126" t="s">
        <v>569</v>
      </c>
      <c r="C450" s="371" t="s">
        <v>1195</v>
      </c>
      <c r="D450" s="371" t="s">
        <v>1205</v>
      </c>
      <c r="E450" s="391">
        <v>18</v>
      </c>
      <c r="F450" s="391"/>
      <c r="G450" s="391">
        <v>18</v>
      </c>
      <c r="H450" s="393"/>
      <c r="I450" s="393"/>
      <c r="J450" s="372">
        <f t="shared" si="60"/>
        <v>18</v>
      </c>
      <c r="K450" s="398" t="s">
        <v>1206</v>
      </c>
    </row>
    <row r="451" s="29" customFormat="1" ht="26" customHeight="1" spans="1:11">
      <c r="A451" s="370">
        <v>432</v>
      </c>
      <c r="B451" s="126" t="s">
        <v>569</v>
      </c>
      <c r="C451" s="371" t="s">
        <v>1195</v>
      </c>
      <c r="D451" s="371" t="s">
        <v>1207</v>
      </c>
      <c r="E451" s="391">
        <v>5</v>
      </c>
      <c r="F451" s="391"/>
      <c r="G451" s="391">
        <v>5</v>
      </c>
      <c r="H451" s="393"/>
      <c r="I451" s="393"/>
      <c r="J451" s="372">
        <f t="shared" si="60"/>
        <v>5</v>
      </c>
      <c r="K451" s="398"/>
    </row>
    <row r="452" s="29" customFormat="1" ht="26" customHeight="1" spans="1:11">
      <c r="A452" s="370">
        <v>433</v>
      </c>
      <c r="B452" s="126" t="s">
        <v>569</v>
      </c>
      <c r="C452" s="371" t="s">
        <v>1195</v>
      </c>
      <c r="D452" s="371" t="s">
        <v>1208</v>
      </c>
      <c r="E452" s="391">
        <v>15</v>
      </c>
      <c r="F452" s="391"/>
      <c r="G452" s="391">
        <v>15</v>
      </c>
      <c r="H452" s="393"/>
      <c r="I452" s="393"/>
      <c r="J452" s="372">
        <f t="shared" si="60"/>
        <v>15</v>
      </c>
      <c r="K452" s="398"/>
    </row>
    <row r="453" s="29" customFormat="1" ht="26" customHeight="1" spans="1:11">
      <c r="A453" s="370">
        <v>434</v>
      </c>
      <c r="B453" s="126" t="s">
        <v>569</v>
      </c>
      <c r="C453" s="371" t="s">
        <v>1195</v>
      </c>
      <c r="D453" s="371" t="s">
        <v>1209</v>
      </c>
      <c r="E453" s="391">
        <v>2</v>
      </c>
      <c r="F453" s="391"/>
      <c r="G453" s="391">
        <v>2</v>
      </c>
      <c r="H453" s="393"/>
      <c r="I453" s="393"/>
      <c r="J453" s="372">
        <f t="shared" si="60"/>
        <v>2</v>
      </c>
      <c r="K453" s="398"/>
    </row>
    <row r="454" s="29" customFormat="1" ht="26" customHeight="1" spans="1:11">
      <c r="A454" s="370">
        <v>435</v>
      </c>
      <c r="B454" s="126" t="s">
        <v>569</v>
      </c>
      <c r="C454" s="371" t="s">
        <v>1195</v>
      </c>
      <c r="D454" s="371" t="s">
        <v>1210</v>
      </c>
      <c r="E454" s="391">
        <v>1</v>
      </c>
      <c r="F454" s="391"/>
      <c r="G454" s="391">
        <v>1</v>
      </c>
      <c r="H454" s="393"/>
      <c r="I454" s="393"/>
      <c r="J454" s="372">
        <f t="shared" si="60"/>
        <v>1</v>
      </c>
      <c r="K454" s="398"/>
    </row>
    <row r="455" s="29" customFormat="1" ht="26" customHeight="1" spans="1:11">
      <c r="A455" s="370">
        <v>436</v>
      </c>
      <c r="B455" s="126" t="s">
        <v>569</v>
      </c>
      <c r="C455" s="371" t="s">
        <v>1195</v>
      </c>
      <c r="D455" s="371" t="s">
        <v>1211</v>
      </c>
      <c r="E455" s="391">
        <v>56.7</v>
      </c>
      <c r="F455" s="391"/>
      <c r="G455" s="391">
        <v>22.17</v>
      </c>
      <c r="H455" s="393"/>
      <c r="I455" s="393"/>
      <c r="J455" s="372">
        <f t="shared" si="60"/>
        <v>56.7</v>
      </c>
      <c r="K455" s="398"/>
    </row>
    <row r="456" s="29" customFormat="1" ht="26" customHeight="1" spans="1:11">
      <c r="A456" s="370">
        <v>437</v>
      </c>
      <c r="B456" s="126" t="s">
        <v>569</v>
      </c>
      <c r="C456" s="371" t="s">
        <v>1195</v>
      </c>
      <c r="D456" s="371" t="s">
        <v>1212</v>
      </c>
      <c r="E456" s="391">
        <v>70.349472</v>
      </c>
      <c r="F456" s="391"/>
      <c r="G456" s="391">
        <v>25.89</v>
      </c>
      <c r="H456" s="393"/>
      <c r="I456" s="393"/>
      <c r="J456" s="372">
        <f t="shared" si="60"/>
        <v>70.349472</v>
      </c>
      <c r="K456" s="398"/>
    </row>
    <row r="457" s="29" customFormat="1" customHeight="1" spans="1:11">
      <c r="A457" s="370">
        <v>438</v>
      </c>
      <c r="B457" s="405" t="s">
        <v>569</v>
      </c>
      <c r="C457" s="79" t="s">
        <v>1195</v>
      </c>
      <c r="D457" s="394" t="s">
        <v>1213</v>
      </c>
      <c r="E457" s="123">
        <v>0</v>
      </c>
      <c r="F457" s="123"/>
      <c r="G457" s="123">
        <v>0</v>
      </c>
      <c r="H457" s="372">
        <v>19.82</v>
      </c>
      <c r="I457" s="372">
        <v>0</v>
      </c>
      <c r="J457" s="372">
        <f t="shared" si="60"/>
        <v>0</v>
      </c>
      <c r="K457" s="394" t="s">
        <v>1214</v>
      </c>
    </row>
    <row r="458" s="29" customFormat="1" customHeight="1" spans="1:11">
      <c r="A458" s="370">
        <v>439</v>
      </c>
      <c r="B458" s="405" t="s">
        <v>569</v>
      </c>
      <c r="C458" s="79" t="s">
        <v>1195</v>
      </c>
      <c r="D458" s="394" t="s">
        <v>1215</v>
      </c>
      <c r="E458" s="123">
        <v>0</v>
      </c>
      <c r="F458" s="123"/>
      <c r="G458" s="123">
        <v>0</v>
      </c>
      <c r="H458" s="372">
        <v>12.74</v>
      </c>
      <c r="I458" s="372">
        <v>0</v>
      </c>
      <c r="J458" s="372">
        <f t="shared" si="60"/>
        <v>0</v>
      </c>
      <c r="K458" s="394" t="s">
        <v>1214</v>
      </c>
    </row>
    <row r="459" s="334" customFormat="1" customHeight="1" spans="1:11">
      <c r="A459" s="353">
        <v>440</v>
      </c>
      <c r="B459" s="376" t="s">
        <v>1216</v>
      </c>
      <c r="C459" s="377"/>
      <c r="D459" s="378"/>
      <c r="E459" s="355">
        <f t="shared" ref="E459:J459" si="61">SUM(E440:E458)</f>
        <v>213.549472</v>
      </c>
      <c r="F459" s="355">
        <f t="shared" si="61"/>
        <v>0</v>
      </c>
      <c r="G459" s="355">
        <f t="shared" si="61"/>
        <v>114.56</v>
      </c>
      <c r="H459" s="355">
        <f t="shared" si="61"/>
        <v>32.56</v>
      </c>
      <c r="I459" s="355">
        <f t="shared" si="61"/>
        <v>0</v>
      </c>
      <c r="J459" s="355">
        <f t="shared" si="61"/>
        <v>213.549472</v>
      </c>
      <c r="K459" s="388"/>
    </row>
    <row r="460" s="29" customFormat="1" ht="26" customHeight="1" spans="1:11">
      <c r="A460" s="370">
        <v>441</v>
      </c>
      <c r="B460" s="126" t="s">
        <v>580</v>
      </c>
      <c r="C460" s="371" t="s">
        <v>1217</v>
      </c>
      <c r="D460" s="371" t="s">
        <v>853</v>
      </c>
      <c r="E460" s="391">
        <v>10</v>
      </c>
      <c r="F460" s="391"/>
      <c r="G460" s="391">
        <v>0</v>
      </c>
      <c r="H460" s="393">
        <v>0</v>
      </c>
      <c r="I460" s="393">
        <v>0</v>
      </c>
      <c r="J460" s="372">
        <f t="shared" ref="J460:J464" si="62">E460+I460</f>
        <v>10</v>
      </c>
      <c r="K460" s="398"/>
    </row>
    <row r="461" s="29" customFormat="1" ht="60" customHeight="1" spans="1:11">
      <c r="A461" s="370">
        <v>442</v>
      </c>
      <c r="B461" s="406" t="s">
        <v>580</v>
      </c>
      <c r="C461" s="404" t="s">
        <v>1217</v>
      </c>
      <c r="D461" s="404" t="s">
        <v>1218</v>
      </c>
      <c r="E461" s="372">
        <v>26.1</v>
      </c>
      <c r="F461" s="372"/>
      <c r="G461" s="372">
        <v>26.1</v>
      </c>
      <c r="H461" s="372">
        <v>0</v>
      </c>
      <c r="I461" s="372">
        <v>-16.1</v>
      </c>
      <c r="J461" s="372">
        <f t="shared" si="62"/>
        <v>10</v>
      </c>
      <c r="K461" s="79" t="s">
        <v>1219</v>
      </c>
    </row>
    <row r="462" s="29" customFormat="1" ht="78" customHeight="1" spans="1:11">
      <c r="A462" s="370">
        <v>443</v>
      </c>
      <c r="B462" s="406" t="s">
        <v>580</v>
      </c>
      <c r="C462" s="404" t="s">
        <v>1217</v>
      </c>
      <c r="D462" s="404" t="s">
        <v>1220</v>
      </c>
      <c r="E462" s="372">
        <v>16.2</v>
      </c>
      <c r="F462" s="372"/>
      <c r="G462" s="372">
        <v>0</v>
      </c>
      <c r="H462" s="372">
        <v>8</v>
      </c>
      <c r="I462" s="372">
        <v>3.8</v>
      </c>
      <c r="J462" s="372">
        <f t="shared" si="62"/>
        <v>20</v>
      </c>
      <c r="K462" s="394" t="s">
        <v>1221</v>
      </c>
    </row>
    <row r="463" s="29" customFormat="1" ht="26" customHeight="1" spans="1:11">
      <c r="A463" s="370">
        <v>444</v>
      </c>
      <c r="B463" s="126" t="s">
        <v>580</v>
      </c>
      <c r="C463" s="371" t="s">
        <v>1217</v>
      </c>
      <c r="D463" s="371" t="s">
        <v>1222</v>
      </c>
      <c r="E463" s="391">
        <v>1.92</v>
      </c>
      <c r="F463" s="391"/>
      <c r="G463" s="391">
        <v>0</v>
      </c>
      <c r="H463" s="393">
        <v>0</v>
      </c>
      <c r="I463" s="393">
        <v>0</v>
      </c>
      <c r="J463" s="372">
        <f t="shared" si="62"/>
        <v>1.92</v>
      </c>
      <c r="K463" s="398"/>
    </row>
    <row r="464" s="29" customFormat="1" ht="26" customHeight="1" spans="1:11">
      <c r="A464" s="370">
        <v>445</v>
      </c>
      <c r="B464" s="126" t="s">
        <v>580</v>
      </c>
      <c r="C464" s="371" t="s">
        <v>1217</v>
      </c>
      <c r="D464" s="371" t="s">
        <v>1223</v>
      </c>
      <c r="E464" s="391">
        <v>2</v>
      </c>
      <c r="F464" s="391"/>
      <c r="G464" s="391">
        <v>0</v>
      </c>
      <c r="H464" s="393">
        <v>0</v>
      </c>
      <c r="I464" s="393">
        <v>0</v>
      </c>
      <c r="J464" s="372">
        <f t="shared" si="62"/>
        <v>2</v>
      </c>
      <c r="K464" s="398"/>
    </row>
    <row r="465" s="334" customFormat="1" customHeight="1" spans="1:11">
      <c r="A465" s="353">
        <v>446</v>
      </c>
      <c r="B465" s="376" t="s">
        <v>1224</v>
      </c>
      <c r="C465" s="377"/>
      <c r="D465" s="378"/>
      <c r="E465" s="355">
        <f t="shared" ref="E465:J465" si="63">SUM(E460:E464)</f>
        <v>56.22</v>
      </c>
      <c r="F465" s="355">
        <f t="shared" si="63"/>
        <v>0</v>
      </c>
      <c r="G465" s="355">
        <f t="shared" si="63"/>
        <v>26.1</v>
      </c>
      <c r="H465" s="355">
        <f t="shared" si="63"/>
        <v>8</v>
      </c>
      <c r="I465" s="355">
        <f t="shared" si="63"/>
        <v>-12.3</v>
      </c>
      <c r="J465" s="355">
        <f t="shared" si="63"/>
        <v>43.92</v>
      </c>
      <c r="K465" s="388"/>
    </row>
    <row r="466" s="29" customFormat="1" ht="26" customHeight="1" spans="1:11">
      <c r="A466" s="370">
        <v>447</v>
      </c>
      <c r="B466" s="126" t="s">
        <v>569</v>
      </c>
      <c r="C466" s="371" t="s">
        <v>1225</v>
      </c>
      <c r="D466" s="371" t="s">
        <v>1226</v>
      </c>
      <c r="E466" s="391">
        <v>2</v>
      </c>
      <c r="F466" s="391"/>
      <c r="G466" s="391">
        <v>2</v>
      </c>
      <c r="H466" s="393"/>
      <c r="I466" s="393"/>
      <c r="J466" s="372">
        <f t="shared" ref="J466:J478" si="64">E466+I466</f>
        <v>2</v>
      </c>
      <c r="K466" s="398"/>
    </row>
    <row r="467" s="29" customFormat="1" ht="26" customHeight="1" spans="1:11">
      <c r="A467" s="370">
        <v>448</v>
      </c>
      <c r="B467" s="126" t="s">
        <v>569</v>
      </c>
      <c r="C467" s="371" t="s">
        <v>1225</v>
      </c>
      <c r="D467" s="371" t="s">
        <v>1227</v>
      </c>
      <c r="E467" s="391">
        <v>1.5</v>
      </c>
      <c r="F467" s="391"/>
      <c r="G467" s="391">
        <v>1.5</v>
      </c>
      <c r="H467" s="393"/>
      <c r="I467" s="393"/>
      <c r="J467" s="372">
        <f t="shared" si="64"/>
        <v>1.5</v>
      </c>
      <c r="K467" s="398"/>
    </row>
    <row r="468" s="334" customFormat="1" customHeight="1" spans="1:11">
      <c r="A468" s="353">
        <v>449</v>
      </c>
      <c r="B468" s="376" t="s">
        <v>1228</v>
      </c>
      <c r="C468" s="377"/>
      <c r="D468" s="378"/>
      <c r="E468" s="355">
        <f t="shared" ref="E468:J468" si="65">SUM(E466:E467)</f>
        <v>3.5</v>
      </c>
      <c r="F468" s="355">
        <f t="shared" si="65"/>
        <v>0</v>
      </c>
      <c r="G468" s="355">
        <f t="shared" si="65"/>
        <v>3.5</v>
      </c>
      <c r="H468" s="355">
        <f t="shared" si="65"/>
        <v>0</v>
      </c>
      <c r="I468" s="355">
        <f t="shared" si="65"/>
        <v>0</v>
      </c>
      <c r="J468" s="355">
        <f t="shared" si="65"/>
        <v>3.5</v>
      </c>
      <c r="K468" s="388"/>
    </row>
    <row r="469" s="29" customFormat="1" ht="26" customHeight="1" spans="1:11">
      <c r="A469" s="370">
        <v>450</v>
      </c>
      <c r="B469" s="126" t="s">
        <v>576</v>
      </c>
      <c r="C469" s="371" t="s">
        <v>1229</v>
      </c>
      <c r="D469" s="371" t="s">
        <v>1230</v>
      </c>
      <c r="E469" s="391">
        <v>36.56</v>
      </c>
      <c r="F469" s="391"/>
      <c r="G469" s="391">
        <v>0.2</v>
      </c>
      <c r="H469" s="393"/>
      <c r="I469" s="393">
        <v>-0.2</v>
      </c>
      <c r="J469" s="372">
        <f t="shared" si="64"/>
        <v>36.36</v>
      </c>
      <c r="K469" s="398"/>
    </row>
    <row r="470" s="29" customFormat="1" ht="26" customHeight="1" spans="1:11">
      <c r="A470" s="370">
        <v>451</v>
      </c>
      <c r="B470" s="126" t="s">
        <v>576</v>
      </c>
      <c r="C470" s="371" t="s">
        <v>1229</v>
      </c>
      <c r="D470" s="371" t="s">
        <v>1231</v>
      </c>
      <c r="E470" s="391">
        <v>48</v>
      </c>
      <c r="F470" s="391"/>
      <c r="G470" s="391">
        <v>0.108</v>
      </c>
      <c r="H470" s="393"/>
      <c r="I470" s="393"/>
      <c r="J470" s="372">
        <f t="shared" si="64"/>
        <v>48</v>
      </c>
      <c r="K470" s="398"/>
    </row>
    <row r="471" s="29" customFormat="1" customHeight="1" spans="1:11">
      <c r="A471" s="370">
        <v>452</v>
      </c>
      <c r="B471" s="406" t="s">
        <v>576</v>
      </c>
      <c r="C471" s="79" t="s">
        <v>1229</v>
      </c>
      <c r="D471" s="79" t="s">
        <v>1232</v>
      </c>
      <c r="E471" s="391">
        <v>100</v>
      </c>
      <c r="F471" s="391"/>
      <c r="G471" s="391">
        <v>100</v>
      </c>
      <c r="H471" s="391"/>
      <c r="I471" s="391"/>
      <c r="J471" s="372">
        <f t="shared" si="64"/>
        <v>100</v>
      </c>
      <c r="K471" s="79" t="s">
        <v>1233</v>
      </c>
    </row>
    <row r="472" s="29" customFormat="1" customHeight="1" spans="1:11">
      <c r="A472" s="370">
        <v>453</v>
      </c>
      <c r="B472" s="406" t="s">
        <v>576</v>
      </c>
      <c r="C472" s="79" t="s">
        <v>1229</v>
      </c>
      <c r="D472" s="79" t="s">
        <v>1234</v>
      </c>
      <c r="E472" s="390">
        <v>276.2</v>
      </c>
      <c r="F472" s="390"/>
      <c r="G472" s="390">
        <v>275.78</v>
      </c>
      <c r="H472" s="390">
        <v>-153</v>
      </c>
      <c r="I472" s="390">
        <v>-153</v>
      </c>
      <c r="J472" s="372">
        <f t="shared" si="64"/>
        <v>123.2</v>
      </c>
      <c r="K472" s="79" t="s">
        <v>1235</v>
      </c>
    </row>
    <row r="473" s="29" customFormat="1" customHeight="1" spans="1:11">
      <c r="A473" s="370">
        <v>454</v>
      </c>
      <c r="B473" s="406" t="s">
        <v>576</v>
      </c>
      <c r="C473" s="79" t="s">
        <v>1229</v>
      </c>
      <c r="D473" s="79" t="s">
        <v>1236</v>
      </c>
      <c r="E473" s="391">
        <v>180</v>
      </c>
      <c r="F473" s="391"/>
      <c r="G473" s="391">
        <v>180</v>
      </c>
      <c r="H473" s="391"/>
      <c r="I473" s="391"/>
      <c r="J473" s="372">
        <f t="shared" si="64"/>
        <v>180</v>
      </c>
      <c r="K473" s="79" t="s">
        <v>1237</v>
      </c>
    </row>
    <row r="474" s="29" customFormat="1" customHeight="1" spans="1:11">
      <c r="A474" s="370">
        <v>455</v>
      </c>
      <c r="B474" s="406" t="s">
        <v>576</v>
      </c>
      <c r="C474" s="79" t="s">
        <v>1229</v>
      </c>
      <c r="D474" s="79" t="s">
        <v>1238</v>
      </c>
      <c r="E474" s="390">
        <v>9</v>
      </c>
      <c r="F474" s="390"/>
      <c r="G474" s="390">
        <v>9</v>
      </c>
      <c r="H474" s="390"/>
      <c r="I474" s="390"/>
      <c r="J474" s="372">
        <f t="shared" si="64"/>
        <v>9</v>
      </c>
      <c r="K474" s="79" t="s">
        <v>1239</v>
      </c>
    </row>
    <row r="475" s="29" customFormat="1" customHeight="1" spans="1:11">
      <c r="A475" s="370">
        <v>456</v>
      </c>
      <c r="B475" s="406" t="s">
        <v>576</v>
      </c>
      <c r="C475" s="79" t="s">
        <v>1229</v>
      </c>
      <c r="D475" s="79" t="s">
        <v>1240</v>
      </c>
      <c r="E475" s="391">
        <v>6</v>
      </c>
      <c r="F475" s="391"/>
      <c r="G475" s="391">
        <v>6</v>
      </c>
      <c r="H475" s="391">
        <v>1.23</v>
      </c>
      <c r="I475" s="391">
        <v>1.23</v>
      </c>
      <c r="J475" s="372">
        <f t="shared" si="64"/>
        <v>7.23</v>
      </c>
      <c r="K475" s="79" t="s">
        <v>1241</v>
      </c>
    </row>
    <row r="476" s="29" customFormat="1" ht="26" customHeight="1" spans="1:11">
      <c r="A476" s="370">
        <v>457</v>
      </c>
      <c r="B476" s="126" t="s">
        <v>576</v>
      </c>
      <c r="C476" s="371" t="s">
        <v>1229</v>
      </c>
      <c r="D476" s="371" t="s">
        <v>1242</v>
      </c>
      <c r="E476" s="391">
        <v>1</v>
      </c>
      <c r="F476" s="391"/>
      <c r="G476" s="391">
        <v>1</v>
      </c>
      <c r="H476" s="393"/>
      <c r="I476" s="393"/>
      <c r="J476" s="372">
        <f t="shared" si="64"/>
        <v>1</v>
      </c>
      <c r="K476" s="398"/>
    </row>
    <row r="477" s="29" customFormat="1" ht="26" customHeight="1" spans="1:11">
      <c r="A477" s="370">
        <v>458</v>
      </c>
      <c r="B477" s="126" t="s">
        <v>576</v>
      </c>
      <c r="C477" s="371" t="s">
        <v>1229</v>
      </c>
      <c r="D477" s="371" t="s">
        <v>1243</v>
      </c>
      <c r="E477" s="391">
        <v>29</v>
      </c>
      <c r="F477" s="391"/>
      <c r="G477" s="391">
        <v>29</v>
      </c>
      <c r="H477" s="393"/>
      <c r="I477" s="393"/>
      <c r="J477" s="372">
        <f t="shared" si="64"/>
        <v>29</v>
      </c>
      <c r="K477" s="398"/>
    </row>
    <row r="478" s="29" customFormat="1" customHeight="1" spans="1:11">
      <c r="A478" s="370">
        <v>459</v>
      </c>
      <c r="B478" s="406" t="s">
        <v>576</v>
      </c>
      <c r="C478" s="79" t="s">
        <v>1229</v>
      </c>
      <c r="D478" s="79" t="s">
        <v>1244</v>
      </c>
      <c r="E478" s="390">
        <v>4.29</v>
      </c>
      <c r="F478" s="390"/>
      <c r="G478" s="390">
        <v>3.07791</v>
      </c>
      <c r="H478" s="390">
        <v>0.6</v>
      </c>
      <c r="I478" s="390">
        <v>0.6</v>
      </c>
      <c r="J478" s="372">
        <f t="shared" si="64"/>
        <v>4.89</v>
      </c>
      <c r="K478" s="407" t="s">
        <v>1245</v>
      </c>
    </row>
    <row r="479" s="29" customFormat="1" customHeight="1" spans="1:11">
      <c r="A479" s="370">
        <v>460</v>
      </c>
      <c r="B479" s="406" t="s">
        <v>576</v>
      </c>
      <c r="C479" s="79" t="s">
        <v>1229</v>
      </c>
      <c r="D479" s="79" t="s">
        <v>1246</v>
      </c>
      <c r="E479" s="390"/>
      <c r="F479" s="390"/>
      <c r="G479" s="390"/>
      <c r="H479" s="390">
        <v>4.368</v>
      </c>
      <c r="I479" s="390">
        <v>4.368</v>
      </c>
      <c r="J479" s="372">
        <v>4.368</v>
      </c>
      <c r="K479" s="79" t="s">
        <v>1247</v>
      </c>
    </row>
    <row r="480" s="29" customFormat="1" customHeight="1" spans="1:11">
      <c r="A480" s="370">
        <v>461</v>
      </c>
      <c r="B480" s="406" t="s">
        <v>576</v>
      </c>
      <c r="C480" s="79" t="s">
        <v>1229</v>
      </c>
      <c r="D480" s="79" t="s">
        <v>1248</v>
      </c>
      <c r="E480" s="391">
        <v>3.36</v>
      </c>
      <c r="F480" s="391"/>
      <c r="G480" s="391">
        <v>0.72</v>
      </c>
      <c r="H480" s="391"/>
      <c r="I480" s="391"/>
      <c r="J480" s="372">
        <f t="shared" ref="J480:J491" si="66">E480+I480</f>
        <v>3.36</v>
      </c>
      <c r="K480" s="79" t="s">
        <v>1249</v>
      </c>
    </row>
    <row r="481" s="29" customFormat="1" customHeight="1" spans="1:11">
      <c r="A481" s="370">
        <v>462</v>
      </c>
      <c r="B481" s="406" t="s">
        <v>576</v>
      </c>
      <c r="C481" s="79" t="s">
        <v>1229</v>
      </c>
      <c r="D481" s="79" t="s">
        <v>1250</v>
      </c>
      <c r="E481" s="390">
        <v>56</v>
      </c>
      <c r="F481" s="390"/>
      <c r="G481" s="390">
        <v>28.0961</v>
      </c>
      <c r="H481" s="390"/>
      <c r="I481" s="390"/>
      <c r="J481" s="372">
        <f t="shared" si="66"/>
        <v>56</v>
      </c>
      <c r="K481" s="79" t="s">
        <v>1251</v>
      </c>
    </row>
    <row r="482" s="29" customFormat="1" ht="26" customHeight="1" spans="1:11">
      <c r="A482" s="370">
        <v>463</v>
      </c>
      <c r="B482" s="126" t="s">
        <v>576</v>
      </c>
      <c r="C482" s="371" t="s">
        <v>1229</v>
      </c>
      <c r="D482" s="371" t="s">
        <v>1252</v>
      </c>
      <c r="E482" s="391">
        <v>0.23</v>
      </c>
      <c r="F482" s="391"/>
      <c r="G482" s="391">
        <v>0.23</v>
      </c>
      <c r="H482" s="393"/>
      <c r="I482" s="393"/>
      <c r="J482" s="372">
        <f t="shared" si="66"/>
        <v>0.23</v>
      </c>
      <c r="K482" s="398"/>
    </row>
    <row r="483" s="29" customFormat="1" ht="26" customHeight="1" spans="1:11">
      <c r="A483" s="370">
        <v>464</v>
      </c>
      <c r="B483" s="126" t="s">
        <v>576</v>
      </c>
      <c r="C483" s="371" t="s">
        <v>1229</v>
      </c>
      <c r="D483" s="371" t="s">
        <v>1253</v>
      </c>
      <c r="E483" s="391">
        <v>20</v>
      </c>
      <c r="F483" s="391"/>
      <c r="G483" s="391">
        <v>20</v>
      </c>
      <c r="H483" s="393"/>
      <c r="I483" s="393">
        <v>-5</v>
      </c>
      <c r="J483" s="372">
        <f t="shared" si="66"/>
        <v>15</v>
      </c>
      <c r="K483" s="398"/>
    </row>
    <row r="484" s="29" customFormat="1" ht="26" customHeight="1" spans="1:11">
      <c r="A484" s="370">
        <v>465</v>
      </c>
      <c r="B484" s="126" t="s">
        <v>576</v>
      </c>
      <c r="C484" s="371" t="s">
        <v>1229</v>
      </c>
      <c r="D484" s="371" t="s">
        <v>1254</v>
      </c>
      <c r="E484" s="391">
        <v>2</v>
      </c>
      <c r="F484" s="391"/>
      <c r="G484" s="391">
        <v>2</v>
      </c>
      <c r="H484" s="393"/>
      <c r="I484" s="393"/>
      <c r="J484" s="372">
        <f t="shared" si="66"/>
        <v>2</v>
      </c>
      <c r="K484" s="398"/>
    </row>
    <row r="485" s="29" customFormat="1" ht="26" customHeight="1" spans="1:11">
      <c r="A485" s="370">
        <v>466</v>
      </c>
      <c r="B485" s="126" t="s">
        <v>576</v>
      </c>
      <c r="C485" s="371" t="s">
        <v>1229</v>
      </c>
      <c r="D485" s="371" t="s">
        <v>1255</v>
      </c>
      <c r="E485" s="391">
        <v>19</v>
      </c>
      <c r="F485" s="391"/>
      <c r="G485" s="391">
        <v>0</v>
      </c>
      <c r="H485" s="393"/>
      <c r="I485" s="393"/>
      <c r="J485" s="372">
        <f t="shared" si="66"/>
        <v>19</v>
      </c>
      <c r="K485" s="398"/>
    </row>
    <row r="486" s="29" customFormat="1" customHeight="1" spans="1:11">
      <c r="A486" s="370">
        <v>467</v>
      </c>
      <c r="B486" s="406" t="s">
        <v>576</v>
      </c>
      <c r="C486" s="79" t="s">
        <v>1229</v>
      </c>
      <c r="D486" s="79" t="s">
        <v>1256</v>
      </c>
      <c r="E486" s="391">
        <v>46.77</v>
      </c>
      <c r="F486" s="391"/>
      <c r="G486" s="391">
        <v>46.77</v>
      </c>
      <c r="H486" s="391">
        <v>30</v>
      </c>
      <c r="I486" s="391"/>
      <c r="J486" s="372">
        <f t="shared" si="66"/>
        <v>46.77</v>
      </c>
      <c r="K486" s="79" t="s">
        <v>1257</v>
      </c>
    </row>
    <row r="487" s="29" customFormat="1" customHeight="1" spans="1:11">
      <c r="A487" s="370">
        <v>468</v>
      </c>
      <c r="B487" s="406" t="s">
        <v>576</v>
      </c>
      <c r="C487" s="79" t="s">
        <v>1229</v>
      </c>
      <c r="D487" s="79" t="s">
        <v>1258</v>
      </c>
      <c r="E487" s="390">
        <v>1</v>
      </c>
      <c r="F487" s="390"/>
      <c r="G487" s="390">
        <v>0.6</v>
      </c>
      <c r="H487" s="390"/>
      <c r="I487" s="390"/>
      <c r="J487" s="372">
        <f t="shared" si="66"/>
        <v>1</v>
      </c>
      <c r="K487" s="79" t="s">
        <v>1259</v>
      </c>
    </row>
    <row r="488" s="29" customFormat="1" ht="63.95" customHeight="1" spans="1:11">
      <c r="A488" s="370">
        <v>469</v>
      </c>
      <c r="B488" s="406" t="s">
        <v>576</v>
      </c>
      <c r="C488" s="79" t="s">
        <v>1229</v>
      </c>
      <c r="D488" s="79" t="s">
        <v>1260</v>
      </c>
      <c r="E488" s="391"/>
      <c r="F488" s="391"/>
      <c r="G488" s="391"/>
      <c r="H488" s="391">
        <v>5</v>
      </c>
      <c r="I488" s="391">
        <v>0</v>
      </c>
      <c r="J488" s="372">
        <f t="shared" si="66"/>
        <v>0</v>
      </c>
      <c r="K488" s="407" t="s">
        <v>1261</v>
      </c>
    </row>
    <row r="489" s="29" customFormat="1" ht="26" customHeight="1" spans="1:11">
      <c r="A489" s="370">
        <v>470</v>
      </c>
      <c r="B489" s="126" t="s">
        <v>576</v>
      </c>
      <c r="C489" s="371" t="s">
        <v>1229</v>
      </c>
      <c r="D489" s="371" t="s">
        <v>1262</v>
      </c>
      <c r="E489" s="391">
        <v>65</v>
      </c>
      <c r="F489" s="391"/>
      <c r="G489" s="391">
        <v>40</v>
      </c>
      <c r="H489" s="393"/>
      <c r="I489" s="393"/>
      <c r="J489" s="372">
        <f t="shared" si="66"/>
        <v>65</v>
      </c>
      <c r="K489" s="398"/>
    </row>
    <row r="490" s="29" customFormat="1" customHeight="1" spans="1:11">
      <c r="A490" s="370">
        <v>471</v>
      </c>
      <c r="B490" s="406" t="s">
        <v>576</v>
      </c>
      <c r="C490" s="79" t="s">
        <v>1229</v>
      </c>
      <c r="D490" s="79" t="s">
        <v>1263</v>
      </c>
      <c r="E490" s="391">
        <v>69.72</v>
      </c>
      <c r="F490" s="391"/>
      <c r="G490" s="391">
        <v>34.03</v>
      </c>
      <c r="H490" s="391"/>
      <c r="I490" s="391">
        <v>-34.03</v>
      </c>
      <c r="J490" s="372">
        <f t="shared" si="66"/>
        <v>35.69</v>
      </c>
      <c r="K490" s="79" t="s">
        <v>1264</v>
      </c>
    </row>
    <row r="491" s="29" customFormat="1" ht="26" customHeight="1" spans="1:11">
      <c r="A491" s="370">
        <v>472</v>
      </c>
      <c r="B491" s="126" t="s">
        <v>576</v>
      </c>
      <c r="C491" s="371" t="s">
        <v>1229</v>
      </c>
      <c r="D491" s="371" t="s">
        <v>1265</v>
      </c>
      <c r="E491" s="391">
        <v>2</v>
      </c>
      <c r="F491" s="391"/>
      <c r="G491" s="391">
        <v>0</v>
      </c>
      <c r="H491" s="393">
        <v>0.5573</v>
      </c>
      <c r="I491" s="393">
        <v>0</v>
      </c>
      <c r="J491" s="372">
        <f t="shared" si="66"/>
        <v>2</v>
      </c>
      <c r="K491" s="398"/>
    </row>
    <row r="492" s="334" customFormat="1" customHeight="1" spans="1:11">
      <c r="A492" s="353">
        <v>473</v>
      </c>
      <c r="B492" s="376" t="s">
        <v>1266</v>
      </c>
      <c r="C492" s="377"/>
      <c r="D492" s="378"/>
      <c r="E492" s="355">
        <f t="shared" ref="E492:J492" si="67">SUM(E469:E491)</f>
        <v>975.13</v>
      </c>
      <c r="F492" s="355">
        <f t="shared" si="67"/>
        <v>0</v>
      </c>
      <c r="G492" s="355">
        <f t="shared" si="67"/>
        <v>776.61201</v>
      </c>
      <c r="H492" s="355">
        <f t="shared" si="67"/>
        <v>-111.2447</v>
      </c>
      <c r="I492" s="355">
        <f t="shared" si="67"/>
        <v>-186.032</v>
      </c>
      <c r="J492" s="355">
        <f t="shared" si="67"/>
        <v>789.098</v>
      </c>
      <c r="K492" s="388"/>
    </row>
    <row r="493" s="29" customFormat="1" ht="26" customHeight="1" spans="1:11">
      <c r="A493" s="370">
        <v>474</v>
      </c>
      <c r="B493" s="126" t="s">
        <v>569</v>
      </c>
      <c r="C493" s="371" t="s">
        <v>1267</v>
      </c>
      <c r="D493" s="371" t="s">
        <v>1268</v>
      </c>
      <c r="E493" s="391">
        <v>10</v>
      </c>
      <c r="F493" s="391"/>
      <c r="G493" s="391">
        <v>10</v>
      </c>
      <c r="H493" s="393"/>
      <c r="I493" s="393"/>
      <c r="J493" s="372">
        <f t="shared" ref="J493:J503" si="68">E493+I493</f>
        <v>10</v>
      </c>
      <c r="K493" s="398"/>
    </row>
    <row r="494" s="29" customFormat="1" ht="60" customHeight="1" spans="1:11">
      <c r="A494" s="370">
        <v>475</v>
      </c>
      <c r="B494" s="405" t="s">
        <v>569</v>
      </c>
      <c r="C494" s="79" t="s">
        <v>1267</v>
      </c>
      <c r="D494" s="79" t="s">
        <v>1269</v>
      </c>
      <c r="E494" s="123">
        <v>0.5</v>
      </c>
      <c r="F494" s="123"/>
      <c r="G494" s="123">
        <v>0.5</v>
      </c>
      <c r="H494" s="123">
        <v>3.5</v>
      </c>
      <c r="I494" s="123">
        <f>1+2.5</f>
        <v>3.5</v>
      </c>
      <c r="J494" s="372">
        <f t="shared" si="68"/>
        <v>4</v>
      </c>
      <c r="K494" s="394" t="s">
        <v>1270</v>
      </c>
    </row>
    <row r="495" s="334" customFormat="1" customHeight="1" spans="1:11">
      <c r="A495" s="353">
        <v>476</v>
      </c>
      <c r="B495" s="376" t="s">
        <v>1271</v>
      </c>
      <c r="C495" s="377"/>
      <c r="D495" s="378"/>
      <c r="E495" s="355">
        <f t="shared" ref="E495:J495" si="69">SUM(E493:E494)</f>
        <v>10.5</v>
      </c>
      <c r="F495" s="355">
        <f t="shared" si="69"/>
        <v>0</v>
      </c>
      <c r="G495" s="355">
        <f t="shared" si="69"/>
        <v>10.5</v>
      </c>
      <c r="H495" s="355">
        <f t="shared" si="69"/>
        <v>3.5</v>
      </c>
      <c r="I495" s="355">
        <f t="shared" si="69"/>
        <v>3.5</v>
      </c>
      <c r="J495" s="355">
        <f t="shared" si="69"/>
        <v>14</v>
      </c>
      <c r="K495" s="388"/>
    </row>
    <row r="496" s="29" customFormat="1" ht="26" customHeight="1" spans="1:11">
      <c r="A496" s="370">
        <v>477</v>
      </c>
      <c r="B496" s="126" t="s">
        <v>569</v>
      </c>
      <c r="C496" s="371" t="s">
        <v>1272</v>
      </c>
      <c r="D496" s="371" t="s">
        <v>1273</v>
      </c>
      <c r="E496" s="391">
        <v>2</v>
      </c>
      <c r="F496" s="391"/>
      <c r="G496" s="391">
        <v>2</v>
      </c>
      <c r="H496" s="393"/>
      <c r="I496" s="393"/>
      <c r="J496" s="372">
        <f t="shared" si="68"/>
        <v>2</v>
      </c>
      <c r="K496" s="398"/>
    </row>
    <row r="497" s="29" customFormat="1" ht="26" customHeight="1" spans="1:11">
      <c r="A497" s="370">
        <v>478</v>
      </c>
      <c r="B497" s="126" t="s">
        <v>569</v>
      </c>
      <c r="C497" s="371" t="s">
        <v>1272</v>
      </c>
      <c r="D497" s="371" t="s">
        <v>1274</v>
      </c>
      <c r="E497" s="391">
        <v>10</v>
      </c>
      <c r="F497" s="391"/>
      <c r="G497" s="391">
        <v>10</v>
      </c>
      <c r="H497" s="393"/>
      <c r="I497" s="393"/>
      <c r="J497" s="372">
        <f t="shared" si="68"/>
        <v>10</v>
      </c>
      <c r="K497" s="398"/>
    </row>
    <row r="498" s="29" customFormat="1" ht="26" customHeight="1" spans="1:11">
      <c r="A498" s="370">
        <v>479</v>
      </c>
      <c r="B498" s="126" t="s">
        <v>569</v>
      </c>
      <c r="C498" s="371" t="s">
        <v>1272</v>
      </c>
      <c r="D498" s="371" t="s">
        <v>1275</v>
      </c>
      <c r="E498" s="391">
        <v>40</v>
      </c>
      <c r="F498" s="391"/>
      <c r="G498" s="391">
        <v>40</v>
      </c>
      <c r="H498" s="393"/>
      <c r="I498" s="393"/>
      <c r="J498" s="372">
        <f t="shared" si="68"/>
        <v>40</v>
      </c>
      <c r="K498" s="398"/>
    </row>
    <row r="499" s="29" customFormat="1" ht="26" customHeight="1" spans="1:11">
      <c r="A499" s="370">
        <v>480</v>
      </c>
      <c r="B499" s="126" t="s">
        <v>569</v>
      </c>
      <c r="C499" s="371" t="s">
        <v>1272</v>
      </c>
      <c r="D499" s="371" t="s">
        <v>1276</v>
      </c>
      <c r="E499" s="391">
        <v>2.16</v>
      </c>
      <c r="F499" s="391"/>
      <c r="G499" s="391">
        <v>0.46</v>
      </c>
      <c r="H499" s="393"/>
      <c r="I499" s="393"/>
      <c r="J499" s="372">
        <f t="shared" si="68"/>
        <v>2.16</v>
      </c>
      <c r="K499" s="398"/>
    </row>
    <row r="500" s="29" customFormat="1" ht="26" customHeight="1" spans="1:11">
      <c r="A500" s="370">
        <v>481</v>
      </c>
      <c r="B500" s="126" t="s">
        <v>569</v>
      </c>
      <c r="C500" s="371" t="s">
        <v>1272</v>
      </c>
      <c r="D500" s="371" t="s">
        <v>1277</v>
      </c>
      <c r="E500" s="391">
        <v>3</v>
      </c>
      <c r="F500" s="391"/>
      <c r="G500" s="391">
        <v>1.16</v>
      </c>
      <c r="H500" s="393"/>
      <c r="I500" s="393"/>
      <c r="J500" s="372">
        <f t="shared" si="68"/>
        <v>3</v>
      </c>
      <c r="K500" s="398"/>
    </row>
    <row r="501" s="29" customFormat="1" customHeight="1" spans="1:11">
      <c r="A501" s="370">
        <v>482</v>
      </c>
      <c r="B501" s="389" t="s">
        <v>569</v>
      </c>
      <c r="C501" s="79" t="s">
        <v>1272</v>
      </c>
      <c r="D501" s="394" t="s">
        <v>1278</v>
      </c>
      <c r="E501" s="123"/>
      <c r="F501" s="123"/>
      <c r="G501" s="123"/>
      <c r="H501" s="123">
        <v>10</v>
      </c>
      <c r="I501" s="123">
        <v>0</v>
      </c>
      <c r="J501" s="372">
        <f t="shared" si="68"/>
        <v>0</v>
      </c>
      <c r="K501" s="394" t="s">
        <v>1279</v>
      </c>
    </row>
    <row r="502" s="29" customFormat="1" customHeight="1" spans="1:11">
      <c r="A502" s="370">
        <v>483</v>
      </c>
      <c r="B502" s="389" t="s">
        <v>569</v>
      </c>
      <c r="C502" s="79" t="s">
        <v>1272</v>
      </c>
      <c r="D502" s="394" t="s">
        <v>1280</v>
      </c>
      <c r="E502" s="123"/>
      <c r="F502" s="123"/>
      <c r="G502" s="123"/>
      <c r="H502" s="123">
        <v>10</v>
      </c>
      <c r="I502" s="123">
        <v>0</v>
      </c>
      <c r="J502" s="372">
        <f t="shared" si="68"/>
        <v>0</v>
      </c>
      <c r="K502" s="394" t="s">
        <v>1279</v>
      </c>
    </row>
    <row r="503" s="29" customFormat="1" customHeight="1" spans="1:11">
      <c r="A503" s="370">
        <v>484</v>
      </c>
      <c r="B503" s="389" t="s">
        <v>569</v>
      </c>
      <c r="C503" s="79" t="s">
        <v>1272</v>
      </c>
      <c r="D503" s="394" t="s">
        <v>1281</v>
      </c>
      <c r="E503" s="123"/>
      <c r="F503" s="123"/>
      <c r="G503" s="123"/>
      <c r="H503" s="123">
        <v>10</v>
      </c>
      <c r="I503" s="123">
        <v>0</v>
      </c>
      <c r="J503" s="372">
        <f t="shared" si="68"/>
        <v>0</v>
      </c>
      <c r="K503" s="394" t="s">
        <v>1279</v>
      </c>
    </row>
    <row r="504" s="334" customFormat="1" customHeight="1" spans="1:11">
      <c r="A504" s="353">
        <v>485</v>
      </c>
      <c r="B504" s="376" t="s">
        <v>1282</v>
      </c>
      <c r="C504" s="377"/>
      <c r="D504" s="378"/>
      <c r="E504" s="355">
        <f t="shared" ref="E504:J504" si="70">SUM(E496:E503)</f>
        <v>57.16</v>
      </c>
      <c r="F504" s="355">
        <f t="shared" si="70"/>
        <v>0</v>
      </c>
      <c r="G504" s="355">
        <f t="shared" si="70"/>
        <v>53.62</v>
      </c>
      <c r="H504" s="355">
        <f t="shared" si="70"/>
        <v>30</v>
      </c>
      <c r="I504" s="355">
        <f t="shared" si="70"/>
        <v>0</v>
      </c>
      <c r="J504" s="355">
        <f t="shared" si="70"/>
        <v>57.16</v>
      </c>
      <c r="K504" s="388"/>
    </row>
    <row r="505" s="29" customFormat="1" ht="26" customHeight="1" spans="1:11">
      <c r="A505" s="370">
        <v>486</v>
      </c>
      <c r="B505" s="126" t="s">
        <v>569</v>
      </c>
      <c r="C505" s="371" t="s">
        <v>1283</v>
      </c>
      <c r="D505" s="371" t="s">
        <v>1284</v>
      </c>
      <c r="E505" s="391">
        <v>42</v>
      </c>
      <c r="F505" s="391"/>
      <c r="G505" s="391">
        <v>22</v>
      </c>
      <c r="H505" s="393"/>
      <c r="I505" s="393"/>
      <c r="J505" s="372">
        <f t="shared" ref="J505:J515" si="71">E505+I505</f>
        <v>42</v>
      </c>
      <c r="K505" s="398"/>
    </row>
    <row r="506" s="29" customFormat="1" ht="26" customHeight="1" spans="1:11">
      <c r="A506" s="370">
        <v>487</v>
      </c>
      <c r="B506" s="126" t="s">
        <v>569</v>
      </c>
      <c r="C506" s="371" t="s">
        <v>1283</v>
      </c>
      <c r="D506" s="371" t="s">
        <v>1285</v>
      </c>
      <c r="E506" s="391">
        <v>8</v>
      </c>
      <c r="F506" s="391"/>
      <c r="G506" s="391">
        <v>8</v>
      </c>
      <c r="H506" s="393"/>
      <c r="I506" s="393"/>
      <c r="J506" s="372">
        <f t="shared" si="71"/>
        <v>8</v>
      </c>
      <c r="K506" s="398"/>
    </row>
    <row r="507" s="29" customFormat="1" ht="26" customHeight="1" spans="1:11">
      <c r="A507" s="370">
        <v>488</v>
      </c>
      <c r="B507" s="126" t="s">
        <v>569</v>
      </c>
      <c r="C507" s="371" t="s">
        <v>1283</v>
      </c>
      <c r="D507" s="371" t="s">
        <v>1286</v>
      </c>
      <c r="E507" s="391">
        <v>34</v>
      </c>
      <c r="F507" s="391"/>
      <c r="G507" s="391">
        <v>19</v>
      </c>
      <c r="H507" s="393"/>
      <c r="I507" s="393"/>
      <c r="J507" s="372">
        <f t="shared" si="71"/>
        <v>34</v>
      </c>
      <c r="K507" s="398"/>
    </row>
    <row r="508" s="29" customFormat="1" ht="26" customHeight="1" spans="1:11">
      <c r="A508" s="370">
        <v>489</v>
      </c>
      <c r="B508" s="126" t="s">
        <v>569</v>
      </c>
      <c r="C508" s="371" t="s">
        <v>1283</v>
      </c>
      <c r="D508" s="371" t="s">
        <v>1287</v>
      </c>
      <c r="E508" s="391">
        <v>8</v>
      </c>
      <c r="F508" s="391"/>
      <c r="G508" s="391">
        <v>8</v>
      </c>
      <c r="H508" s="393"/>
      <c r="I508" s="393"/>
      <c r="J508" s="372">
        <f t="shared" si="71"/>
        <v>8</v>
      </c>
      <c r="K508" s="398"/>
    </row>
    <row r="509" s="29" customFormat="1" ht="26" customHeight="1" spans="1:11">
      <c r="A509" s="370">
        <v>490</v>
      </c>
      <c r="B509" s="126" t="s">
        <v>569</v>
      </c>
      <c r="C509" s="371" t="s">
        <v>1283</v>
      </c>
      <c r="D509" s="371" t="s">
        <v>1288</v>
      </c>
      <c r="E509" s="391">
        <v>26.57</v>
      </c>
      <c r="F509" s="391"/>
      <c r="G509" s="391">
        <v>11.57</v>
      </c>
      <c r="H509" s="393"/>
      <c r="I509" s="393"/>
      <c r="J509" s="372">
        <f t="shared" si="71"/>
        <v>26.57</v>
      </c>
      <c r="K509" s="398"/>
    </row>
    <row r="510" s="29" customFormat="1" ht="26" customHeight="1" spans="1:11">
      <c r="A510" s="370">
        <v>491</v>
      </c>
      <c r="B510" s="126" t="s">
        <v>569</v>
      </c>
      <c r="C510" s="371" t="s">
        <v>1283</v>
      </c>
      <c r="D510" s="371" t="s">
        <v>1289</v>
      </c>
      <c r="E510" s="391">
        <v>15</v>
      </c>
      <c r="F510" s="391"/>
      <c r="G510" s="391">
        <v>15</v>
      </c>
      <c r="H510" s="393"/>
      <c r="I510" s="393"/>
      <c r="J510" s="372">
        <f t="shared" si="71"/>
        <v>15</v>
      </c>
      <c r="K510" s="398"/>
    </row>
    <row r="511" s="29" customFormat="1" ht="26" customHeight="1" spans="1:11">
      <c r="A511" s="370">
        <v>492</v>
      </c>
      <c r="B511" s="126" t="s">
        <v>569</v>
      </c>
      <c r="C511" s="371" t="s">
        <v>1283</v>
      </c>
      <c r="D511" s="371" t="s">
        <v>1286</v>
      </c>
      <c r="E511" s="391"/>
      <c r="F511" s="391"/>
      <c r="G511" s="391"/>
      <c r="H511" s="393">
        <v>10</v>
      </c>
      <c r="I511" s="393">
        <v>10</v>
      </c>
      <c r="J511" s="372">
        <f t="shared" si="71"/>
        <v>10</v>
      </c>
      <c r="K511" s="399" t="s">
        <v>1290</v>
      </c>
    </row>
    <row r="512" s="29" customFormat="1" ht="26" customHeight="1" spans="1:11">
      <c r="A512" s="370">
        <v>493</v>
      </c>
      <c r="B512" s="126" t="s">
        <v>569</v>
      </c>
      <c r="C512" s="371" t="s">
        <v>1283</v>
      </c>
      <c r="D512" s="371" t="s">
        <v>1291</v>
      </c>
      <c r="E512" s="391"/>
      <c r="F512" s="391"/>
      <c r="G512" s="391"/>
      <c r="H512" s="393">
        <v>22</v>
      </c>
      <c r="I512" s="393">
        <v>22</v>
      </c>
      <c r="J512" s="372">
        <f t="shared" si="71"/>
        <v>22</v>
      </c>
      <c r="K512" s="400"/>
    </row>
    <row r="513" s="29" customFormat="1" ht="26" customHeight="1" spans="1:11">
      <c r="A513" s="370">
        <v>494</v>
      </c>
      <c r="B513" s="126" t="s">
        <v>569</v>
      </c>
      <c r="C513" s="371" t="s">
        <v>1283</v>
      </c>
      <c r="D513" s="371" t="s">
        <v>1289</v>
      </c>
      <c r="E513" s="391"/>
      <c r="F513" s="391"/>
      <c r="G513" s="391"/>
      <c r="H513" s="393">
        <v>5</v>
      </c>
      <c r="I513" s="393">
        <v>5</v>
      </c>
      <c r="J513" s="372">
        <f t="shared" si="71"/>
        <v>5</v>
      </c>
      <c r="K513" s="400"/>
    </row>
    <row r="514" s="29" customFormat="1" ht="26" customHeight="1" spans="1:11">
      <c r="A514" s="370">
        <v>495</v>
      </c>
      <c r="B514" s="126" t="s">
        <v>569</v>
      </c>
      <c r="C514" s="371" t="s">
        <v>1283</v>
      </c>
      <c r="D514" s="371" t="s">
        <v>1285</v>
      </c>
      <c r="E514" s="391"/>
      <c r="F514" s="391"/>
      <c r="G514" s="391"/>
      <c r="H514" s="393">
        <v>8</v>
      </c>
      <c r="I514" s="393">
        <v>8</v>
      </c>
      <c r="J514" s="372">
        <f t="shared" si="71"/>
        <v>8</v>
      </c>
      <c r="K514" s="400"/>
    </row>
    <row r="515" s="29" customFormat="1" ht="26" customHeight="1" spans="1:11">
      <c r="A515" s="370">
        <v>496</v>
      </c>
      <c r="B515" s="126" t="s">
        <v>569</v>
      </c>
      <c r="C515" s="371" t="s">
        <v>1283</v>
      </c>
      <c r="D515" s="371" t="s">
        <v>1287</v>
      </c>
      <c r="E515" s="391"/>
      <c r="F515" s="391"/>
      <c r="G515" s="391"/>
      <c r="H515" s="393">
        <v>8</v>
      </c>
      <c r="I515" s="393">
        <v>8</v>
      </c>
      <c r="J515" s="372">
        <f t="shared" si="71"/>
        <v>8</v>
      </c>
      <c r="K515" s="401"/>
    </row>
    <row r="516" s="334" customFormat="1" customHeight="1" spans="1:11">
      <c r="A516" s="353">
        <v>497</v>
      </c>
      <c r="B516" s="376" t="s">
        <v>1292</v>
      </c>
      <c r="C516" s="377"/>
      <c r="D516" s="378"/>
      <c r="E516" s="355">
        <f t="shared" ref="E516:J516" si="72">SUM(E505:E515)</f>
        <v>133.57</v>
      </c>
      <c r="F516" s="355">
        <f t="shared" si="72"/>
        <v>0</v>
      </c>
      <c r="G516" s="355">
        <f t="shared" si="72"/>
        <v>83.57</v>
      </c>
      <c r="H516" s="355">
        <f t="shared" si="72"/>
        <v>53</v>
      </c>
      <c r="I516" s="355">
        <f t="shared" si="72"/>
        <v>53</v>
      </c>
      <c r="J516" s="355">
        <f t="shared" si="72"/>
        <v>186.57</v>
      </c>
      <c r="K516" s="388"/>
    </row>
    <row r="517" s="29" customFormat="1" ht="26" customHeight="1" spans="1:11">
      <c r="A517" s="370">
        <v>498</v>
      </c>
      <c r="B517" s="126" t="s">
        <v>569</v>
      </c>
      <c r="C517" s="371" t="s">
        <v>1293</v>
      </c>
      <c r="D517" s="371" t="s">
        <v>1294</v>
      </c>
      <c r="E517" s="391">
        <v>2</v>
      </c>
      <c r="F517" s="391"/>
      <c r="G517" s="391">
        <v>2</v>
      </c>
      <c r="H517" s="393"/>
      <c r="I517" s="393"/>
      <c r="J517" s="372">
        <f t="shared" ref="J517:J532" si="73">E517+I517</f>
        <v>2</v>
      </c>
      <c r="K517" s="398"/>
    </row>
    <row r="518" s="29" customFormat="1" ht="26" customHeight="1" spans="1:11">
      <c r="A518" s="370">
        <v>499</v>
      </c>
      <c r="B518" s="126" t="s">
        <v>569</v>
      </c>
      <c r="C518" s="371" t="s">
        <v>1293</v>
      </c>
      <c r="D518" s="371" t="s">
        <v>1295</v>
      </c>
      <c r="E518" s="391">
        <v>5</v>
      </c>
      <c r="F518" s="391"/>
      <c r="G518" s="391">
        <v>4.8</v>
      </c>
      <c r="H518" s="393"/>
      <c r="I518" s="393"/>
      <c r="J518" s="372">
        <f t="shared" si="73"/>
        <v>5</v>
      </c>
      <c r="K518" s="398"/>
    </row>
    <row r="519" s="29" customFormat="1" ht="26" customHeight="1" spans="1:11">
      <c r="A519" s="370">
        <v>500</v>
      </c>
      <c r="B519" s="126" t="s">
        <v>569</v>
      </c>
      <c r="C519" s="371" t="s">
        <v>1293</v>
      </c>
      <c r="D519" s="371" t="s">
        <v>1296</v>
      </c>
      <c r="E519" s="391">
        <v>21</v>
      </c>
      <c r="F519" s="391"/>
      <c r="G519" s="391">
        <v>20</v>
      </c>
      <c r="H519" s="393">
        <v>-20</v>
      </c>
      <c r="I519" s="393">
        <v>-20</v>
      </c>
      <c r="J519" s="372">
        <f t="shared" si="73"/>
        <v>1</v>
      </c>
      <c r="K519" s="398"/>
    </row>
    <row r="520" s="29" customFormat="1" ht="26" customHeight="1" spans="1:11">
      <c r="A520" s="370">
        <v>501</v>
      </c>
      <c r="B520" s="126" t="s">
        <v>569</v>
      </c>
      <c r="C520" s="371" t="s">
        <v>1293</v>
      </c>
      <c r="D520" s="371" t="s">
        <v>1297</v>
      </c>
      <c r="E520" s="391"/>
      <c r="F520" s="391"/>
      <c r="G520" s="391"/>
      <c r="H520" s="393">
        <v>20</v>
      </c>
      <c r="I520" s="393">
        <v>20</v>
      </c>
      <c r="J520" s="372">
        <f t="shared" si="73"/>
        <v>20</v>
      </c>
      <c r="K520" s="398"/>
    </row>
    <row r="521" s="29" customFormat="1" ht="26" customHeight="1" spans="1:11">
      <c r="A521" s="370">
        <v>502</v>
      </c>
      <c r="B521" s="126" t="s">
        <v>569</v>
      </c>
      <c r="C521" s="371" t="s">
        <v>1293</v>
      </c>
      <c r="D521" s="371" t="s">
        <v>1298</v>
      </c>
      <c r="E521" s="391">
        <v>1</v>
      </c>
      <c r="F521" s="391"/>
      <c r="G521" s="391">
        <v>0.8</v>
      </c>
      <c r="H521" s="393"/>
      <c r="I521" s="393"/>
      <c r="J521" s="372">
        <f t="shared" si="73"/>
        <v>1</v>
      </c>
      <c r="K521" s="398"/>
    </row>
    <row r="522" s="29" customFormat="1" ht="26" customHeight="1" spans="1:11">
      <c r="A522" s="370">
        <v>503</v>
      </c>
      <c r="B522" s="126" t="s">
        <v>569</v>
      </c>
      <c r="C522" s="371" t="s">
        <v>1293</v>
      </c>
      <c r="D522" s="371" t="s">
        <v>1299</v>
      </c>
      <c r="E522" s="391">
        <v>130</v>
      </c>
      <c r="F522" s="391"/>
      <c r="G522" s="391">
        <v>59.24</v>
      </c>
      <c r="H522" s="393"/>
      <c r="I522" s="393"/>
      <c r="J522" s="372">
        <f t="shared" si="73"/>
        <v>130</v>
      </c>
      <c r="K522" s="398"/>
    </row>
    <row r="523" s="29" customFormat="1" ht="26" customHeight="1" spans="1:11">
      <c r="A523" s="370">
        <v>504</v>
      </c>
      <c r="B523" s="126" t="s">
        <v>569</v>
      </c>
      <c r="C523" s="371" t="s">
        <v>1293</v>
      </c>
      <c r="D523" s="371" t="s">
        <v>1300</v>
      </c>
      <c r="E523" s="391">
        <v>9</v>
      </c>
      <c r="F523" s="391"/>
      <c r="G523" s="391">
        <v>4</v>
      </c>
      <c r="H523" s="393"/>
      <c r="I523" s="393"/>
      <c r="J523" s="372">
        <f t="shared" si="73"/>
        <v>9</v>
      </c>
      <c r="K523" s="398"/>
    </row>
    <row r="524" s="29" customFormat="1" ht="26" customHeight="1" spans="1:11">
      <c r="A524" s="370">
        <v>505</v>
      </c>
      <c r="B524" s="126" t="s">
        <v>569</v>
      </c>
      <c r="C524" s="371" t="s">
        <v>1293</v>
      </c>
      <c r="D524" s="371" t="s">
        <v>1301</v>
      </c>
      <c r="E524" s="391">
        <v>0.87</v>
      </c>
      <c r="F524" s="391"/>
      <c r="G524" s="391">
        <v>0.87</v>
      </c>
      <c r="H524" s="393"/>
      <c r="I524" s="393"/>
      <c r="J524" s="372">
        <f t="shared" si="73"/>
        <v>0.87</v>
      </c>
      <c r="K524" s="398"/>
    </row>
    <row r="525" s="29" customFormat="1" ht="26" customHeight="1" spans="1:11">
      <c r="A525" s="370">
        <v>506</v>
      </c>
      <c r="B525" s="126" t="s">
        <v>569</v>
      </c>
      <c r="C525" s="371" t="s">
        <v>1293</v>
      </c>
      <c r="D525" s="371" t="s">
        <v>1302</v>
      </c>
      <c r="E525" s="391">
        <v>4</v>
      </c>
      <c r="F525" s="391"/>
      <c r="G525" s="391">
        <v>0.5</v>
      </c>
      <c r="H525" s="393"/>
      <c r="I525" s="393"/>
      <c r="J525" s="372">
        <f t="shared" si="73"/>
        <v>4</v>
      </c>
      <c r="K525" s="398"/>
    </row>
    <row r="526" s="29" customFormat="1" ht="26" customHeight="1" spans="1:11">
      <c r="A526" s="370">
        <v>507</v>
      </c>
      <c r="B526" s="126" t="s">
        <v>569</v>
      </c>
      <c r="C526" s="371" t="s">
        <v>1293</v>
      </c>
      <c r="D526" s="371" t="s">
        <v>1303</v>
      </c>
      <c r="E526" s="391">
        <v>36</v>
      </c>
      <c r="F526" s="391"/>
      <c r="G526" s="391">
        <v>36</v>
      </c>
      <c r="H526" s="393">
        <v>-36</v>
      </c>
      <c r="I526" s="393">
        <v>-36</v>
      </c>
      <c r="J526" s="372">
        <f t="shared" si="73"/>
        <v>0</v>
      </c>
      <c r="K526" s="398"/>
    </row>
    <row r="527" s="29" customFormat="1" ht="26" customHeight="1" spans="1:11">
      <c r="A527" s="370">
        <v>508</v>
      </c>
      <c r="B527" s="126" t="s">
        <v>569</v>
      </c>
      <c r="C527" s="371" t="s">
        <v>1293</v>
      </c>
      <c r="D527" s="371" t="s">
        <v>1304</v>
      </c>
      <c r="E527" s="391"/>
      <c r="F527" s="391"/>
      <c r="G527" s="391"/>
      <c r="H527" s="393">
        <v>36</v>
      </c>
      <c r="I527" s="393">
        <v>36</v>
      </c>
      <c r="J527" s="372">
        <f t="shared" si="73"/>
        <v>36</v>
      </c>
      <c r="K527" s="398"/>
    </row>
    <row r="528" s="29" customFormat="1" ht="26" customHeight="1" spans="1:11">
      <c r="A528" s="370">
        <v>509</v>
      </c>
      <c r="B528" s="126" t="s">
        <v>569</v>
      </c>
      <c r="C528" s="371" t="s">
        <v>1293</v>
      </c>
      <c r="D528" s="371" t="s">
        <v>1305</v>
      </c>
      <c r="E528" s="391"/>
      <c r="F528" s="391"/>
      <c r="G528" s="391"/>
      <c r="H528" s="393">
        <v>149.8</v>
      </c>
      <c r="I528" s="393">
        <v>149.8</v>
      </c>
      <c r="J528" s="372">
        <f t="shared" si="73"/>
        <v>149.8</v>
      </c>
      <c r="K528" s="398" t="s">
        <v>1306</v>
      </c>
    </row>
    <row r="529" s="29" customFormat="1" ht="26" customHeight="1" spans="1:11">
      <c r="A529" s="370">
        <v>510</v>
      </c>
      <c r="B529" s="126" t="s">
        <v>569</v>
      </c>
      <c r="C529" s="371" t="s">
        <v>1293</v>
      </c>
      <c r="D529" s="371" t="s">
        <v>1299</v>
      </c>
      <c r="E529" s="391"/>
      <c r="F529" s="391"/>
      <c r="G529" s="391"/>
      <c r="H529" s="393">
        <v>87.02</v>
      </c>
      <c r="I529" s="393">
        <v>50</v>
      </c>
      <c r="J529" s="372">
        <f t="shared" si="73"/>
        <v>50</v>
      </c>
      <c r="K529" s="398" t="s">
        <v>1307</v>
      </c>
    </row>
    <row r="530" s="29" customFormat="1" ht="26" customHeight="1" spans="1:11">
      <c r="A530" s="370">
        <v>511</v>
      </c>
      <c r="B530" s="126" t="s">
        <v>569</v>
      </c>
      <c r="C530" s="371" t="s">
        <v>1293</v>
      </c>
      <c r="D530" s="371" t="s">
        <v>1308</v>
      </c>
      <c r="E530" s="391"/>
      <c r="F530" s="391"/>
      <c r="G530" s="391"/>
      <c r="H530" s="393">
        <v>12.03</v>
      </c>
      <c r="I530" s="393">
        <v>12.03</v>
      </c>
      <c r="J530" s="372">
        <f t="shared" si="73"/>
        <v>12.03</v>
      </c>
      <c r="K530" s="398" t="s">
        <v>1309</v>
      </c>
    </row>
    <row r="531" s="29" customFormat="1" ht="26" customHeight="1" spans="1:11">
      <c r="A531" s="370">
        <v>512</v>
      </c>
      <c r="B531" s="126" t="s">
        <v>569</v>
      </c>
      <c r="C531" s="371" t="s">
        <v>1293</v>
      </c>
      <c r="D531" s="371" t="s">
        <v>1310</v>
      </c>
      <c r="E531" s="391"/>
      <c r="F531" s="391"/>
      <c r="G531" s="391"/>
      <c r="H531" s="393">
        <v>7.3</v>
      </c>
      <c r="I531" s="393">
        <v>0</v>
      </c>
      <c r="J531" s="372">
        <f t="shared" si="73"/>
        <v>0</v>
      </c>
      <c r="K531" s="398"/>
    </row>
    <row r="532" s="29" customFormat="1" ht="26" customHeight="1" spans="1:11">
      <c r="A532" s="370">
        <v>513</v>
      </c>
      <c r="B532" s="126" t="s">
        <v>569</v>
      </c>
      <c r="C532" s="371" t="s">
        <v>1293</v>
      </c>
      <c r="D532" s="371" t="s">
        <v>1311</v>
      </c>
      <c r="E532" s="391"/>
      <c r="F532" s="391"/>
      <c r="G532" s="391"/>
      <c r="H532" s="393">
        <v>35</v>
      </c>
      <c r="I532" s="393">
        <v>0</v>
      </c>
      <c r="J532" s="372">
        <f t="shared" si="73"/>
        <v>0</v>
      </c>
      <c r="K532" s="398"/>
    </row>
    <row r="533" s="334" customFormat="1" customHeight="1" spans="1:11">
      <c r="A533" s="353">
        <v>514</v>
      </c>
      <c r="B533" s="376" t="s">
        <v>1312</v>
      </c>
      <c r="C533" s="377"/>
      <c r="D533" s="378"/>
      <c r="E533" s="355">
        <f t="shared" ref="E533:J533" si="74">SUM(E517:E532)</f>
        <v>208.87</v>
      </c>
      <c r="F533" s="355">
        <f t="shared" si="74"/>
        <v>0</v>
      </c>
      <c r="G533" s="355">
        <f t="shared" si="74"/>
        <v>128.21</v>
      </c>
      <c r="H533" s="355">
        <f t="shared" si="74"/>
        <v>291.15</v>
      </c>
      <c r="I533" s="355">
        <f t="shared" si="74"/>
        <v>211.83</v>
      </c>
      <c r="J533" s="355">
        <f t="shared" si="74"/>
        <v>420.7</v>
      </c>
      <c r="K533" s="388"/>
    </row>
    <row r="534" s="29" customFormat="1" ht="26" customHeight="1" spans="1:11">
      <c r="A534" s="370">
        <v>515</v>
      </c>
      <c r="B534" s="126" t="s">
        <v>569</v>
      </c>
      <c r="C534" s="371" t="s">
        <v>1313</v>
      </c>
      <c r="D534" s="371" t="s">
        <v>1314</v>
      </c>
      <c r="E534" s="391">
        <v>22</v>
      </c>
      <c r="F534" s="391"/>
      <c r="G534" s="391">
        <v>2.85</v>
      </c>
      <c r="H534" s="393">
        <v>7</v>
      </c>
      <c r="I534" s="393">
        <v>7</v>
      </c>
      <c r="J534" s="372">
        <f t="shared" ref="J534:J542" si="75">E534+I534</f>
        <v>29</v>
      </c>
      <c r="K534" s="398"/>
    </row>
    <row r="535" s="29" customFormat="1" ht="26" customHeight="1" spans="1:11">
      <c r="A535" s="370">
        <v>516</v>
      </c>
      <c r="B535" s="126" t="s">
        <v>569</v>
      </c>
      <c r="C535" s="371" t="s">
        <v>1313</v>
      </c>
      <c r="D535" s="371" t="s">
        <v>1315</v>
      </c>
      <c r="E535" s="391">
        <v>84.66</v>
      </c>
      <c r="F535" s="391"/>
      <c r="G535" s="391">
        <v>42.33</v>
      </c>
      <c r="H535" s="393"/>
      <c r="I535" s="393"/>
      <c r="J535" s="372">
        <f t="shared" si="75"/>
        <v>84.66</v>
      </c>
      <c r="K535" s="398"/>
    </row>
    <row r="536" s="29" customFormat="1" ht="26" customHeight="1" spans="1:11">
      <c r="A536" s="370">
        <v>517</v>
      </c>
      <c r="B536" s="126" t="s">
        <v>569</v>
      </c>
      <c r="C536" s="371" t="s">
        <v>1313</v>
      </c>
      <c r="D536" s="371" t="s">
        <v>1316</v>
      </c>
      <c r="E536" s="391">
        <v>37.05</v>
      </c>
      <c r="F536" s="391"/>
      <c r="G536" s="391">
        <v>35.38</v>
      </c>
      <c r="H536" s="393"/>
      <c r="I536" s="393"/>
      <c r="J536" s="372">
        <f t="shared" si="75"/>
        <v>37.05</v>
      </c>
      <c r="K536" s="398"/>
    </row>
    <row r="537" s="29" customFormat="1" ht="26" customHeight="1" spans="1:11">
      <c r="A537" s="370">
        <v>518</v>
      </c>
      <c r="B537" s="126" t="s">
        <v>569</v>
      </c>
      <c r="C537" s="371" t="s">
        <v>1313</v>
      </c>
      <c r="D537" s="371" t="s">
        <v>1317</v>
      </c>
      <c r="E537" s="391">
        <v>14</v>
      </c>
      <c r="F537" s="391"/>
      <c r="G537" s="391">
        <v>9</v>
      </c>
      <c r="H537" s="393"/>
      <c r="I537" s="393"/>
      <c r="J537" s="372">
        <f t="shared" si="75"/>
        <v>14</v>
      </c>
      <c r="K537" s="398"/>
    </row>
    <row r="538" s="29" customFormat="1" ht="26" customHeight="1" spans="1:11">
      <c r="A538" s="370">
        <v>519</v>
      </c>
      <c r="B538" s="126" t="s">
        <v>569</v>
      </c>
      <c r="C538" s="371" t="s">
        <v>1313</v>
      </c>
      <c r="D538" s="371" t="s">
        <v>1318</v>
      </c>
      <c r="E538" s="391">
        <v>2</v>
      </c>
      <c r="F538" s="391"/>
      <c r="G538" s="391">
        <v>0</v>
      </c>
      <c r="H538" s="393"/>
      <c r="I538" s="393"/>
      <c r="J538" s="372">
        <f t="shared" si="75"/>
        <v>2</v>
      </c>
      <c r="K538" s="398"/>
    </row>
    <row r="539" s="29" customFormat="1" ht="26" customHeight="1" spans="1:11">
      <c r="A539" s="370">
        <v>520</v>
      </c>
      <c r="B539" s="126" t="s">
        <v>569</v>
      </c>
      <c r="C539" s="371" t="s">
        <v>1313</v>
      </c>
      <c r="D539" s="371" t="s">
        <v>1319</v>
      </c>
      <c r="E539" s="391">
        <v>1</v>
      </c>
      <c r="F539" s="391"/>
      <c r="G539" s="391">
        <v>0</v>
      </c>
      <c r="H539" s="393"/>
      <c r="I539" s="393"/>
      <c r="J539" s="372">
        <f t="shared" si="75"/>
        <v>1</v>
      </c>
      <c r="K539" s="398"/>
    </row>
    <row r="540" s="29" customFormat="1" ht="26" customHeight="1" spans="1:11">
      <c r="A540" s="370">
        <v>521</v>
      </c>
      <c r="B540" s="126" t="s">
        <v>569</v>
      </c>
      <c r="C540" s="371" t="s">
        <v>1313</v>
      </c>
      <c r="D540" s="371" t="s">
        <v>1320</v>
      </c>
      <c r="E540" s="391">
        <v>5</v>
      </c>
      <c r="F540" s="391"/>
      <c r="G540" s="391">
        <v>5</v>
      </c>
      <c r="H540" s="393"/>
      <c r="I540" s="393"/>
      <c r="J540" s="372">
        <f t="shared" si="75"/>
        <v>5</v>
      </c>
      <c r="K540" s="398"/>
    </row>
    <row r="541" s="29" customFormat="1" ht="26" customHeight="1" spans="1:11">
      <c r="A541" s="370">
        <v>522</v>
      </c>
      <c r="B541" s="126" t="s">
        <v>569</v>
      </c>
      <c r="C541" s="371" t="s">
        <v>1313</v>
      </c>
      <c r="D541" s="371" t="s">
        <v>1321</v>
      </c>
      <c r="E541" s="391">
        <v>25</v>
      </c>
      <c r="F541" s="391"/>
      <c r="G541" s="391">
        <v>10</v>
      </c>
      <c r="H541" s="393"/>
      <c r="I541" s="393"/>
      <c r="J541" s="372">
        <f t="shared" si="75"/>
        <v>25</v>
      </c>
      <c r="K541" s="398"/>
    </row>
    <row r="542" s="29" customFormat="1" ht="26" customHeight="1" spans="1:11">
      <c r="A542" s="370">
        <v>523</v>
      </c>
      <c r="B542" s="126" t="s">
        <v>569</v>
      </c>
      <c r="C542" s="371" t="s">
        <v>1313</v>
      </c>
      <c r="D542" s="371" t="s">
        <v>1322</v>
      </c>
      <c r="E542" s="391">
        <v>5</v>
      </c>
      <c r="F542" s="391"/>
      <c r="G542" s="391">
        <v>3</v>
      </c>
      <c r="H542" s="393"/>
      <c r="I542" s="393"/>
      <c r="J542" s="372">
        <f t="shared" si="75"/>
        <v>5</v>
      </c>
      <c r="K542" s="398"/>
    </row>
    <row r="543" s="334" customFormat="1" customHeight="1" spans="1:11">
      <c r="A543" s="353">
        <v>524</v>
      </c>
      <c r="B543" s="376" t="s">
        <v>1323</v>
      </c>
      <c r="C543" s="377"/>
      <c r="D543" s="378"/>
      <c r="E543" s="355">
        <f t="shared" ref="E543:J543" si="76">SUM(E534:E542)</f>
        <v>195.71</v>
      </c>
      <c r="F543" s="355">
        <f t="shared" si="76"/>
        <v>0</v>
      </c>
      <c r="G543" s="355">
        <f t="shared" si="76"/>
        <v>107.56</v>
      </c>
      <c r="H543" s="355">
        <f t="shared" si="76"/>
        <v>7</v>
      </c>
      <c r="I543" s="355">
        <f t="shared" si="76"/>
        <v>7</v>
      </c>
      <c r="J543" s="355">
        <f t="shared" si="76"/>
        <v>202.71</v>
      </c>
      <c r="K543" s="388"/>
    </row>
    <row r="544" s="29" customFormat="1" ht="26" customHeight="1" spans="1:11">
      <c r="A544" s="370">
        <v>525</v>
      </c>
      <c r="B544" s="126" t="s">
        <v>571</v>
      </c>
      <c r="C544" s="371" t="s">
        <v>1324</v>
      </c>
      <c r="D544" s="371" t="s">
        <v>1325</v>
      </c>
      <c r="E544" s="391">
        <v>21</v>
      </c>
      <c r="F544" s="391"/>
      <c r="G544" s="391">
        <v>21</v>
      </c>
      <c r="H544" s="393"/>
      <c r="I544" s="393"/>
      <c r="J544" s="372">
        <f t="shared" ref="J544:J562" si="77">E544+I544</f>
        <v>21</v>
      </c>
      <c r="K544" s="398"/>
    </row>
    <row r="545" s="29" customFormat="1" ht="26" customHeight="1" spans="1:11">
      <c r="A545" s="370">
        <v>526</v>
      </c>
      <c r="B545" s="126" t="s">
        <v>569</v>
      </c>
      <c r="C545" s="371" t="s">
        <v>1324</v>
      </c>
      <c r="D545" s="371" t="s">
        <v>1326</v>
      </c>
      <c r="E545" s="391">
        <v>20</v>
      </c>
      <c r="F545" s="391"/>
      <c r="G545" s="391">
        <v>0</v>
      </c>
      <c r="H545" s="393"/>
      <c r="I545" s="393"/>
      <c r="J545" s="372">
        <f t="shared" si="77"/>
        <v>20</v>
      </c>
      <c r="K545" s="398"/>
    </row>
    <row r="546" s="29" customFormat="1" ht="26" customHeight="1" spans="1:11">
      <c r="A546" s="370">
        <v>527</v>
      </c>
      <c r="B546" s="126" t="s">
        <v>569</v>
      </c>
      <c r="C546" s="371" t="s">
        <v>1324</v>
      </c>
      <c r="D546" s="371" t="s">
        <v>1327</v>
      </c>
      <c r="E546" s="391">
        <v>3</v>
      </c>
      <c r="F546" s="391"/>
      <c r="G546" s="391">
        <v>0</v>
      </c>
      <c r="H546" s="393"/>
      <c r="I546" s="393"/>
      <c r="J546" s="372">
        <f t="shared" si="77"/>
        <v>3</v>
      </c>
      <c r="K546" s="398"/>
    </row>
    <row r="547" s="29" customFormat="1" ht="26" customHeight="1" spans="1:11">
      <c r="A547" s="370">
        <v>528</v>
      </c>
      <c r="B547" s="126" t="s">
        <v>569</v>
      </c>
      <c r="C547" s="371" t="s">
        <v>1324</v>
      </c>
      <c r="D547" s="371" t="s">
        <v>1328</v>
      </c>
      <c r="E547" s="391">
        <v>18.4</v>
      </c>
      <c r="F547" s="391"/>
      <c r="G547" s="391">
        <v>18.4</v>
      </c>
      <c r="H547" s="393"/>
      <c r="I547" s="393"/>
      <c r="J547" s="372">
        <f t="shared" si="77"/>
        <v>18.4</v>
      </c>
      <c r="K547" s="398"/>
    </row>
    <row r="548" s="29" customFormat="1" ht="26" customHeight="1" spans="1:11">
      <c r="A548" s="370">
        <v>529</v>
      </c>
      <c r="B548" s="126" t="s">
        <v>569</v>
      </c>
      <c r="C548" s="371" t="s">
        <v>1324</v>
      </c>
      <c r="D548" s="371" t="s">
        <v>1329</v>
      </c>
      <c r="E548" s="391">
        <v>80</v>
      </c>
      <c r="F548" s="391"/>
      <c r="G548" s="391">
        <v>0</v>
      </c>
      <c r="H548" s="393"/>
      <c r="I548" s="393"/>
      <c r="J548" s="372">
        <f t="shared" si="77"/>
        <v>80</v>
      </c>
      <c r="K548" s="398"/>
    </row>
    <row r="549" s="29" customFormat="1" ht="26" customHeight="1" spans="1:11">
      <c r="A549" s="370">
        <v>530</v>
      </c>
      <c r="B549" s="126" t="s">
        <v>569</v>
      </c>
      <c r="C549" s="371" t="s">
        <v>1324</v>
      </c>
      <c r="D549" s="371" t="s">
        <v>1330</v>
      </c>
      <c r="E549" s="391">
        <v>2</v>
      </c>
      <c r="F549" s="391"/>
      <c r="G549" s="391">
        <v>2</v>
      </c>
      <c r="H549" s="393"/>
      <c r="I549" s="393"/>
      <c r="J549" s="372">
        <f t="shared" si="77"/>
        <v>2</v>
      </c>
      <c r="K549" s="398"/>
    </row>
    <row r="550" s="29" customFormat="1" ht="26" customHeight="1" spans="1:11">
      <c r="A550" s="370">
        <v>531</v>
      </c>
      <c r="B550" s="126" t="s">
        <v>569</v>
      </c>
      <c r="C550" s="371" t="s">
        <v>1324</v>
      </c>
      <c r="D550" s="371" t="s">
        <v>1331</v>
      </c>
      <c r="E550" s="391">
        <v>10</v>
      </c>
      <c r="F550" s="391"/>
      <c r="G550" s="391">
        <v>10</v>
      </c>
      <c r="H550" s="393"/>
      <c r="I550" s="393"/>
      <c r="J550" s="372">
        <f t="shared" si="77"/>
        <v>10</v>
      </c>
      <c r="K550" s="398"/>
    </row>
    <row r="551" s="29" customFormat="1" ht="26" customHeight="1" spans="1:11">
      <c r="A551" s="370">
        <v>532</v>
      </c>
      <c r="B551" s="126" t="s">
        <v>569</v>
      </c>
      <c r="C551" s="371" t="s">
        <v>1324</v>
      </c>
      <c r="D551" s="371" t="s">
        <v>1332</v>
      </c>
      <c r="E551" s="391">
        <v>10</v>
      </c>
      <c r="F551" s="391"/>
      <c r="G551" s="391">
        <v>10</v>
      </c>
      <c r="H551" s="393"/>
      <c r="I551" s="393"/>
      <c r="J551" s="372">
        <f t="shared" si="77"/>
        <v>10</v>
      </c>
      <c r="K551" s="398"/>
    </row>
    <row r="552" s="29" customFormat="1" ht="26" customHeight="1" spans="1:11">
      <c r="A552" s="370">
        <v>533</v>
      </c>
      <c r="B552" s="126" t="s">
        <v>569</v>
      </c>
      <c r="C552" s="371" t="s">
        <v>1324</v>
      </c>
      <c r="D552" s="371" t="s">
        <v>1333</v>
      </c>
      <c r="E552" s="391">
        <v>21</v>
      </c>
      <c r="F552" s="391"/>
      <c r="G552" s="391">
        <v>21</v>
      </c>
      <c r="H552" s="393"/>
      <c r="I552" s="393"/>
      <c r="J552" s="372">
        <f t="shared" si="77"/>
        <v>21</v>
      </c>
      <c r="K552" s="398"/>
    </row>
    <row r="553" s="29" customFormat="1" customHeight="1" spans="1:11">
      <c r="A553" s="370">
        <v>534</v>
      </c>
      <c r="B553" s="389" t="s">
        <v>569</v>
      </c>
      <c r="C553" s="79" t="s">
        <v>1324</v>
      </c>
      <c r="D553" s="79" t="s">
        <v>1334</v>
      </c>
      <c r="E553" s="123">
        <v>50</v>
      </c>
      <c r="F553" s="123"/>
      <c r="G553" s="123">
        <v>25</v>
      </c>
      <c r="H553" s="123"/>
      <c r="I553" s="123"/>
      <c r="J553" s="372">
        <f t="shared" si="77"/>
        <v>50</v>
      </c>
      <c r="K553" s="408"/>
    </row>
    <row r="554" s="29" customFormat="1" ht="26" customHeight="1" spans="1:11">
      <c r="A554" s="370">
        <v>535</v>
      </c>
      <c r="B554" s="126" t="s">
        <v>569</v>
      </c>
      <c r="C554" s="371" t="s">
        <v>1324</v>
      </c>
      <c r="D554" s="371" t="s">
        <v>1335</v>
      </c>
      <c r="E554" s="391">
        <v>3</v>
      </c>
      <c r="F554" s="391"/>
      <c r="G554" s="391">
        <v>0</v>
      </c>
      <c r="H554" s="393"/>
      <c r="I554" s="393"/>
      <c r="J554" s="372">
        <f t="shared" si="77"/>
        <v>3</v>
      </c>
      <c r="K554" s="398"/>
    </row>
    <row r="555" s="29" customFormat="1" ht="26" customHeight="1" spans="1:11">
      <c r="A555" s="370">
        <v>536</v>
      </c>
      <c r="B555" s="126" t="s">
        <v>569</v>
      </c>
      <c r="C555" s="371" t="s">
        <v>1324</v>
      </c>
      <c r="D555" s="371" t="s">
        <v>1336</v>
      </c>
      <c r="E555" s="391">
        <v>28.79</v>
      </c>
      <c r="F555" s="391"/>
      <c r="G555" s="391">
        <v>28.79</v>
      </c>
      <c r="H555" s="393"/>
      <c r="I555" s="393"/>
      <c r="J555" s="372">
        <f t="shared" si="77"/>
        <v>28.79</v>
      </c>
      <c r="K555" s="398"/>
    </row>
    <row r="556" s="29" customFormat="1" ht="26" customHeight="1" spans="1:11">
      <c r="A556" s="370">
        <v>537</v>
      </c>
      <c r="B556" s="126" t="s">
        <v>569</v>
      </c>
      <c r="C556" s="371" t="s">
        <v>1324</v>
      </c>
      <c r="D556" s="371" t="s">
        <v>1337</v>
      </c>
      <c r="E556" s="391">
        <v>5</v>
      </c>
      <c r="F556" s="391"/>
      <c r="G556" s="391">
        <v>5</v>
      </c>
      <c r="H556" s="393"/>
      <c r="I556" s="393"/>
      <c r="J556" s="372">
        <f t="shared" si="77"/>
        <v>5</v>
      </c>
      <c r="K556" s="398"/>
    </row>
    <row r="557" s="29" customFormat="1" ht="26" customHeight="1" spans="1:11">
      <c r="A557" s="370">
        <v>538</v>
      </c>
      <c r="B557" s="126" t="s">
        <v>569</v>
      </c>
      <c r="C557" s="371" t="s">
        <v>1324</v>
      </c>
      <c r="D557" s="371" t="s">
        <v>1338</v>
      </c>
      <c r="E557" s="391">
        <v>120</v>
      </c>
      <c r="F557" s="391"/>
      <c r="G557" s="391">
        <v>0</v>
      </c>
      <c r="H557" s="393"/>
      <c r="I557" s="393"/>
      <c r="J557" s="372">
        <f t="shared" si="77"/>
        <v>120</v>
      </c>
      <c r="K557" s="398"/>
    </row>
    <row r="558" s="29" customFormat="1" customHeight="1" spans="1:11">
      <c r="A558" s="370">
        <v>539</v>
      </c>
      <c r="B558" s="389" t="s">
        <v>569</v>
      </c>
      <c r="C558" s="79" t="s">
        <v>1324</v>
      </c>
      <c r="D558" s="79" t="s">
        <v>1339</v>
      </c>
      <c r="E558" s="123"/>
      <c r="F558" s="123"/>
      <c r="G558" s="123"/>
      <c r="H558" s="123">
        <v>5</v>
      </c>
      <c r="I558" s="123">
        <v>5</v>
      </c>
      <c r="J558" s="372">
        <f t="shared" si="77"/>
        <v>5</v>
      </c>
      <c r="K558" s="394" t="s">
        <v>1340</v>
      </c>
    </row>
    <row r="559" s="29" customFormat="1" customHeight="1" spans="1:11">
      <c r="A559" s="370">
        <v>540</v>
      </c>
      <c r="B559" s="389" t="s">
        <v>569</v>
      </c>
      <c r="C559" s="79" t="s">
        <v>1324</v>
      </c>
      <c r="D559" s="79" t="s">
        <v>1341</v>
      </c>
      <c r="E559" s="123"/>
      <c r="F559" s="123"/>
      <c r="G559" s="123"/>
      <c r="H559" s="123">
        <v>14</v>
      </c>
      <c r="I559" s="123">
        <v>10</v>
      </c>
      <c r="J559" s="372">
        <f t="shared" si="77"/>
        <v>10</v>
      </c>
      <c r="K559" s="394" t="s">
        <v>1342</v>
      </c>
    </row>
    <row r="560" s="29" customFormat="1" customHeight="1" spans="1:11">
      <c r="A560" s="370">
        <v>541</v>
      </c>
      <c r="B560" s="126" t="s">
        <v>627</v>
      </c>
      <c r="C560" s="79" t="s">
        <v>1324</v>
      </c>
      <c r="D560" s="147" t="s">
        <v>1343</v>
      </c>
      <c r="E560" s="123">
        <v>0</v>
      </c>
      <c r="F560" s="123"/>
      <c r="G560" s="123">
        <v>0</v>
      </c>
      <c r="H560" s="123">
        <v>480</v>
      </c>
      <c r="I560" s="123">
        <v>240</v>
      </c>
      <c r="J560" s="372">
        <f t="shared" si="77"/>
        <v>240</v>
      </c>
      <c r="K560" s="79" t="s">
        <v>1344</v>
      </c>
    </row>
    <row r="561" s="29" customFormat="1" customHeight="1" spans="1:11">
      <c r="A561" s="370">
        <v>542</v>
      </c>
      <c r="B561" s="126" t="s">
        <v>627</v>
      </c>
      <c r="C561" s="79" t="s">
        <v>1324</v>
      </c>
      <c r="D561" s="147" t="s">
        <v>1345</v>
      </c>
      <c r="E561" s="123">
        <v>360</v>
      </c>
      <c r="F561" s="123"/>
      <c r="G561" s="123">
        <v>320</v>
      </c>
      <c r="H561" s="123">
        <v>0</v>
      </c>
      <c r="I561" s="123">
        <v>0</v>
      </c>
      <c r="J561" s="372">
        <f t="shared" si="77"/>
        <v>360</v>
      </c>
      <c r="K561" s="79"/>
    </row>
    <row r="562" s="29" customFormat="1" customHeight="1" spans="1:11">
      <c r="A562" s="370">
        <v>543</v>
      </c>
      <c r="B562" s="126" t="s">
        <v>565</v>
      </c>
      <c r="C562" s="79" t="s">
        <v>1324</v>
      </c>
      <c r="D562" s="147" t="s">
        <v>1346</v>
      </c>
      <c r="E562" s="123">
        <v>3</v>
      </c>
      <c r="F562" s="123"/>
      <c r="G562" s="123">
        <f>E562-2.2979</f>
        <v>0.7021</v>
      </c>
      <c r="H562" s="123">
        <v>1.632</v>
      </c>
      <c r="I562" s="123">
        <v>1.632</v>
      </c>
      <c r="J562" s="372">
        <f t="shared" si="77"/>
        <v>4.632</v>
      </c>
      <c r="K562" s="79" t="s">
        <v>1347</v>
      </c>
    </row>
    <row r="563" s="334" customFormat="1" customHeight="1" spans="1:11">
      <c r="A563" s="353">
        <v>544</v>
      </c>
      <c r="B563" s="376" t="s">
        <v>1348</v>
      </c>
      <c r="C563" s="377"/>
      <c r="D563" s="378"/>
      <c r="E563" s="355">
        <f t="shared" ref="E563:J563" si="78">SUM(E544:E562)</f>
        <v>755.19</v>
      </c>
      <c r="F563" s="355">
        <f t="shared" si="78"/>
        <v>0</v>
      </c>
      <c r="G563" s="355">
        <f t="shared" si="78"/>
        <v>461.8921</v>
      </c>
      <c r="H563" s="355">
        <f t="shared" si="78"/>
        <v>500.632</v>
      </c>
      <c r="I563" s="355">
        <f t="shared" si="78"/>
        <v>256.632</v>
      </c>
      <c r="J563" s="355">
        <f t="shared" si="78"/>
        <v>1011.822</v>
      </c>
      <c r="K563" s="388"/>
    </row>
    <row r="564" s="29" customFormat="1" ht="26" customHeight="1" spans="1:11">
      <c r="A564" s="370">
        <v>545</v>
      </c>
      <c r="B564" s="126" t="s">
        <v>569</v>
      </c>
      <c r="C564" s="371" t="s">
        <v>1349</v>
      </c>
      <c r="D564" s="371" t="s">
        <v>1350</v>
      </c>
      <c r="E564" s="391">
        <v>0.6</v>
      </c>
      <c r="F564" s="391"/>
      <c r="G564" s="391">
        <v>0.6</v>
      </c>
      <c r="H564" s="393"/>
      <c r="I564" s="393"/>
      <c r="J564" s="372">
        <f t="shared" ref="J564:J568" si="79">E564+I564</f>
        <v>0.6</v>
      </c>
      <c r="K564" s="398"/>
    </row>
    <row r="565" s="29" customFormat="1" ht="26" customHeight="1" spans="1:11">
      <c r="A565" s="370">
        <v>546</v>
      </c>
      <c r="B565" s="126" t="s">
        <v>569</v>
      </c>
      <c r="C565" s="371" t="s">
        <v>1349</v>
      </c>
      <c r="D565" s="371" t="s">
        <v>1351</v>
      </c>
      <c r="E565" s="391">
        <v>2</v>
      </c>
      <c r="F565" s="391"/>
      <c r="G565" s="391">
        <v>0</v>
      </c>
      <c r="H565" s="393"/>
      <c r="I565" s="393"/>
      <c r="J565" s="372">
        <f t="shared" si="79"/>
        <v>2</v>
      </c>
      <c r="K565" s="398"/>
    </row>
    <row r="566" s="29" customFormat="1" customHeight="1" spans="1:11">
      <c r="A566" s="370">
        <v>547</v>
      </c>
      <c r="B566" s="389" t="s">
        <v>569</v>
      </c>
      <c r="C566" s="79" t="s">
        <v>1349</v>
      </c>
      <c r="D566" s="79" t="s">
        <v>1352</v>
      </c>
      <c r="E566" s="123">
        <v>8</v>
      </c>
      <c r="F566" s="123"/>
      <c r="G566" s="123">
        <v>0</v>
      </c>
      <c r="H566" s="123">
        <v>5.56</v>
      </c>
      <c r="I566" s="123">
        <v>2</v>
      </c>
      <c r="J566" s="372">
        <f t="shared" si="79"/>
        <v>10</v>
      </c>
      <c r="K566" s="394" t="s">
        <v>1353</v>
      </c>
    </row>
    <row r="567" s="29" customFormat="1" ht="26" customHeight="1" spans="1:11">
      <c r="A567" s="370">
        <v>548</v>
      </c>
      <c r="B567" s="126" t="s">
        <v>569</v>
      </c>
      <c r="C567" s="371" t="s">
        <v>1349</v>
      </c>
      <c r="D567" s="371" t="s">
        <v>1354</v>
      </c>
      <c r="E567" s="391">
        <v>5</v>
      </c>
      <c r="F567" s="391"/>
      <c r="G567" s="391">
        <v>3</v>
      </c>
      <c r="H567" s="393"/>
      <c r="I567" s="393"/>
      <c r="J567" s="372">
        <f t="shared" si="79"/>
        <v>5</v>
      </c>
      <c r="K567" s="398"/>
    </row>
    <row r="568" s="29" customFormat="1" ht="26" customHeight="1" spans="1:11">
      <c r="A568" s="370">
        <v>549</v>
      </c>
      <c r="B568" s="126" t="s">
        <v>569</v>
      </c>
      <c r="C568" s="371" t="s">
        <v>1349</v>
      </c>
      <c r="D568" s="371" t="s">
        <v>1355</v>
      </c>
      <c r="E568" s="391">
        <v>2</v>
      </c>
      <c r="F568" s="391"/>
      <c r="G568" s="391">
        <v>0</v>
      </c>
      <c r="H568" s="393"/>
      <c r="I568" s="393"/>
      <c r="J568" s="372">
        <f t="shared" si="79"/>
        <v>2</v>
      </c>
      <c r="K568" s="398"/>
    </row>
    <row r="569" s="334" customFormat="1" customHeight="1" spans="1:11">
      <c r="A569" s="353">
        <v>550</v>
      </c>
      <c r="B569" s="376" t="s">
        <v>1356</v>
      </c>
      <c r="C569" s="377"/>
      <c r="D569" s="378"/>
      <c r="E569" s="355">
        <f t="shared" ref="E569:J569" si="80">SUM(E564:E568)</f>
        <v>17.6</v>
      </c>
      <c r="F569" s="355">
        <f t="shared" si="80"/>
        <v>0</v>
      </c>
      <c r="G569" s="355">
        <f t="shared" si="80"/>
        <v>3.6</v>
      </c>
      <c r="H569" s="355">
        <f t="shared" si="80"/>
        <v>5.56</v>
      </c>
      <c r="I569" s="355">
        <f t="shared" si="80"/>
        <v>2</v>
      </c>
      <c r="J569" s="355">
        <f t="shared" si="80"/>
        <v>19.6</v>
      </c>
      <c r="K569" s="388"/>
    </row>
    <row r="570" s="29" customFormat="1" customHeight="1" spans="1:11">
      <c r="A570" s="370">
        <v>551</v>
      </c>
      <c r="B570" s="126" t="s">
        <v>576</v>
      </c>
      <c r="C570" s="79" t="s">
        <v>1357</v>
      </c>
      <c r="D570" s="79" t="s">
        <v>1358</v>
      </c>
      <c r="E570" s="391"/>
      <c r="F570" s="391"/>
      <c r="G570" s="391"/>
      <c r="H570" s="391">
        <v>3.897</v>
      </c>
      <c r="I570" s="391">
        <v>3.9</v>
      </c>
      <c r="J570" s="372">
        <f t="shared" ref="J570:J608" si="81">E570+I570</f>
        <v>3.9</v>
      </c>
      <c r="K570" s="407" t="s">
        <v>1359</v>
      </c>
    </row>
    <row r="571" s="29" customFormat="1" customHeight="1" spans="1:11">
      <c r="A571" s="370">
        <v>552</v>
      </c>
      <c r="B571" s="126" t="s">
        <v>576</v>
      </c>
      <c r="C571" s="79" t="s">
        <v>1357</v>
      </c>
      <c r="D571" s="79" t="s">
        <v>1360</v>
      </c>
      <c r="E571" s="390">
        <v>10.02</v>
      </c>
      <c r="F571" s="390"/>
      <c r="G571" s="390">
        <v>0</v>
      </c>
      <c r="H571" s="390"/>
      <c r="I571" s="390"/>
      <c r="J571" s="372">
        <f t="shared" si="81"/>
        <v>10.02</v>
      </c>
      <c r="K571" s="79"/>
    </row>
    <row r="572" s="29" customFormat="1" customHeight="1" spans="1:11">
      <c r="A572" s="370">
        <v>553</v>
      </c>
      <c r="B572" s="126" t="s">
        <v>576</v>
      </c>
      <c r="C572" s="79" t="s">
        <v>1357</v>
      </c>
      <c r="D572" s="79" t="s">
        <v>1361</v>
      </c>
      <c r="E572" s="391">
        <v>900</v>
      </c>
      <c r="F572" s="391"/>
      <c r="G572" s="391">
        <v>8.301231</v>
      </c>
      <c r="H572" s="391">
        <v>500</v>
      </c>
      <c r="I572" s="391">
        <v>0</v>
      </c>
      <c r="J572" s="372">
        <f t="shared" si="81"/>
        <v>900</v>
      </c>
      <c r="K572" s="407"/>
    </row>
    <row r="573" s="29" customFormat="1" customHeight="1" spans="1:11">
      <c r="A573" s="370">
        <v>554</v>
      </c>
      <c r="B573" s="126" t="s">
        <v>576</v>
      </c>
      <c r="C573" s="79" t="s">
        <v>1357</v>
      </c>
      <c r="D573" s="79" t="s">
        <v>1362</v>
      </c>
      <c r="E573" s="390"/>
      <c r="F573" s="390"/>
      <c r="G573" s="390"/>
      <c r="H573" s="390">
        <v>52.78</v>
      </c>
      <c r="I573" s="390">
        <v>0</v>
      </c>
      <c r="J573" s="372">
        <f t="shared" si="81"/>
        <v>0</v>
      </c>
      <c r="K573" s="407" t="s">
        <v>1363</v>
      </c>
    </row>
    <row r="574" s="29" customFormat="1" ht="26" customHeight="1" spans="1:11">
      <c r="A574" s="370">
        <v>555</v>
      </c>
      <c r="B574" s="126" t="s">
        <v>576</v>
      </c>
      <c r="C574" s="371" t="s">
        <v>1357</v>
      </c>
      <c r="D574" s="371" t="s">
        <v>1364</v>
      </c>
      <c r="E574" s="391"/>
      <c r="F574" s="391"/>
      <c r="G574" s="391"/>
      <c r="H574" s="393">
        <v>106.19</v>
      </c>
      <c r="I574" s="393">
        <v>0</v>
      </c>
      <c r="J574" s="372">
        <f t="shared" si="81"/>
        <v>0</v>
      </c>
      <c r="K574" s="398"/>
    </row>
    <row r="575" s="29" customFormat="1" ht="26" customHeight="1" spans="1:11">
      <c r="A575" s="370">
        <v>556</v>
      </c>
      <c r="B575" s="126" t="s">
        <v>576</v>
      </c>
      <c r="C575" s="371" t="s">
        <v>1357</v>
      </c>
      <c r="D575" s="371" t="s">
        <v>1365</v>
      </c>
      <c r="E575" s="391">
        <v>150</v>
      </c>
      <c r="F575" s="391"/>
      <c r="G575" s="391">
        <v>150</v>
      </c>
      <c r="H575" s="393"/>
      <c r="I575" s="393"/>
      <c r="J575" s="372">
        <f t="shared" si="81"/>
        <v>150</v>
      </c>
      <c r="K575" s="398"/>
    </row>
    <row r="576" s="29" customFormat="1" ht="26" customHeight="1" spans="1:11">
      <c r="A576" s="370">
        <v>557</v>
      </c>
      <c r="B576" s="126" t="s">
        <v>576</v>
      </c>
      <c r="C576" s="371" t="s">
        <v>1357</v>
      </c>
      <c r="D576" s="371" t="s">
        <v>1366</v>
      </c>
      <c r="E576" s="391">
        <v>6</v>
      </c>
      <c r="F576" s="391"/>
      <c r="G576" s="391">
        <v>0</v>
      </c>
      <c r="H576" s="393"/>
      <c r="I576" s="393"/>
      <c r="J576" s="372">
        <f t="shared" si="81"/>
        <v>6</v>
      </c>
      <c r="K576" s="398"/>
    </row>
    <row r="577" s="29" customFormat="1" ht="26" customHeight="1" spans="1:11">
      <c r="A577" s="370">
        <v>558</v>
      </c>
      <c r="B577" s="126" t="s">
        <v>576</v>
      </c>
      <c r="C577" s="371" t="s">
        <v>1357</v>
      </c>
      <c r="D577" s="371" t="s">
        <v>1367</v>
      </c>
      <c r="E577" s="391">
        <v>170</v>
      </c>
      <c r="F577" s="391"/>
      <c r="G577" s="391">
        <v>18.4</v>
      </c>
      <c r="H577" s="393"/>
      <c r="I577" s="393"/>
      <c r="J577" s="372">
        <f t="shared" si="81"/>
        <v>170</v>
      </c>
      <c r="K577" s="398" t="s">
        <v>1368</v>
      </c>
    </row>
    <row r="578" s="29" customFormat="1" ht="26" customHeight="1" spans="1:11">
      <c r="A578" s="370">
        <v>559</v>
      </c>
      <c r="B578" s="126" t="s">
        <v>576</v>
      </c>
      <c r="C578" s="371" t="s">
        <v>1357</v>
      </c>
      <c r="D578" s="371" t="s">
        <v>1369</v>
      </c>
      <c r="E578" s="391">
        <v>2</v>
      </c>
      <c r="F578" s="391"/>
      <c r="G578" s="391">
        <v>0</v>
      </c>
      <c r="H578" s="393"/>
      <c r="I578" s="393"/>
      <c r="J578" s="372">
        <f t="shared" si="81"/>
        <v>2</v>
      </c>
      <c r="K578" s="398"/>
    </row>
    <row r="579" s="29" customFormat="1" ht="26" customHeight="1" spans="1:11">
      <c r="A579" s="370">
        <v>560</v>
      </c>
      <c r="B579" s="126" t="s">
        <v>576</v>
      </c>
      <c r="C579" s="371" t="s">
        <v>1357</v>
      </c>
      <c r="D579" s="371" t="s">
        <v>1370</v>
      </c>
      <c r="E579" s="391">
        <v>1</v>
      </c>
      <c r="F579" s="391"/>
      <c r="G579" s="391">
        <v>0</v>
      </c>
      <c r="H579" s="393"/>
      <c r="I579" s="393"/>
      <c r="J579" s="372">
        <f t="shared" si="81"/>
        <v>1</v>
      </c>
      <c r="K579" s="398"/>
    </row>
    <row r="580" s="29" customFormat="1" ht="26" customHeight="1" spans="1:11">
      <c r="A580" s="370">
        <v>561</v>
      </c>
      <c r="B580" s="126" t="s">
        <v>576</v>
      </c>
      <c r="C580" s="371" t="s">
        <v>1357</v>
      </c>
      <c r="D580" s="371" t="s">
        <v>1371</v>
      </c>
      <c r="E580" s="391">
        <v>1.5</v>
      </c>
      <c r="F580" s="391"/>
      <c r="G580" s="391">
        <v>0</v>
      </c>
      <c r="H580" s="393"/>
      <c r="I580" s="393"/>
      <c r="J580" s="372">
        <f t="shared" si="81"/>
        <v>1.5</v>
      </c>
      <c r="K580" s="398"/>
    </row>
    <row r="581" s="29" customFormat="1" ht="26" customHeight="1" spans="1:11">
      <c r="A581" s="370">
        <v>562</v>
      </c>
      <c r="B581" s="126" t="s">
        <v>576</v>
      </c>
      <c r="C581" s="371" t="s">
        <v>1357</v>
      </c>
      <c r="D581" s="371" t="s">
        <v>1372</v>
      </c>
      <c r="E581" s="391"/>
      <c r="F581" s="391"/>
      <c r="G581" s="391"/>
      <c r="H581" s="393">
        <v>3</v>
      </c>
      <c r="I581" s="393">
        <v>0</v>
      </c>
      <c r="J581" s="372">
        <f t="shared" si="81"/>
        <v>0</v>
      </c>
      <c r="K581" s="398"/>
    </row>
    <row r="582" s="29" customFormat="1" ht="26" customHeight="1" spans="1:11">
      <c r="A582" s="370">
        <v>563</v>
      </c>
      <c r="B582" s="126" t="s">
        <v>576</v>
      </c>
      <c r="C582" s="371" t="s">
        <v>1357</v>
      </c>
      <c r="D582" s="371" t="s">
        <v>1373</v>
      </c>
      <c r="E582" s="391">
        <v>2</v>
      </c>
      <c r="F582" s="391"/>
      <c r="G582" s="391">
        <v>0</v>
      </c>
      <c r="H582" s="393"/>
      <c r="I582" s="393"/>
      <c r="J582" s="372">
        <f t="shared" si="81"/>
        <v>2</v>
      </c>
      <c r="K582" s="398"/>
    </row>
    <row r="583" s="29" customFormat="1" ht="26" customHeight="1" spans="1:11">
      <c r="A583" s="370">
        <v>564</v>
      </c>
      <c r="B583" s="126" t="s">
        <v>576</v>
      </c>
      <c r="C583" s="371" t="s">
        <v>1357</v>
      </c>
      <c r="D583" s="371" t="s">
        <v>1374</v>
      </c>
      <c r="E583" s="391">
        <v>4.5</v>
      </c>
      <c r="F583" s="391"/>
      <c r="G583" s="391">
        <v>0</v>
      </c>
      <c r="H583" s="393">
        <v>6</v>
      </c>
      <c r="I583" s="393">
        <v>0</v>
      </c>
      <c r="J583" s="372">
        <f t="shared" si="81"/>
        <v>4.5</v>
      </c>
      <c r="K583" s="398"/>
    </row>
    <row r="584" s="29" customFormat="1" ht="26" customHeight="1" spans="1:11">
      <c r="A584" s="370">
        <v>565</v>
      </c>
      <c r="B584" s="126" t="s">
        <v>576</v>
      </c>
      <c r="C584" s="371" t="s">
        <v>1357</v>
      </c>
      <c r="D584" s="371" t="s">
        <v>1375</v>
      </c>
      <c r="E584" s="391">
        <v>2</v>
      </c>
      <c r="F584" s="391"/>
      <c r="G584" s="391">
        <v>0</v>
      </c>
      <c r="H584" s="393"/>
      <c r="I584" s="393"/>
      <c r="J584" s="372">
        <f t="shared" si="81"/>
        <v>2</v>
      </c>
      <c r="K584" s="398"/>
    </row>
    <row r="585" s="29" customFormat="1" ht="26" customHeight="1" spans="1:11">
      <c r="A585" s="370">
        <v>566</v>
      </c>
      <c r="B585" s="126" t="s">
        <v>576</v>
      </c>
      <c r="C585" s="371" t="s">
        <v>1357</v>
      </c>
      <c r="D585" s="371" t="s">
        <v>1376</v>
      </c>
      <c r="E585" s="391">
        <v>2</v>
      </c>
      <c r="F585" s="391"/>
      <c r="G585" s="391">
        <v>0</v>
      </c>
      <c r="H585" s="393">
        <v>8</v>
      </c>
      <c r="I585" s="393">
        <v>0</v>
      </c>
      <c r="J585" s="372">
        <f t="shared" si="81"/>
        <v>2</v>
      </c>
      <c r="K585" s="398"/>
    </row>
    <row r="586" s="29" customFormat="1" ht="26" customHeight="1" spans="1:11">
      <c r="A586" s="370">
        <v>567</v>
      </c>
      <c r="B586" s="126" t="s">
        <v>576</v>
      </c>
      <c r="C586" s="371" t="s">
        <v>1357</v>
      </c>
      <c r="D586" s="371" t="s">
        <v>1377</v>
      </c>
      <c r="E586" s="391">
        <v>2</v>
      </c>
      <c r="F586" s="391"/>
      <c r="G586" s="391">
        <v>0</v>
      </c>
      <c r="H586" s="393"/>
      <c r="I586" s="393"/>
      <c r="J586" s="372">
        <f t="shared" si="81"/>
        <v>2</v>
      </c>
      <c r="K586" s="398"/>
    </row>
    <row r="587" s="29" customFormat="1" customHeight="1" spans="1:11">
      <c r="A587" s="370">
        <v>568</v>
      </c>
      <c r="B587" s="126" t="s">
        <v>576</v>
      </c>
      <c r="C587" s="79" t="s">
        <v>1357</v>
      </c>
      <c r="D587" s="79" t="s">
        <v>1378</v>
      </c>
      <c r="E587" s="390">
        <v>69</v>
      </c>
      <c r="F587" s="390"/>
      <c r="G587" s="390">
        <v>22.023</v>
      </c>
      <c r="H587" s="390"/>
      <c r="I587" s="390"/>
      <c r="J587" s="391">
        <f t="shared" si="81"/>
        <v>69</v>
      </c>
      <c r="K587" s="79" t="s">
        <v>1379</v>
      </c>
    </row>
    <row r="588" s="29" customFormat="1" ht="26" customHeight="1" spans="1:11">
      <c r="A588" s="370">
        <v>569</v>
      </c>
      <c r="B588" s="126" t="s">
        <v>576</v>
      </c>
      <c r="C588" s="371" t="s">
        <v>1357</v>
      </c>
      <c r="D588" s="371" t="s">
        <v>1380</v>
      </c>
      <c r="E588" s="391">
        <v>5</v>
      </c>
      <c r="F588" s="391"/>
      <c r="G588" s="391">
        <v>5</v>
      </c>
      <c r="H588" s="393"/>
      <c r="I588" s="393"/>
      <c r="J588" s="372">
        <f t="shared" si="81"/>
        <v>5</v>
      </c>
      <c r="K588" s="398" t="s">
        <v>1381</v>
      </c>
    </row>
    <row r="589" s="29" customFormat="1" ht="26" customHeight="1" spans="1:11">
      <c r="A589" s="370">
        <v>570</v>
      </c>
      <c r="B589" s="126" t="s">
        <v>576</v>
      </c>
      <c r="C589" s="371" t="s">
        <v>1357</v>
      </c>
      <c r="D589" s="371" t="s">
        <v>1382</v>
      </c>
      <c r="E589" s="391">
        <v>15</v>
      </c>
      <c r="F589" s="391"/>
      <c r="G589" s="391">
        <v>15</v>
      </c>
      <c r="H589" s="393">
        <v>30</v>
      </c>
      <c r="I589" s="393">
        <v>0</v>
      </c>
      <c r="J589" s="372">
        <f t="shared" si="81"/>
        <v>15</v>
      </c>
      <c r="K589" s="398"/>
    </row>
    <row r="590" s="29" customFormat="1" ht="26" customHeight="1" spans="1:11">
      <c r="A590" s="370">
        <v>571</v>
      </c>
      <c r="B590" s="126" t="s">
        <v>576</v>
      </c>
      <c r="C590" s="371" t="s">
        <v>1357</v>
      </c>
      <c r="D590" s="371" t="s">
        <v>1383</v>
      </c>
      <c r="E590" s="391">
        <v>3</v>
      </c>
      <c r="F590" s="391"/>
      <c r="G590" s="391">
        <v>0</v>
      </c>
      <c r="H590" s="393"/>
      <c r="I590" s="393"/>
      <c r="J590" s="372">
        <f t="shared" si="81"/>
        <v>3</v>
      </c>
      <c r="K590" s="398"/>
    </row>
    <row r="591" s="29" customFormat="1" ht="26" customHeight="1" spans="1:11">
      <c r="A591" s="370">
        <v>572</v>
      </c>
      <c r="B591" s="126" t="s">
        <v>576</v>
      </c>
      <c r="C591" s="371" t="s">
        <v>1357</v>
      </c>
      <c r="D591" s="371" t="s">
        <v>1384</v>
      </c>
      <c r="E591" s="391"/>
      <c r="F591" s="391"/>
      <c r="G591" s="391"/>
      <c r="H591" s="393">
        <v>37</v>
      </c>
      <c r="I591" s="393">
        <v>5</v>
      </c>
      <c r="J591" s="372">
        <f t="shared" si="81"/>
        <v>5</v>
      </c>
      <c r="K591" s="398"/>
    </row>
    <row r="592" s="29" customFormat="1" customHeight="1" spans="1:11">
      <c r="A592" s="370">
        <v>573</v>
      </c>
      <c r="B592" s="126" t="s">
        <v>576</v>
      </c>
      <c r="C592" s="79" t="s">
        <v>1357</v>
      </c>
      <c r="D592" s="79" t="s">
        <v>1385</v>
      </c>
      <c r="E592" s="391">
        <v>1</v>
      </c>
      <c r="F592" s="391"/>
      <c r="G592" s="391">
        <v>0.92925</v>
      </c>
      <c r="H592" s="391"/>
      <c r="I592" s="391"/>
      <c r="J592" s="391">
        <f t="shared" si="81"/>
        <v>1</v>
      </c>
      <c r="K592" s="79" t="s">
        <v>1386</v>
      </c>
    </row>
    <row r="593" s="29" customFormat="1" ht="26" customHeight="1" spans="1:11">
      <c r="A593" s="370">
        <v>574</v>
      </c>
      <c r="B593" s="126" t="s">
        <v>576</v>
      </c>
      <c r="C593" s="371" t="s">
        <v>1357</v>
      </c>
      <c r="D593" s="371" t="s">
        <v>1387</v>
      </c>
      <c r="E593" s="391">
        <v>5</v>
      </c>
      <c r="F593" s="391"/>
      <c r="G593" s="391">
        <v>0</v>
      </c>
      <c r="H593" s="393">
        <v>2</v>
      </c>
      <c r="I593" s="393">
        <v>0</v>
      </c>
      <c r="J593" s="372">
        <f t="shared" si="81"/>
        <v>5</v>
      </c>
      <c r="K593" s="398"/>
    </row>
    <row r="594" s="29" customFormat="1" ht="26" customHeight="1" spans="1:11">
      <c r="A594" s="370">
        <v>575</v>
      </c>
      <c r="B594" s="126" t="s">
        <v>576</v>
      </c>
      <c r="C594" s="371" t="s">
        <v>1357</v>
      </c>
      <c r="D594" s="371" t="s">
        <v>1388</v>
      </c>
      <c r="E594" s="391">
        <v>45</v>
      </c>
      <c r="F594" s="391"/>
      <c r="G594" s="391">
        <v>33.77275</v>
      </c>
      <c r="H594" s="393"/>
      <c r="I594" s="393">
        <v>-33.77275</v>
      </c>
      <c r="J594" s="372">
        <f t="shared" si="81"/>
        <v>11.22725</v>
      </c>
      <c r="K594" s="398" t="s">
        <v>1389</v>
      </c>
    </row>
    <row r="595" s="29" customFormat="1" ht="26" customHeight="1" spans="1:11">
      <c r="A595" s="370">
        <v>576</v>
      </c>
      <c r="B595" s="126" t="s">
        <v>576</v>
      </c>
      <c r="C595" s="371" t="s">
        <v>1357</v>
      </c>
      <c r="D595" s="371" t="s">
        <v>1390</v>
      </c>
      <c r="E595" s="391">
        <v>3</v>
      </c>
      <c r="F595" s="391"/>
      <c r="G595" s="391">
        <v>3</v>
      </c>
      <c r="H595" s="393"/>
      <c r="I595" s="393"/>
      <c r="J595" s="372">
        <f t="shared" si="81"/>
        <v>3</v>
      </c>
      <c r="K595" s="398" t="s">
        <v>1391</v>
      </c>
    </row>
    <row r="596" s="29" customFormat="1" ht="26" customHeight="1" spans="1:11">
      <c r="A596" s="370">
        <v>577</v>
      </c>
      <c r="B596" s="126" t="s">
        <v>576</v>
      </c>
      <c r="C596" s="371" t="s">
        <v>1357</v>
      </c>
      <c r="D596" s="371" t="s">
        <v>1392</v>
      </c>
      <c r="E596" s="391">
        <v>6.65</v>
      </c>
      <c r="F596" s="391"/>
      <c r="G596" s="391">
        <v>6.65</v>
      </c>
      <c r="H596" s="393"/>
      <c r="I596" s="393"/>
      <c r="J596" s="372">
        <f t="shared" si="81"/>
        <v>6.65</v>
      </c>
      <c r="K596" s="398"/>
    </row>
    <row r="597" s="29" customFormat="1" ht="26" customHeight="1" spans="1:11">
      <c r="A597" s="370">
        <v>578</v>
      </c>
      <c r="B597" s="126" t="s">
        <v>576</v>
      </c>
      <c r="C597" s="371" t="s">
        <v>1357</v>
      </c>
      <c r="D597" s="371" t="s">
        <v>1393</v>
      </c>
      <c r="E597" s="391">
        <v>25</v>
      </c>
      <c r="F597" s="391"/>
      <c r="G597" s="391">
        <v>23.78031</v>
      </c>
      <c r="H597" s="393"/>
      <c r="I597" s="393">
        <v>-10</v>
      </c>
      <c r="J597" s="372">
        <f t="shared" si="81"/>
        <v>15</v>
      </c>
      <c r="K597" s="398"/>
    </row>
    <row r="598" s="29" customFormat="1" customHeight="1" spans="1:11">
      <c r="A598" s="370">
        <v>579</v>
      </c>
      <c r="B598" s="126" t="s">
        <v>576</v>
      </c>
      <c r="C598" s="79" t="s">
        <v>1357</v>
      </c>
      <c r="D598" s="79" t="s">
        <v>1394</v>
      </c>
      <c r="E598" s="391">
        <v>33</v>
      </c>
      <c r="F598" s="391"/>
      <c r="G598" s="391">
        <v>30.7612</v>
      </c>
      <c r="H598" s="391"/>
      <c r="I598" s="391"/>
      <c r="J598" s="391">
        <f t="shared" si="81"/>
        <v>33</v>
      </c>
      <c r="K598" s="79" t="s">
        <v>1395</v>
      </c>
    </row>
    <row r="599" s="29" customFormat="1" customHeight="1" spans="1:11">
      <c r="A599" s="370">
        <v>580</v>
      </c>
      <c r="B599" s="126" t="s">
        <v>576</v>
      </c>
      <c r="C599" s="79" t="s">
        <v>1357</v>
      </c>
      <c r="D599" s="79" t="s">
        <v>1396</v>
      </c>
      <c r="E599" s="390">
        <v>84</v>
      </c>
      <c r="F599" s="390"/>
      <c r="G599" s="390">
        <v>0</v>
      </c>
      <c r="H599" s="390"/>
      <c r="I599" s="390"/>
      <c r="J599" s="391">
        <f t="shared" si="81"/>
        <v>84</v>
      </c>
      <c r="K599" s="79"/>
    </row>
    <row r="600" s="29" customFormat="1" ht="26" customHeight="1" spans="1:11">
      <c r="A600" s="370">
        <v>581</v>
      </c>
      <c r="B600" s="126" t="s">
        <v>576</v>
      </c>
      <c r="C600" s="371" t="s">
        <v>1357</v>
      </c>
      <c r="D600" s="371" t="s">
        <v>1397</v>
      </c>
      <c r="E600" s="391"/>
      <c r="F600" s="391"/>
      <c r="G600" s="391"/>
      <c r="H600" s="393">
        <v>2.5</v>
      </c>
      <c r="I600" s="393">
        <v>0</v>
      </c>
      <c r="J600" s="372">
        <f t="shared" si="81"/>
        <v>0</v>
      </c>
      <c r="K600" s="398"/>
    </row>
    <row r="601" s="29" customFormat="1" customHeight="1" spans="1:11">
      <c r="A601" s="370">
        <v>582</v>
      </c>
      <c r="B601" s="126" t="s">
        <v>576</v>
      </c>
      <c r="C601" s="79" t="s">
        <v>1357</v>
      </c>
      <c r="D601" s="79" t="s">
        <v>1398</v>
      </c>
      <c r="E601" s="390">
        <v>30.84</v>
      </c>
      <c r="F601" s="390"/>
      <c r="G601" s="390">
        <v>15.96</v>
      </c>
      <c r="H601" s="390">
        <v>3.3</v>
      </c>
      <c r="I601" s="390">
        <v>1.65</v>
      </c>
      <c r="J601" s="391">
        <f t="shared" si="81"/>
        <v>32.49</v>
      </c>
      <c r="K601" s="79" t="s">
        <v>1399</v>
      </c>
    </row>
    <row r="602" s="29" customFormat="1" ht="26" customHeight="1" spans="1:11">
      <c r="A602" s="370">
        <v>583</v>
      </c>
      <c r="B602" s="126" t="s">
        <v>576</v>
      </c>
      <c r="C602" s="371" t="s">
        <v>1357</v>
      </c>
      <c r="D602" s="371" t="s">
        <v>1400</v>
      </c>
      <c r="E602" s="391">
        <v>3</v>
      </c>
      <c r="F602" s="391"/>
      <c r="G602" s="391">
        <v>2.8985</v>
      </c>
      <c r="H602" s="393"/>
      <c r="I602" s="393"/>
      <c r="J602" s="372">
        <f t="shared" si="81"/>
        <v>3</v>
      </c>
      <c r="K602" s="398" t="s">
        <v>1401</v>
      </c>
    </row>
    <row r="603" s="29" customFormat="1" ht="26" customHeight="1" spans="1:11">
      <c r="A603" s="370">
        <v>584</v>
      </c>
      <c r="B603" s="126" t="s">
        <v>576</v>
      </c>
      <c r="C603" s="371" t="s">
        <v>1357</v>
      </c>
      <c r="D603" s="371" t="s">
        <v>1402</v>
      </c>
      <c r="E603" s="391"/>
      <c r="F603" s="391"/>
      <c r="G603" s="391"/>
      <c r="H603" s="393">
        <v>4</v>
      </c>
      <c r="I603" s="393">
        <v>0</v>
      </c>
      <c r="J603" s="372">
        <f t="shared" si="81"/>
        <v>0</v>
      </c>
      <c r="K603" s="398" t="s">
        <v>1403</v>
      </c>
    </row>
    <row r="604" s="29" customFormat="1" ht="26" customHeight="1" spans="1:11">
      <c r="A604" s="370">
        <v>585</v>
      </c>
      <c r="B604" s="126" t="s">
        <v>576</v>
      </c>
      <c r="C604" s="371" t="s">
        <v>1357</v>
      </c>
      <c r="D604" s="371" t="s">
        <v>1404</v>
      </c>
      <c r="E604" s="391">
        <v>6.5</v>
      </c>
      <c r="F604" s="391"/>
      <c r="G604" s="391">
        <v>3.739</v>
      </c>
      <c r="H604" s="393"/>
      <c r="I604" s="393"/>
      <c r="J604" s="372">
        <f t="shared" si="81"/>
        <v>6.5</v>
      </c>
      <c r="K604" s="398" t="s">
        <v>1405</v>
      </c>
    </row>
    <row r="605" s="29" customFormat="1" ht="26" customHeight="1" spans="1:11">
      <c r="A605" s="370">
        <v>586</v>
      </c>
      <c r="B605" s="126" t="s">
        <v>576</v>
      </c>
      <c r="C605" s="371" t="s">
        <v>1357</v>
      </c>
      <c r="D605" s="371" t="s">
        <v>1406</v>
      </c>
      <c r="E605" s="391">
        <v>126</v>
      </c>
      <c r="F605" s="391"/>
      <c r="G605" s="391">
        <v>64.216924</v>
      </c>
      <c r="H605" s="393">
        <v>20.97</v>
      </c>
      <c r="I605" s="393">
        <v>21</v>
      </c>
      <c r="J605" s="372">
        <f t="shared" si="81"/>
        <v>147</v>
      </c>
      <c r="K605" s="398" t="s">
        <v>1407</v>
      </c>
    </row>
    <row r="606" s="29" customFormat="1" ht="26" customHeight="1" spans="1:11">
      <c r="A606" s="370">
        <v>587</v>
      </c>
      <c r="B606" s="126" t="s">
        <v>576</v>
      </c>
      <c r="C606" s="371" t="s">
        <v>1357</v>
      </c>
      <c r="D606" s="371" t="s">
        <v>1408</v>
      </c>
      <c r="E606" s="391">
        <v>28</v>
      </c>
      <c r="F606" s="391"/>
      <c r="G606" s="391">
        <v>28</v>
      </c>
      <c r="H606" s="393"/>
      <c r="I606" s="393">
        <v>-10</v>
      </c>
      <c r="J606" s="372">
        <f t="shared" si="81"/>
        <v>18</v>
      </c>
      <c r="K606" s="398"/>
    </row>
    <row r="607" s="29" customFormat="1" ht="50.1" customHeight="1" spans="1:11">
      <c r="A607" s="370">
        <v>588</v>
      </c>
      <c r="B607" s="126" t="s">
        <v>576</v>
      </c>
      <c r="C607" s="79" t="s">
        <v>1357</v>
      </c>
      <c r="D607" s="79" t="s">
        <v>1409</v>
      </c>
      <c r="E607" s="390"/>
      <c r="F607" s="390"/>
      <c r="G607" s="390"/>
      <c r="H607" s="390">
        <v>252</v>
      </c>
      <c r="I607" s="390">
        <v>24</v>
      </c>
      <c r="J607" s="391">
        <f t="shared" si="81"/>
        <v>24</v>
      </c>
      <c r="K607" s="407" t="s">
        <v>1410</v>
      </c>
    </row>
    <row r="608" s="29" customFormat="1" ht="90" customHeight="1" spans="1:11">
      <c r="A608" s="370">
        <v>589</v>
      </c>
      <c r="B608" s="149" t="s">
        <v>580</v>
      </c>
      <c r="C608" s="409" t="s">
        <v>1357</v>
      </c>
      <c r="D608" s="409" t="s">
        <v>1411</v>
      </c>
      <c r="E608" s="123">
        <v>0</v>
      </c>
      <c r="F608" s="123"/>
      <c r="G608" s="123">
        <v>0</v>
      </c>
      <c r="H608" s="410">
        <v>29.75</v>
      </c>
      <c r="I608" s="410">
        <v>0</v>
      </c>
      <c r="J608" s="372">
        <f t="shared" si="81"/>
        <v>0</v>
      </c>
      <c r="K608" s="411" t="s">
        <v>1412</v>
      </c>
    </row>
    <row r="609" s="334" customFormat="1" customHeight="1" spans="1:11">
      <c r="A609" s="353">
        <v>590</v>
      </c>
      <c r="B609" s="376" t="s">
        <v>1413</v>
      </c>
      <c r="C609" s="377"/>
      <c r="D609" s="378"/>
      <c r="E609" s="355">
        <f t="shared" ref="E609:J609" si="82">SUM(E570:E608)</f>
        <v>1742.01</v>
      </c>
      <c r="F609" s="355">
        <f t="shared" si="82"/>
        <v>0</v>
      </c>
      <c r="G609" s="355">
        <f t="shared" si="82"/>
        <v>432.432165</v>
      </c>
      <c r="H609" s="355">
        <f t="shared" si="82"/>
        <v>1061.387</v>
      </c>
      <c r="I609" s="355">
        <f t="shared" si="82"/>
        <v>1.77725</v>
      </c>
      <c r="J609" s="355">
        <f t="shared" si="82"/>
        <v>1743.78725</v>
      </c>
      <c r="K609" s="388"/>
    </row>
    <row r="610" s="29" customFormat="1" ht="26" customHeight="1" spans="1:11">
      <c r="A610" s="370">
        <v>591</v>
      </c>
      <c r="B610" s="126" t="s">
        <v>576</v>
      </c>
      <c r="C610" s="371" t="s">
        <v>1414</v>
      </c>
      <c r="D610" s="371" t="s">
        <v>1415</v>
      </c>
      <c r="E610" s="391">
        <v>27</v>
      </c>
      <c r="F610" s="391"/>
      <c r="G610" s="391">
        <v>27</v>
      </c>
      <c r="H610" s="393"/>
      <c r="I610" s="393"/>
      <c r="J610" s="372">
        <f t="shared" ref="J610:J613" si="83">E610+I610</f>
        <v>27</v>
      </c>
      <c r="K610" s="398" t="s">
        <v>1416</v>
      </c>
    </row>
    <row r="611" s="29" customFormat="1" ht="26" customHeight="1" spans="1:11">
      <c r="A611" s="370">
        <v>592</v>
      </c>
      <c r="B611" s="126" t="s">
        <v>576</v>
      </c>
      <c r="C611" s="371" t="s">
        <v>1414</v>
      </c>
      <c r="D611" s="371" t="s">
        <v>1417</v>
      </c>
      <c r="E611" s="391">
        <v>4</v>
      </c>
      <c r="F611" s="391"/>
      <c r="G611" s="391">
        <v>2</v>
      </c>
      <c r="H611" s="393"/>
      <c r="I611" s="393"/>
      <c r="J611" s="372">
        <f t="shared" si="83"/>
        <v>4</v>
      </c>
      <c r="K611" s="398"/>
    </row>
    <row r="612" s="29" customFormat="1" ht="26" customHeight="1" spans="1:11">
      <c r="A612" s="370">
        <v>593</v>
      </c>
      <c r="B612" s="126" t="s">
        <v>576</v>
      </c>
      <c r="C612" s="371" t="s">
        <v>1414</v>
      </c>
      <c r="D612" s="371" t="s">
        <v>1418</v>
      </c>
      <c r="E612" s="391">
        <v>40</v>
      </c>
      <c r="F612" s="391"/>
      <c r="G612" s="391">
        <v>30</v>
      </c>
      <c r="H612" s="393"/>
      <c r="I612" s="393"/>
      <c r="J612" s="372">
        <f t="shared" si="83"/>
        <v>40</v>
      </c>
      <c r="K612" s="398"/>
    </row>
    <row r="613" s="29" customFormat="1" ht="26" customHeight="1" spans="1:11">
      <c r="A613" s="370">
        <v>594</v>
      </c>
      <c r="B613" s="126" t="s">
        <v>576</v>
      </c>
      <c r="C613" s="371" t="s">
        <v>1414</v>
      </c>
      <c r="D613" s="371" t="s">
        <v>1419</v>
      </c>
      <c r="E613" s="391"/>
      <c r="F613" s="391"/>
      <c r="G613" s="391"/>
      <c r="H613" s="393">
        <v>1</v>
      </c>
      <c r="I613" s="393">
        <v>0</v>
      </c>
      <c r="J613" s="372">
        <f t="shared" si="83"/>
        <v>0</v>
      </c>
      <c r="K613" s="398"/>
    </row>
    <row r="614" s="334" customFormat="1" customHeight="1" spans="1:11">
      <c r="A614" s="353">
        <v>595</v>
      </c>
      <c r="B614" s="376" t="s">
        <v>1420</v>
      </c>
      <c r="C614" s="377"/>
      <c r="D614" s="378"/>
      <c r="E614" s="355">
        <f t="shared" ref="E614:J614" si="84">SUM(E610:E613)</f>
        <v>71</v>
      </c>
      <c r="F614" s="355">
        <f t="shared" si="84"/>
        <v>0</v>
      </c>
      <c r="G614" s="355">
        <f t="shared" si="84"/>
        <v>59</v>
      </c>
      <c r="H614" s="355">
        <f t="shared" si="84"/>
        <v>1</v>
      </c>
      <c r="I614" s="355">
        <f t="shared" si="84"/>
        <v>0</v>
      </c>
      <c r="J614" s="355">
        <f t="shared" si="84"/>
        <v>71</v>
      </c>
      <c r="K614" s="388"/>
    </row>
    <row r="615" s="29" customFormat="1" ht="26" customHeight="1" spans="1:11">
      <c r="A615" s="370">
        <v>596</v>
      </c>
      <c r="B615" s="126" t="s">
        <v>576</v>
      </c>
      <c r="C615" s="371" t="s">
        <v>1421</v>
      </c>
      <c r="D615" s="371" t="s">
        <v>1422</v>
      </c>
      <c r="E615" s="391">
        <v>1</v>
      </c>
      <c r="F615" s="391"/>
      <c r="G615" s="391">
        <v>1</v>
      </c>
      <c r="H615" s="393"/>
      <c r="I615" s="393"/>
      <c r="J615" s="372">
        <f t="shared" ref="J615:J619" si="85">E615+I615</f>
        <v>1</v>
      </c>
      <c r="K615" s="398"/>
    </row>
    <row r="616" s="29" customFormat="1" ht="26" customHeight="1" spans="1:11">
      <c r="A616" s="370">
        <v>597</v>
      </c>
      <c r="B616" s="126" t="s">
        <v>576</v>
      </c>
      <c r="C616" s="371" t="s">
        <v>1421</v>
      </c>
      <c r="D616" s="371" t="s">
        <v>1423</v>
      </c>
      <c r="E616" s="391">
        <v>12.4</v>
      </c>
      <c r="F616" s="391"/>
      <c r="G616" s="391">
        <v>12.4</v>
      </c>
      <c r="H616" s="393"/>
      <c r="I616" s="393"/>
      <c r="J616" s="372">
        <f t="shared" si="85"/>
        <v>12.4</v>
      </c>
      <c r="K616" s="398"/>
    </row>
    <row r="617" s="29" customFormat="1" ht="26" customHeight="1" spans="1:11">
      <c r="A617" s="370">
        <v>598</v>
      </c>
      <c r="B617" s="126" t="s">
        <v>576</v>
      </c>
      <c r="C617" s="371" t="s">
        <v>1421</v>
      </c>
      <c r="D617" s="371" t="s">
        <v>1424</v>
      </c>
      <c r="E617" s="391">
        <v>2</v>
      </c>
      <c r="F617" s="391"/>
      <c r="G617" s="391">
        <v>2</v>
      </c>
      <c r="H617" s="393"/>
      <c r="I617" s="393"/>
      <c r="J617" s="372">
        <f t="shared" si="85"/>
        <v>2</v>
      </c>
      <c r="K617" s="398"/>
    </row>
    <row r="618" s="29" customFormat="1" ht="26" customHeight="1" spans="1:11">
      <c r="A618" s="370">
        <v>599</v>
      </c>
      <c r="B618" s="126" t="s">
        <v>580</v>
      </c>
      <c r="C618" s="371" t="s">
        <v>1421</v>
      </c>
      <c r="D618" s="371" t="s">
        <v>1425</v>
      </c>
      <c r="E618" s="391">
        <v>960</v>
      </c>
      <c r="F618" s="391"/>
      <c r="G618" s="391">
        <f>960-431</f>
        <v>529</v>
      </c>
      <c r="H618" s="393">
        <v>0</v>
      </c>
      <c r="I618" s="393">
        <v>0</v>
      </c>
      <c r="J618" s="372">
        <f t="shared" si="85"/>
        <v>960</v>
      </c>
      <c r="K618" s="398"/>
    </row>
    <row r="619" s="29" customFormat="1" ht="26" customHeight="1" spans="1:11">
      <c r="A619" s="370">
        <v>600</v>
      </c>
      <c r="B619" s="126" t="s">
        <v>580</v>
      </c>
      <c r="C619" s="371" t="s">
        <v>1421</v>
      </c>
      <c r="D619" s="371" t="s">
        <v>1426</v>
      </c>
      <c r="E619" s="391">
        <v>22.5</v>
      </c>
      <c r="F619" s="391"/>
      <c r="G619" s="391">
        <v>0</v>
      </c>
      <c r="H619" s="393">
        <v>0</v>
      </c>
      <c r="I619" s="393">
        <v>0</v>
      </c>
      <c r="J619" s="372">
        <f t="shared" si="85"/>
        <v>22.5</v>
      </c>
      <c r="K619" s="398"/>
    </row>
    <row r="620" s="334" customFormat="1" customHeight="1" spans="1:11">
      <c r="A620" s="353">
        <v>601</v>
      </c>
      <c r="B620" s="376" t="s">
        <v>1427</v>
      </c>
      <c r="C620" s="377"/>
      <c r="D620" s="378"/>
      <c r="E620" s="355">
        <f t="shared" ref="E620:J620" si="86">SUM(E615:E619)</f>
        <v>997.9</v>
      </c>
      <c r="F620" s="355">
        <f t="shared" si="86"/>
        <v>0</v>
      </c>
      <c r="G620" s="355">
        <f t="shared" si="86"/>
        <v>544.4</v>
      </c>
      <c r="H620" s="355">
        <f t="shared" si="86"/>
        <v>0</v>
      </c>
      <c r="I620" s="355">
        <f t="shared" si="86"/>
        <v>0</v>
      </c>
      <c r="J620" s="355">
        <f t="shared" si="86"/>
        <v>997.9</v>
      </c>
      <c r="K620" s="388"/>
    </row>
    <row r="621" s="29" customFormat="1" ht="26" customHeight="1" spans="1:11">
      <c r="A621" s="370">
        <v>602</v>
      </c>
      <c r="B621" s="126" t="s">
        <v>569</v>
      </c>
      <c r="C621" s="371" t="s">
        <v>1428</v>
      </c>
      <c r="D621" s="371" t="s">
        <v>1429</v>
      </c>
      <c r="E621" s="391">
        <v>40</v>
      </c>
      <c r="F621" s="391"/>
      <c r="G621" s="391">
        <v>40</v>
      </c>
      <c r="H621" s="393"/>
      <c r="I621" s="393"/>
      <c r="J621" s="372">
        <f t="shared" ref="J621:J630" si="87">E621+I621</f>
        <v>40</v>
      </c>
      <c r="K621" s="398"/>
    </row>
    <row r="622" s="29" customFormat="1" ht="26" customHeight="1" spans="1:11">
      <c r="A622" s="370">
        <v>603</v>
      </c>
      <c r="B622" s="126" t="s">
        <v>569</v>
      </c>
      <c r="C622" s="371" t="s">
        <v>1428</v>
      </c>
      <c r="D622" s="371" t="s">
        <v>1430</v>
      </c>
      <c r="E622" s="391">
        <v>80</v>
      </c>
      <c r="F622" s="391"/>
      <c r="G622" s="391">
        <v>80</v>
      </c>
      <c r="H622" s="393"/>
      <c r="I622" s="393"/>
      <c r="J622" s="372">
        <f t="shared" si="87"/>
        <v>80</v>
      </c>
      <c r="K622" s="398"/>
    </row>
    <row r="623" s="29" customFormat="1" ht="26" customHeight="1" spans="1:11">
      <c r="A623" s="370">
        <v>604</v>
      </c>
      <c r="B623" s="126" t="s">
        <v>569</v>
      </c>
      <c r="C623" s="371" t="s">
        <v>1428</v>
      </c>
      <c r="D623" s="371" t="s">
        <v>1431</v>
      </c>
      <c r="E623" s="391">
        <v>2</v>
      </c>
      <c r="F623" s="391"/>
      <c r="G623" s="391">
        <v>2</v>
      </c>
      <c r="H623" s="393"/>
      <c r="I623" s="393"/>
      <c r="J623" s="372">
        <f t="shared" si="87"/>
        <v>2</v>
      </c>
      <c r="K623" s="398"/>
    </row>
    <row r="624" s="29" customFormat="1" ht="26" customHeight="1" spans="1:11">
      <c r="A624" s="370">
        <v>605</v>
      </c>
      <c r="B624" s="126" t="s">
        <v>569</v>
      </c>
      <c r="C624" s="371" t="s">
        <v>1428</v>
      </c>
      <c r="D624" s="371" t="s">
        <v>1432</v>
      </c>
      <c r="E624" s="391">
        <v>4</v>
      </c>
      <c r="F624" s="391"/>
      <c r="G624" s="391">
        <v>2.5</v>
      </c>
      <c r="H624" s="393"/>
      <c r="I624" s="393"/>
      <c r="J624" s="372">
        <f t="shared" si="87"/>
        <v>4</v>
      </c>
      <c r="K624" s="398"/>
    </row>
    <row r="625" s="29" customFormat="1" ht="26" customHeight="1" spans="1:11">
      <c r="A625" s="370">
        <v>606</v>
      </c>
      <c r="B625" s="126" t="s">
        <v>569</v>
      </c>
      <c r="C625" s="371" t="s">
        <v>1428</v>
      </c>
      <c r="D625" s="371" t="s">
        <v>1433</v>
      </c>
      <c r="E625" s="391">
        <v>6</v>
      </c>
      <c r="F625" s="391"/>
      <c r="G625" s="391">
        <v>0</v>
      </c>
      <c r="H625" s="393"/>
      <c r="I625" s="393"/>
      <c r="J625" s="372">
        <f t="shared" si="87"/>
        <v>6</v>
      </c>
      <c r="K625" s="398"/>
    </row>
    <row r="626" s="29" customFormat="1" ht="26" customHeight="1" spans="1:11">
      <c r="A626" s="370">
        <v>607</v>
      </c>
      <c r="B626" s="126" t="s">
        <v>569</v>
      </c>
      <c r="C626" s="371" t="s">
        <v>1428</v>
      </c>
      <c r="D626" s="371" t="s">
        <v>1434</v>
      </c>
      <c r="E626" s="391">
        <v>20</v>
      </c>
      <c r="F626" s="391"/>
      <c r="G626" s="391">
        <v>20</v>
      </c>
      <c r="H626" s="393"/>
      <c r="I626" s="393"/>
      <c r="J626" s="372">
        <f t="shared" si="87"/>
        <v>20</v>
      </c>
      <c r="K626" s="398"/>
    </row>
    <row r="627" s="29" customFormat="1" ht="26" customHeight="1" spans="1:11">
      <c r="A627" s="370">
        <v>608</v>
      </c>
      <c r="B627" s="126" t="s">
        <v>569</v>
      </c>
      <c r="C627" s="371" t="s">
        <v>1428</v>
      </c>
      <c r="D627" s="371" t="s">
        <v>1435</v>
      </c>
      <c r="E627" s="391">
        <v>5</v>
      </c>
      <c r="F627" s="391"/>
      <c r="G627" s="391">
        <v>3</v>
      </c>
      <c r="H627" s="393"/>
      <c r="I627" s="393"/>
      <c r="J627" s="372">
        <f t="shared" si="87"/>
        <v>5</v>
      </c>
      <c r="K627" s="398"/>
    </row>
    <row r="628" s="29" customFormat="1" ht="26" customHeight="1" spans="1:11">
      <c r="A628" s="370">
        <v>609</v>
      </c>
      <c r="B628" s="126" t="s">
        <v>569</v>
      </c>
      <c r="C628" s="371" t="s">
        <v>1428</v>
      </c>
      <c r="D628" s="371" t="s">
        <v>1436</v>
      </c>
      <c r="E628" s="391">
        <v>2</v>
      </c>
      <c r="F628" s="391"/>
      <c r="G628" s="391">
        <v>0</v>
      </c>
      <c r="H628" s="393"/>
      <c r="I628" s="393"/>
      <c r="J628" s="372">
        <f t="shared" si="87"/>
        <v>2</v>
      </c>
      <c r="K628" s="398"/>
    </row>
    <row r="629" s="29" customFormat="1" ht="26" customHeight="1" spans="1:11">
      <c r="A629" s="370">
        <v>610</v>
      </c>
      <c r="B629" s="126" t="s">
        <v>569</v>
      </c>
      <c r="C629" s="371" t="s">
        <v>1428</v>
      </c>
      <c r="D629" s="371" t="s">
        <v>1437</v>
      </c>
      <c r="E629" s="391">
        <v>289</v>
      </c>
      <c r="F629" s="391"/>
      <c r="G629" s="391">
        <v>127</v>
      </c>
      <c r="H629" s="393"/>
      <c r="I629" s="393"/>
      <c r="J629" s="372">
        <f t="shared" si="87"/>
        <v>289</v>
      </c>
      <c r="K629" s="398"/>
    </row>
    <row r="630" s="29" customFormat="1" customHeight="1" spans="1:11">
      <c r="A630" s="370">
        <v>611</v>
      </c>
      <c r="B630" s="389" t="s">
        <v>569</v>
      </c>
      <c r="C630" s="79" t="s">
        <v>1428</v>
      </c>
      <c r="D630" s="79" t="s">
        <v>1438</v>
      </c>
      <c r="E630" s="123">
        <v>500</v>
      </c>
      <c r="F630" s="123"/>
      <c r="G630" s="123">
        <v>500</v>
      </c>
      <c r="H630" s="123"/>
      <c r="I630" s="123"/>
      <c r="J630" s="372">
        <f t="shared" si="87"/>
        <v>500</v>
      </c>
      <c r="K630" s="79"/>
    </row>
    <row r="631" s="334" customFormat="1" customHeight="1" spans="1:11">
      <c r="A631" s="353">
        <v>612</v>
      </c>
      <c r="B631" s="376" t="s">
        <v>1439</v>
      </c>
      <c r="C631" s="377"/>
      <c r="D631" s="378"/>
      <c r="E631" s="355">
        <f t="shared" ref="E631:J631" si="88">SUM(E621:E630)</f>
        <v>948</v>
      </c>
      <c r="F631" s="355">
        <f t="shared" si="88"/>
        <v>0</v>
      </c>
      <c r="G631" s="355">
        <f t="shared" si="88"/>
        <v>774.5</v>
      </c>
      <c r="H631" s="355">
        <f t="shared" si="88"/>
        <v>0</v>
      </c>
      <c r="I631" s="355">
        <f t="shared" si="88"/>
        <v>0</v>
      </c>
      <c r="J631" s="355">
        <f t="shared" si="88"/>
        <v>948</v>
      </c>
      <c r="K631" s="388"/>
    </row>
    <row r="632" s="29" customFormat="1" ht="26" customHeight="1" spans="1:11">
      <c r="A632" s="370">
        <v>613</v>
      </c>
      <c r="B632" s="126" t="s">
        <v>569</v>
      </c>
      <c r="C632" s="371" t="s">
        <v>1440</v>
      </c>
      <c r="D632" s="371" t="s">
        <v>1441</v>
      </c>
      <c r="E632" s="391">
        <v>2</v>
      </c>
      <c r="F632" s="391"/>
      <c r="G632" s="391">
        <v>2</v>
      </c>
      <c r="H632" s="393"/>
      <c r="I632" s="393"/>
      <c r="J632" s="372">
        <f t="shared" ref="J632:J635" si="89">E632+I632</f>
        <v>2</v>
      </c>
      <c r="K632" s="398"/>
    </row>
    <row r="633" s="29" customFormat="1" ht="26" customHeight="1" spans="1:11">
      <c r="A633" s="370">
        <v>614</v>
      </c>
      <c r="B633" s="126" t="s">
        <v>569</v>
      </c>
      <c r="C633" s="371" t="s">
        <v>1440</v>
      </c>
      <c r="D633" s="371" t="s">
        <v>1442</v>
      </c>
      <c r="E633" s="391">
        <v>2.5</v>
      </c>
      <c r="F633" s="391"/>
      <c r="G633" s="391">
        <v>2.5</v>
      </c>
      <c r="H633" s="393"/>
      <c r="I633" s="393"/>
      <c r="J633" s="372">
        <f t="shared" si="89"/>
        <v>2.5</v>
      </c>
      <c r="K633" s="398"/>
    </row>
    <row r="634" s="334" customFormat="1" customHeight="1" spans="1:11">
      <c r="A634" s="353">
        <v>615</v>
      </c>
      <c r="B634" s="376" t="s">
        <v>1443</v>
      </c>
      <c r="C634" s="377"/>
      <c r="D634" s="378"/>
      <c r="E634" s="355">
        <f t="shared" ref="E634:J634" si="90">SUM(E632:E633)</f>
        <v>4.5</v>
      </c>
      <c r="F634" s="355">
        <f t="shared" si="90"/>
        <v>0</v>
      </c>
      <c r="G634" s="355">
        <f t="shared" si="90"/>
        <v>4.5</v>
      </c>
      <c r="H634" s="355">
        <f t="shared" si="90"/>
        <v>0</v>
      </c>
      <c r="I634" s="355">
        <f t="shared" si="90"/>
        <v>0</v>
      </c>
      <c r="J634" s="355">
        <f t="shared" si="90"/>
        <v>4.5</v>
      </c>
      <c r="K634" s="412"/>
    </row>
    <row r="635" s="29" customFormat="1" ht="26" customHeight="1" spans="1:11">
      <c r="A635" s="370">
        <v>616</v>
      </c>
      <c r="B635" s="126" t="s">
        <v>569</v>
      </c>
      <c r="C635" s="371" t="s">
        <v>1444</v>
      </c>
      <c r="D635" s="371" t="s">
        <v>1445</v>
      </c>
      <c r="E635" s="391">
        <v>2</v>
      </c>
      <c r="F635" s="391"/>
      <c r="G635" s="391">
        <v>0</v>
      </c>
      <c r="H635" s="393"/>
      <c r="I635" s="393"/>
      <c r="J635" s="372">
        <f t="shared" si="89"/>
        <v>2</v>
      </c>
      <c r="K635" s="398"/>
    </row>
    <row r="636" s="334" customFormat="1" customHeight="1" spans="1:11">
      <c r="A636" s="353">
        <v>617</v>
      </c>
      <c r="B636" s="376" t="s">
        <v>1446</v>
      </c>
      <c r="C636" s="377"/>
      <c r="D636" s="378"/>
      <c r="E636" s="355">
        <f t="shared" ref="E636:J636" si="91">SUM(E635:E635)</f>
        <v>2</v>
      </c>
      <c r="F636" s="355">
        <f t="shared" si="91"/>
        <v>0</v>
      </c>
      <c r="G636" s="355">
        <f t="shared" si="91"/>
        <v>0</v>
      </c>
      <c r="H636" s="355">
        <f t="shared" si="91"/>
        <v>0</v>
      </c>
      <c r="I636" s="355">
        <f t="shared" si="91"/>
        <v>0</v>
      </c>
      <c r="J636" s="355">
        <f t="shared" si="91"/>
        <v>2</v>
      </c>
      <c r="K636" s="412"/>
    </row>
    <row r="637" s="29" customFormat="1" ht="26" customHeight="1" spans="1:11">
      <c r="A637" s="370">
        <v>618</v>
      </c>
      <c r="B637" s="126" t="s">
        <v>569</v>
      </c>
      <c r="C637" s="371" t="s">
        <v>1447</v>
      </c>
      <c r="D637" s="371" t="s">
        <v>1448</v>
      </c>
      <c r="E637" s="391">
        <v>4</v>
      </c>
      <c r="F637" s="391"/>
      <c r="G637" s="391">
        <v>0</v>
      </c>
      <c r="H637" s="393"/>
      <c r="I637" s="393"/>
      <c r="J637" s="372">
        <f t="shared" ref="J637:J650" si="92">E637+I637</f>
        <v>4</v>
      </c>
      <c r="K637" s="398"/>
    </row>
    <row r="638" s="334" customFormat="1" customHeight="1" spans="1:11">
      <c r="A638" s="353">
        <v>619</v>
      </c>
      <c r="B638" s="376" t="s">
        <v>1449</v>
      </c>
      <c r="C638" s="377"/>
      <c r="D638" s="378"/>
      <c r="E638" s="355">
        <f t="shared" ref="E638:J638" si="93">SUM(E637:E637)</f>
        <v>4</v>
      </c>
      <c r="F638" s="355">
        <f t="shared" si="93"/>
        <v>0</v>
      </c>
      <c r="G638" s="355">
        <f t="shared" si="93"/>
        <v>0</v>
      </c>
      <c r="H638" s="355">
        <f t="shared" si="93"/>
        <v>0</v>
      </c>
      <c r="I638" s="355">
        <f t="shared" si="93"/>
        <v>0</v>
      </c>
      <c r="J638" s="355">
        <f t="shared" si="93"/>
        <v>4</v>
      </c>
      <c r="K638" s="412"/>
    </row>
    <row r="639" s="29" customFormat="1" ht="26" customHeight="1" spans="1:11">
      <c r="A639" s="370">
        <v>620</v>
      </c>
      <c r="B639" s="126" t="s">
        <v>574</v>
      </c>
      <c r="C639" s="371" t="s">
        <v>1450</v>
      </c>
      <c r="D639" s="371" t="s">
        <v>1451</v>
      </c>
      <c r="E639" s="391"/>
      <c r="F639" s="391"/>
      <c r="G639" s="391"/>
      <c r="H639" s="393">
        <v>255.925</v>
      </c>
      <c r="I639" s="393">
        <v>80</v>
      </c>
      <c r="J639" s="372">
        <f t="shared" si="92"/>
        <v>80</v>
      </c>
      <c r="K639" s="398" t="s">
        <v>1452</v>
      </c>
    </row>
    <row r="640" s="29" customFormat="1" ht="50.1" customHeight="1" spans="1:11">
      <c r="A640" s="370">
        <v>621</v>
      </c>
      <c r="B640" s="126" t="s">
        <v>571</v>
      </c>
      <c r="C640" s="371" t="s">
        <v>1450</v>
      </c>
      <c r="D640" s="371" t="s">
        <v>1453</v>
      </c>
      <c r="E640" s="123">
        <v>0</v>
      </c>
      <c r="F640" s="123"/>
      <c r="G640" s="123">
        <v>0</v>
      </c>
      <c r="H640" s="123">
        <v>219</v>
      </c>
      <c r="I640" s="123">
        <v>119</v>
      </c>
      <c r="J640" s="372">
        <f t="shared" si="92"/>
        <v>119</v>
      </c>
      <c r="K640" s="79" t="s">
        <v>1454</v>
      </c>
    </row>
    <row r="641" s="29" customFormat="1" ht="26" customHeight="1" spans="1:11">
      <c r="A641" s="370">
        <v>622</v>
      </c>
      <c r="B641" s="126" t="s">
        <v>574</v>
      </c>
      <c r="C641" s="371" t="s">
        <v>1450</v>
      </c>
      <c r="D641" s="371" t="s">
        <v>1455</v>
      </c>
      <c r="E641" s="391">
        <v>26.28</v>
      </c>
      <c r="F641" s="391"/>
      <c r="G641" s="391">
        <v>13.870017</v>
      </c>
      <c r="H641" s="393"/>
      <c r="I641" s="393"/>
      <c r="J641" s="372">
        <f t="shared" si="92"/>
        <v>26.28</v>
      </c>
      <c r="K641" s="398"/>
    </row>
    <row r="642" s="29" customFormat="1" ht="26" customHeight="1" spans="1:11">
      <c r="A642" s="370">
        <v>623</v>
      </c>
      <c r="B642" s="126" t="s">
        <v>574</v>
      </c>
      <c r="C642" s="371" t="s">
        <v>1450</v>
      </c>
      <c r="D642" s="371" t="s">
        <v>1456</v>
      </c>
      <c r="E642" s="391">
        <v>57.11</v>
      </c>
      <c r="F642" s="391"/>
      <c r="G642" s="391">
        <v>37.150868</v>
      </c>
      <c r="H642" s="393"/>
      <c r="I642" s="393"/>
      <c r="J642" s="372">
        <f t="shared" si="92"/>
        <v>57.11</v>
      </c>
      <c r="K642" s="398"/>
    </row>
    <row r="643" s="29" customFormat="1" ht="26" customHeight="1" spans="1:11">
      <c r="A643" s="370">
        <v>624</v>
      </c>
      <c r="B643" s="126" t="s">
        <v>574</v>
      </c>
      <c r="C643" s="371" t="s">
        <v>1450</v>
      </c>
      <c r="D643" s="371" t="s">
        <v>1457</v>
      </c>
      <c r="E643" s="391">
        <v>12.63</v>
      </c>
      <c r="F643" s="391"/>
      <c r="G643" s="391">
        <v>9.640284</v>
      </c>
      <c r="H643" s="393"/>
      <c r="I643" s="393"/>
      <c r="J643" s="372">
        <f t="shared" si="92"/>
        <v>12.63</v>
      </c>
      <c r="K643" s="398"/>
    </row>
    <row r="644" s="29" customFormat="1" ht="26" customHeight="1" spans="1:11">
      <c r="A644" s="370">
        <v>625</v>
      </c>
      <c r="B644" s="126" t="s">
        <v>574</v>
      </c>
      <c r="C644" s="371" t="s">
        <v>1450</v>
      </c>
      <c r="D644" s="371" t="s">
        <v>1458</v>
      </c>
      <c r="E644" s="391">
        <v>2.4</v>
      </c>
      <c r="F644" s="391"/>
      <c r="G644" s="391">
        <v>1.84</v>
      </c>
      <c r="H644" s="393"/>
      <c r="I644" s="393"/>
      <c r="J644" s="372">
        <f t="shared" si="92"/>
        <v>2.4</v>
      </c>
      <c r="K644" s="398"/>
    </row>
    <row r="645" s="29" customFormat="1" ht="26" customHeight="1" spans="1:11">
      <c r="A645" s="370">
        <v>626</v>
      </c>
      <c r="B645" s="126" t="s">
        <v>574</v>
      </c>
      <c r="C645" s="371" t="s">
        <v>1450</v>
      </c>
      <c r="D645" s="371" t="s">
        <v>1459</v>
      </c>
      <c r="E645" s="391">
        <v>114</v>
      </c>
      <c r="F645" s="391"/>
      <c r="G645" s="391">
        <v>66.5</v>
      </c>
      <c r="H645" s="393"/>
      <c r="I645" s="393"/>
      <c r="J645" s="372">
        <f t="shared" si="92"/>
        <v>114</v>
      </c>
      <c r="K645" s="398"/>
    </row>
    <row r="646" s="29" customFormat="1" ht="26" customHeight="1" spans="1:11">
      <c r="A646" s="370">
        <v>627</v>
      </c>
      <c r="B646" s="126" t="s">
        <v>574</v>
      </c>
      <c r="C646" s="371" t="s">
        <v>1450</v>
      </c>
      <c r="D646" s="371" t="s">
        <v>1460</v>
      </c>
      <c r="E646" s="391">
        <v>76.68</v>
      </c>
      <c r="F646" s="391"/>
      <c r="G646" s="391">
        <v>50.613335</v>
      </c>
      <c r="H646" s="393"/>
      <c r="I646" s="393"/>
      <c r="J646" s="372">
        <f t="shared" si="92"/>
        <v>76.68</v>
      </c>
      <c r="K646" s="398"/>
    </row>
    <row r="647" s="29" customFormat="1" ht="26" customHeight="1" spans="1:11">
      <c r="A647" s="370">
        <v>628</v>
      </c>
      <c r="B647" s="126" t="s">
        <v>574</v>
      </c>
      <c r="C647" s="371" t="s">
        <v>1450</v>
      </c>
      <c r="D647" s="371" t="s">
        <v>1461</v>
      </c>
      <c r="E647" s="391">
        <v>3</v>
      </c>
      <c r="F647" s="391"/>
      <c r="G647" s="391">
        <v>3</v>
      </c>
      <c r="H647" s="393"/>
      <c r="I647" s="393"/>
      <c r="J647" s="372">
        <f t="shared" si="92"/>
        <v>3</v>
      </c>
      <c r="K647" s="398"/>
    </row>
    <row r="648" s="29" customFormat="1" ht="26" customHeight="1" spans="1:11">
      <c r="A648" s="370">
        <v>629</v>
      </c>
      <c r="B648" s="126" t="s">
        <v>574</v>
      </c>
      <c r="C648" s="371" t="s">
        <v>1450</v>
      </c>
      <c r="D648" s="371" t="s">
        <v>1462</v>
      </c>
      <c r="E648" s="391">
        <v>40</v>
      </c>
      <c r="F648" s="391"/>
      <c r="G648" s="391">
        <v>40</v>
      </c>
      <c r="H648" s="393"/>
      <c r="I648" s="393"/>
      <c r="J648" s="372">
        <f t="shared" si="92"/>
        <v>40</v>
      </c>
      <c r="K648" s="398"/>
    </row>
    <row r="649" s="29" customFormat="1" ht="26" customHeight="1" spans="1:11">
      <c r="A649" s="370">
        <v>630</v>
      </c>
      <c r="B649" s="126" t="s">
        <v>574</v>
      </c>
      <c r="C649" s="371" t="s">
        <v>1450</v>
      </c>
      <c r="D649" s="371" t="s">
        <v>1463</v>
      </c>
      <c r="E649" s="391">
        <v>61.15</v>
      </c>
      <c r="F649" s="391"/>
      <c r="G649" s="391">
        <v>61.15</v>
      </c>
      <c r="H649" s="393"/>
      <c r="I649" s="393"/>
      <c r="J649" s="372">
        <f t="shared" si="92"/>
        <v>61.15</v>
      </c>
      <c r="K649" s="398"/>
    </row>
    <row r="650" s="29" customFormat="1" ht="26" customHeight="1" spans="1:11">
      <c r="A650" s="370">
        <v>631</v>
      </c>
      <c r="B650" s="126" t="s">
        <v>574</v>
      </c>
      <c r="C650" s="371" t="s">
        <v>1450</v>
      </c>
      <c r="D650" s="371" t="s">
        <v>1464</v>
      </c>
      <c r="E650" s="391">
        <v>7.07</v>
      </c>
      <c r="F650" s="391"/>
      <c r="G650" s="391">
        <v>7.07</v>
      </c>
      <c r="H650" s="393"/>
      <c r="I650" s="393"/>
      <c r="J650" s="372">
        <f t="shared" si="92"/>
        <v>7.07</v>
      </c>
      <c r="K650" s="398"/>
    </row>
    <row r="651" s="334" customFormat="1" customHeight="1" spans="1:11">
      <c r="A651" s="353">
        <v>632</v>
      </c>
      <c r="B651" s="376" t="s">
        <v>1465</v>
      </c>
      <c r="C651" s="377"/>
      <c r="D651" s="378"/>
      <c r="E651" s="355">
        <f t="shared" ref="E651:J651" si="94">SUM(E639:E650)</f>
        <v>400.32</v>
      </c>
      <c r="F651" s="355">
        <f t="shared" si="94"/>
        <v>0</v>
      </c>
      <c r="G651" s="355">
        <f t="shared" si="94"/>
        <v>290.834504</v>
      </c>
      <c r="H651" s="355">
        <f t="shared" si="94"/>
        <v>474.925</v>
      </c>
      <c r="I651" s="355">
        <f t="shared" si="94"/>
        <v>199</v>
      </c>
      <c r="J651" s="355">
        <f t="shared" si="94"/>
        <v>599.32</v>
      </c>
      <c r="K651" s="412"/>
    </row>
    <row r="652" s="29" customFormat="1" ht="26" customHeight="1" spans="1:11">
      <c r="A652" s="370">
        <v>633</v>
      </c>
      <c r="B652" s="126" t="s">
        <v>574</v>
      </c>
      <c r="C652" s="371" t="s">
        <v>1466</v>
      </c>
      <c r="D652" s="371" t="s">
        <v>1467</v>
      </c>
      <c r="E652" s="391">
        <v>160</v>
      </c>
      <c r="F652" s="391"/>
      <c r="G652" s="391">
        <v>111.231845</v>
      </c>
      <c r="H652" s="393"/>
      <c r="I652" s="393"/>
      <c r="J652" s="372">
        <f t="shared" ref="J652:J674" si="95">E652+I652</f>
        <v>160</v>
      </c>
      <c r="K652" s="398"/>
    </row>
    <row r="653" s="29" customFormat="1" ht="26" customHeight="1" spans="1:11">
      <c r="A653" s="370">
        <v>634</v>
      </c>
      <c r="B653" s="126" t="s">
        <v>574</v>
      </c>
      <c r="C653" s="371" t="s">
        <v>1466</v>
      </c>
      <c r="D653" s="371" t="s">
        <v>1468</v>
      </c>
      <c r="E653" s="391">
        <v>8</v>
      </c>
      <c r="F653" s="391"/>
      <c r="G653" s="391">
        <v>8</v>
      </c>
      <c r="H653" s="393"/>
      <c r="I653" s="393"/>
      <c r="J653" s="372">
        <f t="shared" si="95"/>
        <v>8</v>
      </c>
      <c r="K653" s="398"/>
    </row>
    <row r="654" s="29" customFormat="1" ht="26" customHeight="1" spans="1:11">
      <c r="A654" s="370">
        <v>635</v>
      </c>
      <c r="B654" s="126" t="s">
        <v>574</v>
      </c>
      <c r="C654" s="371" t="s">
        <v>1466</v>
      </c>
      <c r="D654" s="371" t="s">
        <v>1469</v>
      </c>
      <c r="E654" s="391">
        <v>75</v>
      </c>
      <c r="F654" s="391"/>
      <c r="G654" s="391">
        <v>25</v>
      </c>
      <c r="H654" s="393"/>
      <c r="I654" s="393"/>
      <c r="J654" s="372">
        <f t="shared" si="95"/>
        <v>75</v>
      </c>
      <c r="K654" s="398"/>
    </row>
    <row r="655" s="29" customFormat="1" ht="26" customHeight="1" spans="1:11">
      <c r="A655" s="370">
        <v>636</v>
      </c>
      <c r="B655" s="126" t="s">
        <v>574</v>
      </c>
      <c r="C655" s="371" t="s">
        <v>1466</v>
      </c>
      <c r="D655" s="371" t="s">
        <v>1470</v>
      </c>
      <c r="E655" s="391">
        <v>30</v>
      </c>
      <c r="F655" s="391"/>
      <c r="G655" s="391">
        <v>5.589348</v>
      </c>
      <c r="H655" s="393"/>
      <c r="I655" s="393"/>
      <c r="J655" s="372">
        <f t="shared" si="95"/>
        <v>30</v>
      </c>
      <c r="K655" s="398"/>
    </row>
    <row r="656" s="29" customFormat="1" customHeight="1" spans="1:11">
      <c r="A656" s="370">
        <v>637</v>
      </c>
      <c r="B656" s="126" t="s">
        <v>574</v>
      </c>
      <c r="C656" s="371" t="s">
        <v>1466</v>
      </c>
      <c r="D656" s="371" t="s">
        <v>1471</v>
      </c>
      <c r="E656" s="391">
        <v>29.88</v>
      </c>
      <c r="F656" s="391"/>
      <c r="G656" s="391">
        <v>20.993276</v>
      </c>
      <c r="H656" s="393"/>
      <c r="I656" s="393"/>
      <c r="J656" s="372">
        <f t="shared" si="95"/>
        <v>29.88</v>
      </c>
      <c r="K656" s="413"/>
    </row>
    <row r="657" s="29" customFormat="1" ht="26" customHeight="1" spans="1:11">
      <c r="A657" s="370">
        <v>638</v>
      </c>
      <c r="B657" s="126" t="s">
        <v>574</v>
      </c>
      <c r="C657" s="371" t="s">
        <v>1466</v>
      </c>
      <c r="D657" s="371" t="s">
        <v>1472</v>
      </c>
      <c r="E657" s="391">
        <v>126</v>
      </c>
      <c r="F657" s="391"/>
      <c r="G657" s="391">
        <v>84.594828</v>
      </c>
      <c r="H657" s="393"/>
      <c r="I657" s="393"/>
      <c r="J657" s="372">
        <f t="shared" si="95"/>
        <v>126</v>
      </c>
      <c r="K657" s="398"/>
    </row>
    <row r="658" s="29" customFormat="1" ht="26" customHeight="1" spans="1:11">
      <c r="A658" s="370">
        <v>639</v>
      </c>
      <c r="B658" s="126" t="s">
        <v>574</v>
      </c>
      <c r="C658" s="371" t="s">
        <v>1466</v>
      </c>
      <c r="D658" s="371" t="s">
        <v>1473</v>
      </c>
      <c r="E658" s="391">
        <v>100</v>
      </c>
      <c r="F658" s="391"/>
      <c r="G658" s="391">
        <v>37.12</v>
      </c>
      <c r="H658" s="393"/>
      <c r="I658" s="393"/>
      <c r="J658" s="372">
        <f t="shared" si="95"/>
        <v>100</v>
      </c>
      <c r="K658" s="398"/>
    </row>
    <row r="659" s="29" customFormat="1" ht="26" customHeight="1" spans="1:11">
      <c r="A659" s="370">
        <v>640</v>
      </c>
      <c r="B659" s="126" t="s">
        <v>574</v>
      </c>
      <c r="C659" s="371" t="s">
        <v>1466</v>
      </c>
      <c r="D659" s="371" t="s">
        <v>1474</v>
      </c>
      <c r="E659" s="391">
        <v>25</v>
      </c>
      <c r="F659" s="391"/>
      <c r="G659" s="391">
        <v>15</v>
      </c>
      <c r="H659" s="393"/>
      <c r="I659" s="393"/>
      <c r="J659" s="372">
        <f t="shared" si="95"/>
        <v>25</v>
      </c>
      <c r="K659" s="398"/>
    </row>
    <row r="660" s="29" customFormat="1" ht="26" customHeight="1" spans="1:11">
      <c r="A660" s="370">
        <v>641</v>
      </c>
      <c r="B660" s="126" t="s">
        <v>574</v>
      </c>
      <c r="C660" s="371" t="s">
        <v>1466</v>
      </c>
      <c r="D660" s="371" t="s">
        <v>1475</v>
      </c>
      <c r="E660" s="391">
        <v>20</v>
      </c>
      <c r="F660" s="391"/>
      <c r="G660" s="391">
        <v>10</v>
      </c>
      <c r="H660" s="393"/>
      <c r="I660" s="393"/>
      <c r="J660" s="372">
        <f t="shared" si="95"/>
        <v>20</v>
      </c>
      <c r="K660" s="398"/>
    </row>
    <row r="661" s="29" customFormat="1" customHeight="1" spans="1:11">
      <c r="A661" s="370">
        <v>642</v>
      </c>
      <c r="B661" s="126" t="s">
        <v>574</v>
      </c>
      <c r="C661" s="371" t="s">
        <v>1466</v>
      </c>
      <c r="D661" s="371" t="s">
        <v>1476</v>
      </c>
      <c r="E661" s="391">
        <v>10</v>
      </c>
      <c r="F661" s="391"/>
      <c r="G661" s="391">
        <v>0</v>
      </c>
      <c r="H661" s="393"/>
      <c r="I661" s="393"/>
      <c r="J661" s="372">
        <f t="shared" si="95"/>
        <v>10</v>
      </c>
      <c r="K661" s="414"/>
    </row>
    <row r="662" s="29" customFormat="1" ht="26" customHeight="1" spans="1:11">
      <c r="A662" s="370">
        <v>643</v>
      </c>
      <c r="B662" s="126" t="s">
        <v>574</v>
      </c>
      <c r="C662" s="371" t="s">
        <v>1466</v>
      </c>
      <c r="D662" s="371" t="s">
        <v>1477</v>
      </c>
      <c r="E662" s="391">
        <v>40</v>
      </c>
      <c r="F662" s="391"/>
      <c r="G662" s="391">
        <v>20</v>
      </c>
      <c r="H662" s="393"/>
      <c r="I662" s="393"/>
      <c r="J662" s="372">
        <f t="shared" si="95"/>
        <v>40</v>
      </c>
      <c r="K662" s="398"/>
    </row>
    <row r="663" s="29" customFormat="1" ht="26" customHeight="1" spans="1:11">
      <c r="A663" s="370">
        <v>644</v>
      </c>
      <c r="B663" s="126" t="s">
        <v>574</v>
      </c>
      <c r="C663" s="371" t="s">
        <v>1466</v>
      </c>
      <c r="D663" s="371" t="s">
        <v>1478</v>
      </c>
      <c r="E663" s="391">
        <v>10</v>
      </c>
      <c r="F663" s="391"/>
      <c r="G663" s="391">
        <v>7</v>
      </c>
      <c r="H663" s="393"/>
      <c r="I663" s="393"/>
      <c r="J663" s="372">
        <f t="shared" si="95"/>
        <v>10</v>
      </c>
      <c r="K663" s="398"/>
    </row>
    <row r="664" s="29" customFormat="1" ht="26" customHeight="1" spans="1:11">
      <c r="A664" s="370">
        <v>645</v>
      </c>
      <c r="B664" s="126" t="s">
        <v>574</v>
      </c>
      <c r="C664" s="371" t="s">
        <v>1466</v>
      </c>
      <c r="D664" s="371" t="s">
        <v>1479</v>
      </c>
      <c r="E664" s="391">
        <v>30</v>
      </c>
      <c r="F664" s="391"/>
      <c r="G664" s="391">
        <v>0</v>
      </c>
      <c r="H664" s="393"/>
      <c r="I664" s="393"/>
      <c r="J664" s="372">
        <f t="shared" si="95"/>
        <v>30</v>
      </c>
      <c r="K664" s="398"/>
    </row>
    <row r="665" s="29" customFormat="1" ht="26" customHeight="1" spans="1:11">
      <c r="A665" s="370">
        <v>646</v>
      </c>
      <c r="B665" s="126" t="s">
        <v>574</v>
      </c>
      <c r="C665" s="371" t="s">
        <v>1466</v>
      </c>
      <c r="D665" s="371" t="s">
        <v>1480</v>
      </c>
      <c r="E665" s="391">
        <v>40</v>
      </c>
      <c r="F665" s="391"/>
      <c r="G665" s="391">
        <v>0</v>
      </c>
      <c r="H665" s="393"/>
      <c r="I665" s="393"/>
      <c r="J665" s="372">
        <f t="shared" si="95"/>
        <v>40</v>
      </c>
      <c r="K665" s="398"/>
    </row>
    <row r="666" s="29" customFormat="1" ht="26" customHeight="1" spans="1:11">
      <c r="A666" s="370">
        <v>647</v>
      </c>
      <c r="B666" s="126" t="s">
        <v>574</v>
      </c>
      <c r="C666" s="371" t="s">
        <v>1466</v>
      </c>
      <c r="D666" s="371" t="s">
        <v>1481</v>
      </c>
      <c r="E666" s="391">
        <v>10</v>
      </c>
      <c r="F666" s="391"/>
      <c r="G666" s="391">
        <v>5</v>
      </c>
      <c r="H666" s="393"/>
      <c r="I666" s="393"/>
      <c r="J666" s="372">
        <f t="shared" si="95"/>
        <v>10</v>
      </c>
      <c r="K666" s="398"/>
    </row>
    <row r="667" s="29" customFormat="1" ht="26" customHeight="1" spans="1:11">
      <c r="A667" s="370">
        <v>648</v>
      </c>
      <c r="B667" s="126" t="s">
        <v>574</v>
      </c>
      <c r="C667" s="371" t="s">
        <v>1466</v>
      </c>
      <c r="D667" s="371" t="s">
        <v>1482</v>
      </c>
      <c r="E667" s="391">
        <v>40</v>
      </c>
      <c r="F667" s="391"/>
      <c r="G667" s="391">
        <v>0</v>
      </c>
      <c r="H667" s="393"/>
      <c r="I667" s="393"/>
      <c r="J667" s="372">
        <f t="shared" si="95"/>
        <v>40</v>
      </c>
      <c r="K667" s="398"/>
    </row>
    <row r="668" s="29" customFormat="1" ht="26" customHeight="1" spans="1:11">
      <c r="A668" s="370">
        <v>649</v>
      </c>
      <c r="B668" s="126" t="s">
        <v>574</v>
      </c>
      <c r="C668" s="371" t="s">
        <v>1466</v>
      </c>
      <c r="D668" s="371" t="s">
        <v>1483</v>
      </c>
      <c r="E668" s="391">
        <v>20</v>
      </c>
      <c r="F668" s="391"/>
      <c r="G668" s="391">
        <v>0</v>
      </c>
      <c r="H668" s="393"/>
      <c r="I668" s="393"/>
      <c r="J668" s="372">
        <f t="shared" si="95"/>
        <v>20</v>
      </c>
      <c r="K668" s="398"/>
    </row>
    <row r="669" s="29" customFormat="1" ht="26" customHeight="1" spans="1:11">
      <c r="A669" s="370">
        <v>650</v>
      </c>
      <c r="B669" s="126" t="s">
        <v>574</v>
      </c>
      <c r="C669" s="371" t="s">
        <v>1466</v>
      </c>
      <c r="D669" s="371" t="s">
        <v>1484</v>
      </c>
      <c r="E669" s="391">
        <v>20</v>
      </c>
      <c r="F669" s="391"/>
      <c r="G669" s="391">
        <v>10</v>
      </c>
      <c r="H669" s="393"/>
      <c r="I669" s="393"/>
      <c r="J669" s="372">
        <f t="shared" si="95"/>
        <v>20</v>
      </c>
      <c r="K669" s="398"/>
    </row>
    <row r="670" s="29" customFormat="1" ht="60" customHeight="1" spans="1:11">
      <c r="A670" s="370">
        <v>651</v>
      </c>
      <c r="B670" s="126" t="s">
        <v>574</v>
      </c>
      <c r="C670" s="371" t="s">
        <v>1466</v>
      </c>
      <c r="D670" s="371" t="s">
        <v>1485</v>
      </c>
      <c r="E670" s="391"/>
      <c r="F670" s="391"/>
      <c r="G670" s="391"/>
      <c r="H670" s="392">
        <v>8</v>
      </c>
      <c r="I670" s="393"/>
      <c r="J670" s="372">
        <f t="shared" si="95"/>
        <v>0</v>
      </c>
      <c r="K670" s="125" t="s">
        <v>1486</v>
      </c>
    </row>
    <row r="671" s="29" customFormat="1" customHeight="1" spans="1:11">
      <c r="A671" s="370">
        <v>652</v>
      </c>
      <c r="B671" s="126" t="s">
        <v>574</v>
      </c>
      <c r="C671" s="371" t="s">
        <v>1466</v>
      </c>
      <c r="D671" s="371" t="s">
        <v>1487</v>
      </c>
      <c r="E671" s="391"/>
      <c r="F671" s="391"/>
      <c r="G671" s="391"/>
      <c r="H671" s="392">
        <v>28.511</v>
      </c>
      <c r="I671" s="393">
        <v>10</v>
      </c>
      <c r="J671" s="372">
        <f t="shared" si="95"/>
        <v>10</v>
      </c>
      <c r="K671" s="125" t="s">
        <v>1488</v>
      </c>
    </row>
    <row r="672" s="29" customFormat="1" customHeight="1" spans="1:11">
      <c r="A672" s="370">
        <v>653</v>
      </c>
      <c r="B672" s="126" t="s">
        <v>574</v>
      </c>
      <c r="C672" s="371" t="s">
        <v>1466</v>
      </c>
      <c r="D672" s="371" t="s">
        <v>1489</v>
      </c>
      <c r="E672" s="391"/>
      <c r="F672" s="391"/>
      <c r="G672" s="391"/>
      <c r="H672" s="392">
        <v>10</v>
      </c>
      <c r="I672" s="393"/>
      <c r="J672" s="372">
        <f t="shared" si="95"/>
        <v>0</v>
      </c>
      <c r="K672" s="125" t="s">
        <v>1490</v>
      </c>
    </row>
    <row r="673" s="29" customFormat="1" ht="26" customHeight="1" spans="1:11">
      <c r="A673" s="370">
        <v>654</v>
      </c>
      <c r="B673" s="126" t="s">
        <v>574</v>
      </c>
      <c r="C673" s="371" t="s">
        <v>1466</v>
      </c>
      <c r="D673" s="371" t="s">
        <v>1491</v>
      </c>
      <c r="E673" s="391"/>
      <c r="F673" s="391"/>
      <c r="G673" s="391"/>
      <c r="H673" s="393">
        <v>3</v>
      </c>
      <c r="I673" s="393"/>
      <c r="J673" s="372">
        <f t="shared" si="95"/>
        <v>0</v>
      </c>
      <c r="K673" s="398"/>
    </row>
    <row r="674" s="29" customFormat="1" ht="26" customHeight="1" spans="1:11">
      <c r="A674" s="370">
        <v>655</v>
      </c>
      <c r="B674" s="126" t="s">
        <v>574</v>
      </c>
      <c r="C674" s="371" t="s">
        <v>1466</v>
      </c>
      <c r="D674" s="371" t="s">
        <v>1492</v>
      </c>
      <c r="E674" s="391"/>
      <c r="F674" s="391"/>
      <c r="G674" s="391"/>
      <c r="H674" s="393">
        <v>3</v>
      </c>
      <c r="I674" s="393"/>
      <c r="J674" s="372">
        <f t="shared" si="95"/>
        <v>0</v>
      </c>
      <c r="K674" s="398"/>
    </row>
    <row r="675" s="334" customFormat="1" customHeight="1" spans="1:11">
      <c r="A675" s="353">
        <v>656</v>
      </c>
      <c r="B675" s="376" t="s">
        <v>1493</v>
      </c>
      <c r="C675" s="377"/>
      <c r="D675" s="378"/>
      <c r="E675" s="355">
        <f t="shared" ref="E675:J675" si="96">SUM(E652:E674)</f>
        <v>793.88</v>
      </c>
      <c r="F675" s="355">
        <f t="shared" si="96"/>
        <v>0</v>
      </c>
      <c r="G675" s="355">
        <f t="shared" si="96"/>
        <v>359.529297</v>
      </c>
      <c r="H675" s="355">
        <f t="shared" si="96"/>
        <v>52.511</v>
      </c>
      <c r="I675" s="355">
        <f t="shared" si="96"/>
        <v>10</v>
      </c>
      <c r="J675" s="355">
        <f t="shared" si="96"/>
        <v>803.88</v>
      </c>
      <c r="K675" s="412"/>
    </row>
    <row r="676" s="29" customFormat="1" ht="26" customHeight="1" spans="1:11">
      <c r="A676" s="370">
        <v>657</v>
      </c>
      <c r="B676" s="126" t="s">
        <v>571</v>
      </c>
      <c r="C676" s="371" t="s">
        <v>1494</v>
      </c>
      <c r="D676" s="371" t="s">
        <v>1495</v>
      </c>
      <c r="E676" s="391">
        <v>9</v>
      </c>
      <c r="F676" s="391"/>
      <c r="G676" s="391">
        <v>4</v>
      </c>
      <c r="H676" s="393"/>
      <c r="I676" s="393"/>
      <c r="J676" s="372">
        <f t="shared" ref="J676:J713" si="97">E676+I676</f>
        <v>9</v>
      </c>
      <c r="K676" s="398"/>
    </row>
    <row r="677" s="29" customFormat="1" ht="26" customHeight="1" spans="1:11">
      <c r="A677" s="370">
        <v>658</v>
      </c>
      <c r="B677" s="126" t="s">
        <v>571</v>
      </c>
      <c r="C677" s="371" t="s">
        <v>1494</v>
      </c>
      <c r="D677" s="371" t="s">
        <v>1496</v>
      </c>
      <c r="E677" s="391">
        <v>25</v>
      </c>
      <c r="F677" s="391"/>
      <c r="G677" s="391">
        <v>25</v>
      </c>
      <c r="H677" s="393"/>
      <c r="I677" s="393"/>
      <c r="J677" s="372">
        <f t="shared" si="97"/>
        <v>25</v>
      </c>
      <c r="K677" s="398"/>
    </row>
    <row r="678" s="29" customFormat="1" ht="26" customHeight="1" spans="1:11">
      <c r="A678" s="370">
        <v>659</v>
      </c>
      <c r="B678" s="126" t="s">
        <v>569</v>
      </c>
      <c r="C678" s="371" t="s">
        <v>1494</v>
      </c>
      <c r="D678" s="371" t="s">
        <v>1497</v>
      </c>
      <c r="E678" s="391">
        <v>1</v>
      </c>
      <c r="F678" s="391"/>
      <c r="G678" s="391">
        <v>1</v>
      </c>
      <c r="H678" s="393"/>
      <c r="I678" s="393"/>
      <c r="J678" s="372">
        <f t="shared" si="97"/>
        <v>1</v>
      </c>
      <c r="K678" s="398"/>
    </row>
    <row r="679" s="29" customFormat="1" ht="26" customHeight="1" spans="1:11">
      <c r="A679" s="370">
        <v>660</v>
      </c>
      <c r="B679" s="126" t="s">
        <v>569</v>
      </c>
      <c r="C679" s="371" t="s">
        <v>1494</v>
      </c>
      <c r="D679" s="371" t="s">
        <v>1498</v>
      </c>
      <c r="E679" s="391">
        <v>7</v>
      </c>
      <c r="F679" s="391"/>
      <c r="G679" s="391">
        <v>0</v>
      </c>
      <c r="H679" s="393"/>
      <c r="I679" s="393"/>
      <c r="J679" s="372">
        <f t="shared" si="97"/>
        <v>7</v>
      </c>
      <c r="K679" s="398"/>
    </row>
    <row r="680" s="29" customFormat="1" ht="26" customHeight="1" spans="1:11">
      <c r="A680" s="370">
        <v>661</v>
      </c>
      <c r="B680" s="126" t="s">
        <v>569</v>
      </c>
      <c r="C680" s="371" t="s">
        <v>1494</v>
      </c>
      <c r="D680" s="371" t="s">
        <v>1499</v>
      </c>
      <c r="E680" s="391">
        <v>1</v>
      </c>
      <c r="F680" s="391"/>
      <c r="G680" s="391">
        <v>0</v>
      </c>
      <c r="H680" s="393"/>
      <c r="I680" s="393"/>
      <c r="J680" s="372">
        <f t="shared" si="97"/>
        <v>1</v>
      </c>
      <c r="K680" s="398"/>
    </row>
    <row r="681" s="29" customFormat="1" ht="26" customHeight="1" spans="1:11">
      <c r="A681" s="370">
        <v>662</v>
      </c>
      <c r="B681" s="126" t="s">
        <v>569</v>
      </c>
      <c r="C681" s="371" t="s">
        <v>1494</v>
      </c>
      <c r="D681" s="371" t="s">
        <v>1500</v>
      </c>
      <c r="E681" s="391">
        <v>3</v>
      </c>
      <c r="F681" s="391"/>
      <c r="G681" s="391">
        <v>2</v>
      </c>
      <c r="H681" s="393"/>
      <c r="I681" s="393"/>
      <c r="J681" s="372">
        <f t="shared" si="97"/>
        <v>3</v>
      </c>
      <c r="K681" s="398"/>
    </row>
    <row r="682" s="29" customFormat="1" ht="26" customHeight="1" spans="1:11">
      <c r="A682" s="370">
        <v>663</v>
      </c>
      <c r="B682" s="126" t="s">
        <v>569</v>
      </c>
      <c r="C682" s="371" t="s">
        <v>1494</v>
      </c>
      <c r="D682" s="371" t="s">
        <v>1501</v>
      </c>
      <c r="E682" s="391">
        <v>23</v>
      </c>
      <c r="F682" s="391"/>
      <c r="G682" s="391">
        <v>15</v>
      </c>
      <c r="H682" s="393"/>
      <c r="I682" s="393"/>
      <c r="J682" s="372">
        <f t="shared" si="97"/>
        <v>23</v>
      </c>
      <c r="K682" s="398"/>
    </row>
    <row r="683" s="29" customFormat="1" ht="26" customHeight="1" spans="1:11">
      <c r="A683" s="370">
        <v>664</v>
      </c>
      <c r="B683" s="126" t="s">
        <v>569</v>
      </c>
      <c r="C683" s="371" t="s">
        <v>1494</v>
      </c>
      <c r="D683" s="371" t="s">
        <v>1502</v>
      </c>
      <c r="E683" s="391">
        <v>6.3</v>
      </c>
      <c r="F683" s="391"/>
      <c r="G683" s="391">
        <v>3.3</v>
      </c>
      <c r="H683" s="393"/>
      <c r="I683" s="393"/>
      <c r="J683" s="372">
        <f t="shared" si="97"/>
        <v>6.3</v>
      </c>
      <c r="K683" s="398"/>
    </row>
    <row r="684" s="29" customFormat="1" ht="26" customHeight="1" spans="1:11">
      <c r="A684" s="370">
        <v>665</v>
      </c>
      <c r="B684" s="126" t="s">
        <v>569</v>
      </c>
      <c r="C684" s="371" t="s">
        <v>1494</v>
      </c>
      <c r="D684" s="371" t="s">
        <v>1503</v>
      </c>
      <c r="E684" s="391">
        <v>5</v>
      </c>
      <c r="F684" s="391"/>
      <c r="G684" s="391">
        <v>5</v>
      </c>
      <c r="H684" s="393"/>
      <c r="I684" s="393"/>
      <c r="J684" s="372">
        <f t="shared" si="97"/>
        <v>5</v>
      </c>
      <c r="K684" s="398"/>
    </row>
    <row r="685" s="29" customFormat="1" ht="26" customHeight="1" spans="1:11">
      <c r="A685" s="370">
        <v>666</v>
      </c>
      <c r="B685" s="126" t="s">
        <v>569</v>
      </c>
      <c r="C685" s="371" t="s">
        <v>1494</v>
      </c>
      <c r="D685" s="371" t="s">
        <v>1504</v>
      </c>
      <c r="E685" s="391">
        <v>20</v>
      </c>
      <c r="F685" s="391"/>
      <c r="G685" s="391">
        <v>0</v>
      </c>
      <c r="H685" s="393"/>
      <c r="I685" s="393"/>
      <c r="J685" s="372">
        <f t="shared" si="97"/>
        <v>20</v>
      </c>
      <c r="K685" s="398"/>
    </row>
    <row r="686" s="29" customFormat="1" ht="26" customHeight="1" spans="1:11">
      <c r="A686" s="370">
        <v>667</v>
      </c>
      <c r="B686" s="126" t="s">
        <v>569</v>
      </c>
      <c r="C686" s="371" t="s">
        <v>1494</v>
      </c>
      <c r="D686" s="371" t="s">
        <v>1505</v>
      </c>
      <c r="E686" s="391">
        <v>16.5</v>
      </c>
      <c r="F686" s="391"/>
      <c r="G686" s="391">
        <v>9.2</v>
      </c>
      <c r="H686" s="393"/>
      <c r="I686" s="393"/>
      <c r="J686" s="372">
        <f t="shared" si="97"/>
        <v>16.5</v>
      </c>
      <c r="K686" s="398"/>
    </row>
    <row r="687" s="29" customFormat="1" ht="26" customHeight="1" spans="1:11">
      <c r="A687" s="370">
        <v>668</v>
      </c>
      <c r="B687" s="126" t="s">
        <v>569</v>
      </c>
      <c r="C687" s="371" t="s">
        <v>1494</v>
      </c>
      <c r="D687" s="371" t="s">
        <v>1506</v>
      </c>
      <c r="E687" s="391">
        <v>8</v>
      </c>
      <c r="F687" s="391"/>
      <c r="G687" s="391">
        <v>4</v>
      </c>
      <c r="H687" s="393"/>
      <c r="I687" s="393"/>
      <c r="J687" s="372">
        <f t="shared" si="97"/>
        <v>8</v>
      </c>
      <c r="K687" s="398"/>
    </row>
    <row r="688" s="29" customFormat="1" ht="26" customHeight="1" spans="1:11">
      <c r="A688" s="370">
        <v>669</v>
      </c>
      <c r="B688" s="126" t="s">
        <v>569</v>
      </c>
      <c r="C688" s="371" t="s">
        <v>1494</v>
      </c>
      <c r="D688" s="371" t="s">
        <v>1507</v>
      </c>
      <c r="E688" s="391">
        <v>6</v>
      </c>
      <c r="F688" s="391"/>
      <c r="G688" s="391">
        <v>6</v>
      </c>
      <c r="H688" s="393"/>
      <c r="I688" s="393"/>
      <c r="J688" s="372">
        <f t="shared" si="97"/>
        <v>6</v>
      </c>
      <c r="K688" s="398"/>
    </row>
    <row r="689" s="29" customFormat="1" ht="26" customHeight="1" spans="1:11">
      <c r="A689" s="370">
        <v>670</v>
      </c>
      <c r="B689" s="126" t="s">
        <v>569</v>
      </c>
      <c r="C689" s="371" t="s">
        <v>1494</v>
      </c>
      <c r="D689" s="371" t="s">
        <v>1508</v>
      </c>
      <c r="E689" s="391">
        <v>410</v>
      </c>
      <c r="F689" s="391"/>
      <c r="G689" s="391">
        <v>247.41</v>
      </c>
      <c r="H689" s="393"/>
      <c r="I689" s="393"/>
      <c r="J689" s="372">
        <f t="shared" si="97"/>
        <v>410</v>
      </c>
      <c r="K689" s="398"/>
    </row>
    <row r="690" s="29" customFormat="1" ht="26" customHeight="1" spans="1:11">
      <c r="A690" s="370">
        <v>671</v>
      </c>
      <c r="B690" s="126" t="s">
        <v>569</v>
      </c>
      <c r="C690" s="371" t="s">
        <v>1494</v>
      </c>
      <c r="D690" s="371" t="s">
        <v>1509</v>
      </c>
      <c r="E690" s="391">
        <v>5</v>
      </c>
      <c r="F690" s="391"/>
      <c r="G690" s="391">
        <v>5</v>
      </c>
      <c r="H690" s="393"/>
      <c r="I690" s="393"/>
      <c r="J690" s="372">
        <f t="shared" si="97"/>
        <v>5</v>
      </c>
      <c r="K690" s="398"/>
    </row>
    <row r="691" s="29" customFormat="1" ht="26" customHeight="1" spans="1:11">
      <c r="A691" s="370">
        <v>672</v>
      </c>
      <c r="B691" s="126" t="s">
        <v>569</v>
      </c>
      <c r="C691" s="371" t="s">
        <v>1494</v>
      </c>
      <c r="D691" s="371" t="s">
        <v>1510</v>
      </c>
      <c r="E691" s="391">
        <v>493.1</v>
      </c>
      <c r="F691" s="391"/>
      <c r="G691" s="391">
        <v>246.59</v>
      </c>
      <c r="H691" s="393"/>
      <c r="I691" s="393"/>
      <c r="J691" s="372">
        <f t="shared" si="97"/>
        <v>493.1</v>
      </c>
      <c r="K691" s="398"/>
    </row>
    <row r="692" s="29" customFormat="1" ht="26" customHeight="1" spans="1:11">
      <c r="A692" s="370">
        <v>673</v>
      </c>
      <c r="B692" s="126" t="s">
        <v>569</v>
      </c>
      <c r="C692" s="371" t="s">
        <v>1494</v>
      </c>
      <c r="D692" s="371" t="s">
        <v>1511</v>
      </c>
      <c r="E692" s="391">
        <v>1</v>
      </c>
      <c r="F692" s="391"/>
      <c r="G692" s="391">
        <v>1</v>
      </c>
      <c r="H692" s="393"/>
      <c r="I692" s="393"/>
      <c r="J692" s="372">
        <f t="shared" si="97"/>
        <v>1</v>
      </c>
      <c r="K692" s="398"/>
    </row>
    <row r="693" s="29" customFormat="1" ht="26" customHeight="1" spans="1:11">
      <c r="A693" s="370">
        <v>674</v>
      </c>
      <c r="B693" s="126" t="s">
        <v>569</v>
      </c>
      <c r="C693" s="371" t="s">
        <v>1494</v>
      </c>
      <c r="D693" s="371" t="s">
        <v>1512</v>
      </c>
      <c r="E693" s="391">
        <v>2</v>
      </c>
      <c r="F693" s="391"/>
      <c r="G693" s="391">
        <v>2</v>
      </c>
      <c r="H693" s="393"/>
      <c r="I693" s="393"/>
      <c r="J693" s="372">
        <f t="shared" si="97"/>
        <v>2</v>
      </c>
      <c r="K693" s="398"/>
    </row>
    <row r="694" s="29" customFormat="1" ht="26" customHeight="1" spans="1:11">
      <c r="A694" s="370">
        <v>675</v>
      </c>
      <c r="B694" s="126" t="s">
        <v>569</v>
      </c>
      <c r="C694" s="371" t="s">
        <v>1494</v>
      </c>
      <c r="D694" s="371" t="s">
        <v>1513</v>
      </c>
      <c r="E694" s="391">
        <v>4</v>
      </c>
      <c r="F694" s="391"/>
      <c r="G694" s="391">
        <v>3</v>
      </c>
      <c r="H694" s="393"/>
      <c r="I694" s="393"/>
      <c r="J694" s="372">
        <f t="shared" si="97"/>
        <v>4</v>
      </c>
      <c r="K694" s="398"/>
    </row>
    <row r="695" s="29" customFormat="1" ht="26" customHeight="1" spans="1:11">
      <c r="A695" s="370">
        <v>676</v>
      </c>
      <c r="B695" s="126" t="s">
        <v>569</v>
      </c>
      <c r="C695" s="371" t="s">
        <v>1494</v>
      </c>
      <c r="D695" s="371" t="s">
        <v>1514</v>
      </c>
      <c r="E695" s="391">
        <v>10</v>
      </c>
      <c r="F695" s="391"/>
      <c r="G695" s="391">
        <v>5</v>
      </c>
      <c r="H695" s="393"/>
      <c r="I695" s="393"/>
      <c r="J695" s="372">
        <f t="shared" si="97"/>
        <v>10</v>
      </c>
      <c r="K695" s="398"/>
    </row>
    <row r="696" s="29" customFormat="1" ht="26" customHeight="1" spans="1:11">
      <c r="A696" s="370">
        <v>677</v>
      </c>
      <c r="B696" s="126" t="s">
        <v>569</v>
      </c>
      <c r="C696" s="371" t="s">
        <v>1494</v>
      </c>
      <c r="D696" s="371" t="s">
        <v>1515</v>
      </c>
      <c r="E696" s="391">
        <v>7</v>
      </c>
      <c r="F696" s="391"/>
      <c r="G696" s="391">
        <v>7</v>
      </c>
      <c r="H696" s="393"/>
      <c r="I696" s="393"/>
      <c r="J696" s="372">
        <f t="shared" si="97"/>
        <v>7</v>
      </c>
      <c r="K696" s="398"/>
    </row>
    <row r="697" s="29" customFormat="1" ht="26" customHeight="1" spans="1:11">
      <c r="A697" s="370">
        <v>678</v>
      </c>
      <c r="B697" s="126" t="s">
        <v>569</v>
      </c>
      <c r="C697" s="371" t="s">
        <v>1494</v>
      </c>
      <c r="D697" s="371" t="s">
        <v>1516</v>
      </c>
      <c r="E697" s="391">
        <v>6</v>
      </c>
      <c r="F697" s="391"/>
      <c r="G697" s="391">
        <v>6</v>
      </c>
      <c r="H697" s="393"/>
      <c r="I697" s="393"/>
      <c r="J697" s="372">
        <f t="shared" si="97"/>
        <v>6</v>
      </c>
      <c r="K697" s="398"/>
    </row>
    <row r="698" s="29" customFormat="1" ht="26" customHeight="1" spans="1:11">
      <c r="A698" s="370">
        <v>679</v>
      </c>
      <c r="B698" s="126" t="s">
        <v>569</v>
      </c>
      <c r="C698" s="371" t="s">
        <v>1494</v>
      </c>
      <c r="D698" s="371" t="s">
        <v>1517</v>
      </c>
      <c r="E698" s="391">
        <v>8</v>
      </c>
      <c r="F698" s="391"/>
      <c r="G698" s="391">
        <v>0</v>
      </c>
      <c r="H698" s="393"/>
      <c r="I698" s="393"/>
      <c r="J698" s="372">
        <f t="shared" si="97"/>
        <v>8</v>
      </c>
      <c r="K698" s="398"/>
    </row>
    <row r="699" s="29" customFormat="1" ht="26" customHeight="1" spans="1:11">
      <c r="A699" s="370">
        <v>680</v>
      </c>
      <c r="B699" s="126" t="s">
        <v>569</v>
      </c>
      <c r="C699" s="371" t="s">
        <v>1494</v>
      </c>
      <c r="D699" s="371" t="s">
        <v>1518</v>
      </c>
      <c r="E699" s="391">
        <v>10</v>
      </c>
      <c r="F699" s="391"/>
      <c r="G699" s="391">
        <v>10</v>
      </c>
      <c r="H699" s="393"/>
      <c r="I699" s="393"/>
      <c r="J699" s="372">
        <f t="shared" si="97"/>
        <v>10</v>
      </c>
      <c r="K699" s="398"/>
    </row>
    <row r="700" s="29" customFormat="1" ht="26" customHeight="1" spans="1:11">
      <c r="A700" s="370">
        <v>681</v>
      </c>
      <c r="B700" s="126" t="s">
        <v>569</v>
      </c>
      <c r="C700" s="371" t="s">
        <v>1494</v>
      </c>
      <c r="D700" s="371" t="s">
        <v>1519</v>
      </c>
      <c r="E700" s="391">
        <v>10</v>
      </c>
      <c r="F700" s="391"/>
      <c r="G700" s="391">
        <v>10</v>
      </c>
      <c r="H700" s="393"/>
      <c r="I700" s="393"/>
      <c r="J700" s="372">
        <f t="shared" si="97"/>
        <v>10</v>
      </c>
      <c r="K700" s="398"/>
    </row>
    <row r="701" s="29" customFormat="1" customHeight="1" spans="1:11">
      <c r="A701" s="370">
        <v>682</v>
      </c>
      <c r="B701" s="389" t="s">
        <v>569</v>
      </c>
      <c r="C701" s="79" t="s">
        <v>1494</v>
      </c>
      <c r="D701" s="79" t="s">
        <v>1520</v>
      </c>
      <c r="E701" s="123">
        <v>60</v>
      </c>
      <c r="F701" s="123"/>
      <c r="G701" s="123">
        <v>45.09</v>
      </c>
      <c r="H701" s="123">
        <v>14.91</v>
      </c>
      <c r="I701" s="123"/>
      <c r="J701" s="372">
        <f t="shared" si="97"/>
        <v>60</v>
      </c>
      <c r="K701" s="394" t="s">
        <v>1521</v>
      </c>
    </row>
    <row r="702" s="29" customFormat="1" ht="26" customHeight="1" spans="1:11">
      <c r="A702" s="370">
        <v>683</v>
      </c>
      <c r="B702" s="126" t="s">
        <v>569</v>
      </c>
      <c r="C702" s="371" t="s">
        <v>1494</v>
      </c>
      <c r="D702" s="371" t="s">
        <v>1522</v>
      </c>
      <c r="E702" s="391">
        <v>15.18</v>
      </c>
      <c r="F702" s="391"/>
      <c r="G702" s="391">
        <v>15.18</v>
      </c>
      <c r="H702" s="393"/>
      <c r="I702" s="393"/>
      <c r="J702" s="372">
        <f t="shared" si="97"/>
        <v>15.18</v>
      </c>
      <c r="K702" s="398"/>
    </row>
    <row r="703" s="29" customFormat="1" ht="26" customHeight="1" spans="1:11">
      <c r="A703" s="370">
        <v>684</v>
      </c>
      <c r="B703" s="126" t="s">
        <v>569</v>
      </c>
      <c r="C703" s="371" t="s">
        <v>1494</v>
      </c>
      <c r="D703" s="371" t="s">
        <v>1523</v>
      </c>
      <c r="E703" s="391">
        <v>5</v>
      </c>
      <c r="F703" s="391"/>
      <c r="G703" s="391">
        <v>0</v>
      </c>
      <c r="H703" s="393"/>
      <c r="I703" s="393"/>
      <c r="J703" s="372">
        <f t="shared" si="97"/>
        <v>5</v>
      </c>
      <c r="K703" s="398"/>
    </row>
    <row r="704" s="29" customFormat="1" ht="26" customHeight="1" spans="1:11">
      <c r="A704" s="370">
        <v>685</v>
      </c>
      <c r="B704" s="126" t="s">
        <v>569</v>
      </c>
      <c r="C704" s="371" t="s">
        <v>1494</v>
      </c>
      <c r="D704" s="371" t="s">
        <v>1524</v>
      </c>
      <c r="E704" s="391">
        <v>7.41</v>
      </c>
      <c r="F704" s="391"/>
      <c r="G704" s="391">
        <v>0.01</v>
      </c>
      <c r="H704" s="393"/>
      <c r="I704" s="393"/>
      <c r="J704" s="372">
        <f t="shared" si="97"/>
        <v>7.41</v>
      </c>
      <c r="K704" s="398"/>
    </row>
    <row r="705" s="29" customFormat="1" ht="26" customHeight="1" spans="1:11">
      <c r="A705" s="370">
        <v>686</v>
      </c>
      <c r="B705" s="126" t="s">
        <v>569</v>
      </c>
      <c r="C705" s="371" t="s">
        <v>1494</v>
      </c>
      <c r="D705" s="371" t="s">
        <v>1525</v>
      </c>
      <c r="E705" s="391">
        <v>23</v>
      </c>
      <c r="F705" s="391"/>
      <c r="G705" s="391">
        <v>6.5</v>
      </c>
      <c r="H705" s="393"/>
      <c r="I705" s="393"/>
      <c r="J705" s="372">
        <f t="shared" si="97"/>
        <v>23</v>
      </c>
      <c r="K705" s="398"/>
    </row>
    <row r="706" s="29" customFormat="1" ht="26" customHeight="1" spans="1:11">
      <c r="A706" s="370">
        <v>687</v>
      </c>
      <c r="B706" s="126" t="s">
        <v>569</v>
      </c>
      <c r="C706" s="371" t="s">
        <v>1494</v>
      </c>
      <c r="D706" s="371" t="s">
        <v>1526</v>
      </c>
      <c r="E706" s="391">
        <v>50</v>
      </c>
      <c r="F706" s="391"/>
      <c r="G706" s="391">
        <v>50</v>
      </c>
      <c r="H706" s="393"/>
      <c r="I706" s="393"/>
      <c r="J706" s="372">
        <f t="shared" si="97"/>
        <v>50</v>
      </c>
      <c r="K706" s="398"/>
    </row>
    <row r="707" s="29" customFormat="1" ht="26" customHeight="1" spans="1:11">
      <c r="A707" s="370">
        <v>688</v>
      </c>
      <c r="B707" s="126" t="s">
        <v>569</v>
      </c>
      <c r="C707" s="371" t="s">
        <v>1494</v>
      </c>
      <c r="D707" s="371" t="s">
        <v>1527</v>
      </c>
      <c r="E707" s="391">
        <v>157.09</v>
      </c>
      <c r="F707" s="391"/>
      <c r="G707" s="391">
        <v>78.55</v>
      </c>
      <c r="H707" s="393"/>
      <c r="I707" s="393"/>
      <c r="J707" s="372">
        <f t="shared" si="97"/>
        <v>157.09</v>
      </c>
      <c r="K707" s="398"/>
    </row>
    <row r="708" s="29" customFormat="1" customHeight="1" spans="1:11">
      <c r="A708" s="370">
        <v>689</v>
      </c>
      <c r="B708" s="389" t="s">
        <v>569</v>
      </c>
      <c r="C708" s="79" t="s">
        <v>1494</v>
      </c>
      <c r="D708" s="79" t="s">
        <v>1528</v>
      </c>
      <c r="E708" s="123">
        <v>90</v>
      </c>
      <c r="F708" s="123"/>
      <c r="G708" s="123">
        <v>80</v>
      </c>
      <c r="H708" s="123"/>
      <c r="I708" s="123"/>
      <c r="J708" s="372">
        <f t="shared" si="97"/>
        <v>90</v>
      </c>
      <c r="K708" s="79"/>
    </row>
    <row r="709" s="29" customFormat="1" ht="26" customHeight="1" spans="1:11">
      <c r="A709" s="370">
        <v>690</v>
      </c>
      <c r="B709" s="126" t="s">
        <v>569</v>
      </c>
      <c r="C709" s="371" t="s">
        <v>1494</v>
      </c>
      <c r="D709" s="371" t="s">
        <v>1529</v>
      </c>
      <c r="E709" s="391">
        <v>113.25</v>
      </c>
      <c r="F709" s="391"/>
      <c r="G709" s="391">
        <v>55.01</v>
      </c>
      <c r="H709" s="393"/>
      <c r="I709" s="393"/>
      <c r="J709" s="372">
        <f t="shared" si="97"/>
        <v>113.25</v>
      </c>
      <c r="K709" s="398"/>
    </row>
    <row r="710" s="29" customFormat="1" ht="26" customHeight="1" spans="1:11">
      <c r="A710" s="370">
        <v>691</v>
      </c>
      <c r="B710" s="126" t="s">
        <v>569</v>
      </c>
      <c r="C710" s="371" t="s">
        <v>1494</v>
      </c>
      <c r="D710" s="371" t="s">
        <v>1530</v>
      </c>
      <c r="E710" s="391">
        <v>10</v>
      </c>
      <c r="F710" s="391"/>
      <c r="G710" s="391">
        <v>10</v>
      </c>
      <c r="H710" s="393"/>
      <c r="I710" s="393"/>
      <c r="J710" s="372">
        <f t="shared" si="97"/>
        <v>10</v>
      </c>
      <c r="K710" s="398"/>
    </row>
    <row r="711" s="29" customFormat="1" customHeight="1" spans="1:11">
      <c r="A711" s="370">
        <v>692</v>
      </c>
      <c r="B711" s="126" t="s">
        <v>627</v>
      </c>
      <c r="C711" s="58" t="s">
        <v>1494</v>
      </c>
      <c r="D711" s="147" t="s">
        <v>1531</v>
      </c>
      <c r="E711" s="123">
        <v>43.01</v>
      </c>
      <c r="F711" s="123"/>
      <c r="G711" s="123">
        <v>0</v>
      </c>
      <c r="H711" s="123"/>
      <c r="I711" s="123"/>
      <c r="J711" s="372">
        <f t="shared" si="97"/>
        <v>43.01</v>
      </c>
      <c r="K711" s="79" t="s">
        <v>1532</v>
      </c>
    </row>
    <row r="712" s="29" customFormat="1" ht="80.1" customHeight="1" spans="1:11">
      <c r="A712" s="370">
        <v>693</v>
      </c>
      <c r="B712" s="389" t="s">
        <v>569</v>
      </c>
      <c r="C712" s="79" t="s">
        <v>1494</v>
      </c>
      <c r="D712" s="394" t="s">
        <v>1533</v>
      </c>
      <c r="E712" s="123"/>
      <c r="F712" s="123"/>
      <c r="G712" s="123"/>
      <c r="H712" s="123">
        <v>37</v>
      </c>
      <c r="I712" s="123">
        <v>0</v>
      </c>
      <c r="J712" s="372">
        <f t="shared" si="97"/>
        <v>0</v>
      </c>
      <c r="K712" s="271" t="s">
        <v>1534</v>
      </c>
    </row>
    <row r="713" s="29" customFormat="1" ht="36" customHeight="1" spans="1:11">
      <c r="A713" s="370">
        <v>694</v>
      </c>
      <c r="B713" s="389" t="s">
        <v>569</v>
      </c>
      <c r="C713" s="79" t="s">
        <v>1494</v>
      </c>
      <c r="D713" s="394" t="s">
        <v>1535</v>
      </c>
      <c r="E713" s="123"/>
      <c r="F713" s="123"/>
      <c r="G713" s="123"/>
      <c r="H713" s="123">
        <v>3.3</v>
      </c>
      <c r="I713" s="123">
        <v>0</v>
      </c>
      <c r="J713" s="372">
        <f t="shared" si="97"/>
        <v>0</v>
      </c>
      <c r="K713" s="394" t="s">
        <v>1536</v>
      </c>
    </row>
    <row r="714" s="334" customFormat="1" customHeight="1" spans="1:11">
      <c r="A714" s="353">
        <v>695</v>
      </c>
      <c r="B714" s="376" t="s">
        <v>1537</v>
      </c>
      <c r="C714" s="377"/>
      <c r="D714" s="378"/>
      <c r="E714" s="355">
        <f t="shared" ref="E714:J714" si="98">SUM(E676:E713)</f>
        <v>1670.84</v>
      </c>
      <c r="F714" s="355">
        <f t="shared" si="98"/>
        <v>0</v>
      </c>
      <c r="G714" s="355">
        <f t="shared" si="98"/>
        <v>957.84</v>
      </c>
      <c r="H714" s="355">
        <f t="shared" si="98"/>
        <v>55.21</v>
      </c>
      <c r="I714" s="355">
        <f t="shared" si="98"/>
        <v>0</v>
      </c>
      <c r="J714" s="355">
        <f t="shared" si="98"/>
        <v>1670.84</v>
      </c>
      <c r="K714" s="412"/>
    </row>
    <row r="715" s="29" customFormat="1" ht="36.95" customHeight="1" spans="1:11">
      <c r="A715" s="370">
        <v>696</v>
      </c>
      <c r="B715" s="389" t="s">
        <v>569</v>
      </c>
      <c r="C715" s="79" t="s">
        <v>1538</v>
      </c>
      <c r="D715" s="79" t="s">
        <v>1539</v>
      </c>
      <c r="E715" s="123">
        <v>54.981672</v>
      </c>
      <c r="F715" s="123"/>
      <c r="G715" s="123">
        <v>39.18</v>
      </c>
      <c r="H715" s="123">
        <v>10</v>
      </c>
      <c r="I715" s="123">
        <v>0</v>
      </c>
      <c r="J715" s="372">
        <f t="shared" ref="J715:J726" si="99">E715+I715</f>
        <v>54.981672</v>
      </c>
      <c r="K715" s="394" t="s">
        <v>1540</v>
      </c>
    </row>
    <row r="716" s="29" customFormat="1" ht="26" customHeight="1" spans="1:11">
      <c r="A716" s="370">
        <v>697</v>
      </c>
      <c r="B716" s="126" t="s">
        <v>569</v>
      </c>
      <c r="C716" s="371" t="s">
        <v>1538</v>
      </c>
      <c r="D716" s="371" t="s">
        <v>1541</v>
      </c>
      <c r="E716" s="391">
        <v>10</v>
      </c>
      <c r="F716" s="391"/>
      <c r="G716" s="391">
        <v>4</v>
      </c>
      <c r="H716" s="393"/>
      <c r="I716" s="393"/>
      <c r="J716" s="372">
        <f t="shared" si="99"/>
        <v>10</v>
      </c>
      <c r="K716" s="398"/>
    </row>
    <row r="717" s="29" customFormat="1" ht="26" customHeight="1" spans="1:11">
      <c r="A717" s="370">
        <v>698</v>
      </c>
      <c r="B717" s="126" t="s">
        <v>569</v>
      </c>
      <c r="C717" s="371" t="s">
        <v>1538</v>
      </c>
      <c r="D717" s="371" t="s">
        <v>1542</v>
      </c>
      <c r="E717" s="391">
        <v>5</v>
      </c>
      <c r="F717" s="391"/>
      <c r="G717" s="391">
        <v>5</v>
      </c>
      <c r="H717" s="393"/>
      <c r="I717" s="393"/>
      <c r="J717" s="372">
        <f t="shared" si="99"/>
        <v>5</v>
      </c>
      <c r="K717" s="398"/>
    </row>
    <row r="718" s="29" customFormat="1" ht="26" customHeight="1" spans="1:11">
      <c r="A718" s="370">
        <v>699</v>
      </c>
      <c r="B718" s="126" t="s">
        <v>569</v>
      </c>
      <c r="C718" s="371" t="s">
        <v>1538</v>
      </c>
      <c r="D718" s="371" t="s">
        <v>1543</v>
      </c>
      <c r="E718" s="391">
        <v>129.22176</v>
      </c>
      <c r="F718" s="391"/>
      <c r="G718" s="391">
        <v>75.51</v>
      </c>
      <c r="H718" s="393"/>
      <c r="I718" s="393"/>
      <c r="J718" s="372">
        <f t="shared" si="99"/>
        <v>129.22176</v>
      </c>
      <c r="K718" s="398"/>
    </row>
    <row r="719" s="29" customFormat="1" ht="26" customHeight="1" spans="1:11">
      <c r="A719" s="370">
        <v>700</v>
      </c>
      <c r="B719" s="126" t="s">
        <v>569</v>
      </c>
      <c r="C719" s="371" t="s">
        <v>1538</v>
      </c>
      <c r="D719" s="371" t="s">
        <v>1544</v>
      </c>
      <c r="E719" s="391">
        <v>22</v>
      </c>
      <c r="F719" s="391"/>
      <c r="G719" s="391">
        <v>18.99</v>
      </c>
      <c r="H719" s="393"/>
      <c r="I719" s="393"/>
      <c r="J719" s="372">
        <f t="shared" si="99"/>
        <v>22</v>
      </c>
      <c r="K719" s="398"/>
    </row>
    <row r="720" s="29" customFormat="1" ht="26" customHeight="1" spans="1:11">
      <c r="A720" s="370">
        <v>701</v>
      </c>
      <c r="B720" s="126" t="s">
        <v>569</v>
      </c>
      <c r="C720" s="371" t="s">
        <v>1538</v>
      </c>
      <c r="D720" s="371" t="s">
        <v>1545</v>
      </c>
      <c r="E720" s="391">
        <v>17.4</v>
      </c>
      <c r="F720" s="391"/>
      <c r="G720" s="391">
        <v>17.4</v>
      </c>
      <c r="H720" s="393"/>
      <c r="I720" s="393"/>
      <c r="J720" s="372">
        <f t="shared" si="99"/>
        <v>17.4</v>
      </c>
      <c r="K720" s="398"/>
    </row>
    <row r="721" s="29" customFormat="1" ht="26" customHeight="1" spans="1:11">
      <c r="A721" s="370">
        <v>702</v>
      </c>
      <c r="B721" s="126" t="s">
        <v>569</v>
      </c>
      <c r="C721" s="371" t="s">
        <v>1538</v>
      </c>
      <c r="D721" s="371" t="s">
        <v>1546</v>
      </c>
      <c r="E721" s="391">
        <v>20</v>
      </c>
      <c r="F721" s="391"/>
      <c r="G721" s="391">
        <v>12.25</v>
      </c>
      <c r="H721" s="393"/>
      <c r="I721" s="393"/>
      <c r="J721" s="372">
        <f t="shared" si="99"/>
        <v>20</v>
      </c>
      <c r="K721" s="398"/>
    </row>
    <row r="722" s="29" customFormat="1" customHeight="1" spans="1:11">
      <c r="A722" s="370">
        <v>703</v>
      </c>
      <c r="B722" s="389" t="s">
        <v>569</v>
      </c>
      <c r="C722" s="79" t="s">
        <v>1538</v>
      </c>
      <c r="D722" s="79" t="s">
        <v>1547</v>
      </c>
      <c r="E722" s="123">
        <v>3</v>
      </c>
      <c r="F722" s="123"/>
      <c r="G722" s="123">
        <v>2.32</v>
      </c>
      <c r="H722" s="123"/>
      <c r="I722" s="123"/>
      <c r="J722" s="372">
        <f t="shared" si="99"/>
        <v>3</v>
      </c>
      <c r="K722" s="79"/>
    </row>
    <row r="723" s="29" customFormat="1" ht="26" customHeight="1" spans="1:11">
      <c r="A723" s="370">
        <v>704</v>
      </c>
      <c r="B723" s="126" t="s">
        <v>569</v>
      </c>
      <c r="C723" s="371" t="s">
        <v>1538</v>
      </c>
      <c r="D723" s="371" t="s">
        <v>1548</v>
      </c>
      <c r="E723" s="391">
        <v>30</v>
      </c>
      <c r="F723" s="391"/>
      <c r="G723" s="391">
        <v>26.38</v>
      </c>
      <c r="H723" s="393">
        <v>-12</v>
      </c>
      <c r="I723" s="393">
        <v>-12</v>
      </c>
      <c r="J723" s="372">
        <f t="shared" si="99"/>
        <v>18</v>
      </c>
      <c r="K723" s="398" t="s">
        <v>1549</v>
      </c>
    </row>
    <row r="724" s="29" customFormat="1" ht="26" customHeight="1" spans="1:11">
      <c r="A724" s="370">
        <v>705</v>
      </c>
      <c r="B724" s="126" t="s">
        <v>569</v>
      </c>
      <c r="C724" s="371" t="s">
        <v>1538</v>
      </c>
      <c r="D724" s="371" t="s">
        <v>1550</v>
      </c>
      <c r="E724" s="391">
        <v>76</v>
      </c>
      <c r="F724" s="391"/>
      <c r="G724" s="391">
        <v>26.8</v>
      </c>
      <c r="H724" s="393"/>
      <c r="I724" s="393"/>
      <c r="J724" s="372">
        <f t="shared" si="99"/>
        <v>76</v>
      </c>
      <c r="K724" s="398"/>
    </row>
    <row r="725" s="29" customFormat="1" customHeight="1" spans="1:11">
      <c r="A725" s="370">
        <v>706</v>
      </c>
      <c r="B725" s="389" t="s">
        <v>569</v>
      </c>
      <c r="C725" s="79" t="s">
        <v>1538</v>
      </c>
      <c r="D725" s="79" t="s">
        <v>1551</v>
      </c>
      <c r="E725" s="123">
        <v>71.6592</v>
      </c>
      <c r="F725" s="123"/>
      <c r="G725" s="123">
        <v>51.15</v>
      </c>
      <c r="H725" s="123">
        <v>10.88</v>
      </c>
      <c r="I725" s="123">
        <v>10.88</v>
      </c>
      <c r="J725" s="372">
        <f t="shared" si="99"/>
        <v>82.5392</v>
      </c>
      <c r="K725" s="394" t="s">
        <v>1552</v>
      </c>
    </row>
    <row r="726" s="29" customFormat="1" ht="48.95" customHeight="1" spans="1:11">
      <c r="A726" s="370">
        <v>707</v>
      </c>
      <c r="B726" s="389" t="s">
        <v>569</v>
      </c>
      <c r="C726" s="79" t="s">
        <v>1538</v>
      </c>
      <c r="D726" s="79" t="s">
        <v>1553</v>
      </c>
      <c r="E726" s="123"/>
      <c r="F726" s="123"/>
      <c r="G726" s="123"/>
      <c r="H726" s="123">
        <v>10</v>
      </c>
      <c r="I726" s="123">
        <v>0</v>
      </c>
      <c r="J726" s="372">
        <f t="shared" si="99"/>
        <v>0</v>
      </c>
      <c r="K726" s="394" t="s">
        <v>1554</v>
      </c>
    </row>
    <row r="727" s="334" customFormat="1" customHeight="1" spans="1:11">
      <c r="A727" s="353">
        <v>708</v>
      </c>
      <c r="B727" s="376" t="s">
        <v>1555</v>
      </c>
      <c r="C727" s="377"/>
      <c r="D727" s="378"/>
      <c r="E727" s="355">
        <f t="shared" ref="E727:J727" si="100">SUM(E715:E726)</f>
        <v>439.262632</v>
      </c>
      <c r="F727" s="355">
        <f t="shared" si="100"/>
        <v>0</v>
      </c>
      <c r="G727" s="355">
        <f t="shared" si="100"/>
        <v>278.98</v>
      </c>
      <c r="H727" s="355">
        <f t="shared" si="100"/>
        <v>18.88</v>
      </c>
      <c r="I727" s="355">
        <f t="shared" si="100"/>
        <v>-1.12</v>
      </c>
      <c r="J727" s="355">
        <f t="shared" si="100"/>
        <v>438.142632</v>
      </c>
      <c r="K727" s="412"/>
    </row>
    <row r="728" s="29" customFormat="1" ht="26" customHeight="1" spans="1:11">
      <c r="A728" s="370">
        <v>709</v>
      </c>
      <c r="B728" s="126" t="s">
        <v>569</v>
      </c>
      <c r="C728" s="371" t="s">
        <v>1556</v>
      </c>
      <c r="D728" s="371" t="s">
        <v>1557</v>
      </c>
      <c r="E728" s="391">
        <v>22</v>
      </c>
      <c r="F728" s="391"/>
      <c r="G728" s="391">
        <v>0</v>
      </c>
      <c r="H728" s="393"/>
      <c r="I728" s="393"/>
      <c r="J728" s="372">
        <f t="shared" ref="J728:J732" si="101">E728+I728</f>
        <v>22</v>
      </c>
      <c r="K728" s="398"/>
    </row>
    <row r="729" s="29" customFormat="1" ht="26" customHeight="1" spans="1:11">
      <c r="A729" s="370">
        <v>710</v>
      </c>
      <c r="B729" s="126" t="s">
        <v>569</v>
      </c>
      <c r="C729" s="371" t="s">
        <v>1556</v>
      </c>
      <c r="D729" s="371" t="s">
        <v>1558</v>
      </c>
      <c r="E729" s="391">
        <v>14.5</v>
      </c>
      <c r="F729" s="391"/>
      <c r="G729" s="391">
        <v>0</v>
      </c>
      <c r="H729" s="393"/>
      <c r="I729" s="393"/>
      <c r="J729" s="372">
        <f t="shared" si="101"/>
        <v>14.5</v>
      </c>
      <c r="K729" s="398"/>
    </row>
    <row r="730" s="29" customFormat="1" ht="26" customHeight="1" spans="1:11">
      <c r="A730" s="370">
        <v>711</v>
      </c>
      <c r="B730" s="126" t="s">
        <v>569</v>
      </c>
      <c r="C730" s="371" t="s">
        <v>1556</v>
      </c>
      <c r="D730" s="371" t="s">
        <v>101</v>
      </c>
      <c r="E730" s="391">
        <v>6</v>
      </c>
      <c r="F730" s="391"/>
      <c r="G730" s="391">
        <v>0</v>
      </c>
      <c r="H730" s="393"/>
      <c r="I730" s="393"/>
      <c r="J730" s="372">
        <f t="shared" si="101"/>
        <v>6</v>
      </c>
      <c r="K730" s="398"/>
    </row>
    <row r="731" s="29" customFormat="1" ht="26" customHeight="1" spans="1:11">
      <c r="A731" s="370">
        <v>712</v>
      </c>
      <c r="B731" s="126" t="s">
        <v>569</v>
      </c>
      <c r="C731" s="371" t="s">
        <v>1556</v>
      </c>
      <c r="D731" s="371" t="s">
        <v>1559</v>
      </c>
      <c r="E731" s="391">
        <v>47.5</v>
      </c>
      <c r="F731" s="391"/>
      <c r="G731" s="391">
        <v>0</v>
      </c>
      <c r="H731" s="393"/>
      <c r="I731" s="393"/>
      <c r="J731" s="372">
        <f t="shared" si="101"/>
        <v>47.5</v>
      </c>
      <c r="K731" s="398"/>
    </row>
    <row r="732" s="29" customFormat="1" ht="26" customHeight="1" spans="1:11">
      <c r="A732" s="370">
        <v>713</v>
      </c>
      <c r="B732" s="126" t="s">
        <v>569</v>
      </c>
      <c r="C732" s="371" t="s">
        <v>1556</v>
      </c>
      <c r="D732" s="371" t="s">
        <v>1560</v>
      </c>
      <c r="E732" s="391">
        <v>29</v>
      </c>
      <c r="F732" s="391"/>
      <c r="G732" s="391">
        <v>0</v>
      </c>
      <c r="H732" s="393"/>
      <c r="I732" s="393"/>
      <c r="J732" s="372">
        <f t="shared" si="101"/>
        <v>29</v>
      </c>
      <c r="K732" s="398"/>
    </row>
    <row r="733" s="334" customFormat="1" customHeight="1" spans="1:11">
      <c r="A733" s="353">
        <v>714</v>
      </c>
      <c r="B733" s="376" t="s">
        <v>1561</v>
      </c>
      <c r="C733" s="377"/>
      <c r="D733" s="378"/>
      <c r="E733" s="355">
        <f t="shared" ref="E733:J733" si="102">SUM(E728:E732)</f>
        <v>119</v>
      </c>
      <c r="F733" s="355">
        <f t="shared" si="102"/>
        <v>0</v>
      </c>
      <c r="G733" s="355">
        <f t="shared" si="102"/>
        <v>0</v>
      </c>
      <c r="H733" s="355">
        <f t="shared" si="102"/>
        <v>0</v>
      </c>
      <c r="I733" s="355">
        <f t="shared" si="102"/>
        <v>0</v>
      </c>
      <c r="J733" s="355">
        <f t="shared" si="102"/>
        <v>119</v>
      </c>
      <c r="K733" s="412"/>
    </row>
    <row r="734" s="29" customFormat="1" ht="42" customHeight="1" spans="1:11">
      <c r="A734" s="370">
        <v>715</v>
      </c>
      <c r="B734" s="389" t="s">
        <v>569</v>
      </c>
      <c r="C734" s="79" t="s">
        <v>1562</v>
      </c>
      <c r="D734" s="79" t="s">
        <v>1563</v>
      </c>
      <c r="E734" s="123">
        <v>6</v>
      </c>
      <c r="F734" s="123"/>
      <c r="G734" s="123">
        <v>0</v>
      </c>
      <c r="H734" s="123">
        <v>47.63</v>
      </c>
      <c r="I734" s="123">
        <v>4</v>
      </c>
      <c r="J734" s="372">
        <f t="shared" ref="J734:J742" si="103">E734+I734</f>
        <v>10</v>
      </c>
      <c r="K734" s="79" t="s">
        <v>1564</v>
      </c>
    </row>
    <row r="735" s="29" customFormat="1" customHeight="1" spans="1:11">
      <c r="A735" s="370">
        <v>716</v>
      </c>
      <c r="B735" s="389" t="s">
        <v>569</v>
      </c>
      <c r="C735" s="79" t="s">
        <v>1562</v>
      </c>
      <c r="D735" s="79" t="s">
        <v>1565</v>
      </c>
      <c r="E735" s="123">
        <v>10</v>
      </c>
      <c r="F735" s="123"/>
      <c r="G735" s="123">
        <v>10</v>
      </c>
      <c r="H735" s="123">
        <v>-1.26</v>
      </c>
      <c r="I735" s="123">
        <v>-1.26</v>
      </c>
      <c r="J735" s="372">
        <f t="shared" si="103"/>
        <v>8.74</v>
      </c>
      <c r="K735" s="394" t="s">
        <v>1566</v>
      </c>
    </row>
    <row r="736" s="29" customFormat="1" ht="26" customHeight="1" spans="1:11">
      <c r="A736" s="370">
        <v>717</v>
      </c>
      <c r="B736" s="126" t="s">
        <v>569</v>
      </c>
      <c r="C736" s="371" t="s">
        <v>1562</v>
      </c>
      <c r="D736" s="371" t="s">
        <v>1567</v>
      </c>
      <c r="E736" s="391">
        <v>10</v>
      </c>
      <c r="F736" s="391"/>
      <c r="G736" s="391">
        <v>0</v>
      </c>
      <c r="H736" s="393"/>
      <c r="I736" s="393"/>
      <c r="J736" s="372">
        <f t="shared" si="103"/>
        <v>10</v>
      </c>
      <c r="K736" s="398"/>
    </row>
    <row r="737" s="29" customFormat="1" customHeight="1" spans="1:11">
      <c r="A737" s="370">
        <v>718</v>
      </c>
      <c r="B737" s="389" t="s">
        <v>569</v>
      </c>
      <c r="C737" s="79" t="s">
        <v>1562</v>
      </c>
      <c r="D737" s="79" t="s">
        <v>1568</v>
      </c>
      <c r="E737" s="123">
        <v>400</v>
      </c>
      <c r="F737" s="123"/>
      <c r="G737" s="123">
        <v>170</v>
      </c>
      <c r="H737" s="123">
        <v>293.56</v>
      </c>
      <c r="I737" s="123">
        <v>0</v>
      </c>
      <c r="J737" s="372">
        <f t="shared" si="103"/>
        <v>400</v>
      </c>
      <c r="K737" s="394" t="s">
        <v>1569</v>
      </c>
    </row>
    <row r="738" s="29" customFormat="1" customHeight="1" spans="1:11">
      <c r="A738" s="370">
        <v>719</v>
      </c>
      <c r="B738" s="389" t="s">
        <v>569</v>
      </c>
      <c r="C738" s="79" t="s">
        <v>1562</v>
      </c>
      <c r="D738" s="79" t="s">
        <v>1570</v>
      </c>
      <c r="E738" s="123">
        <v>30</v>
      </c>
      <c r="F738" s="123"/>
      <c r="G738" s="123">
        <v>23</v>
      </c>
      <c r="H738" s="123"/>
      <c r="I738" s="123"/>
      <c r="J738" s="372">
        <f t="shared" si="103"/>
        <v>30</v>
      </c>
      <c r="K738" s="79"/>
    </row>
    <row r="739" s="29" customFormat="1" customHeight="1" spans="1:11">
      <c r="A739" s="370">
        <v>720</v>
      </c>
      <c r="B739" s="389" t="s">
        <v>569</v>
      </c>
      <c r="C739" s="79" t="s">
        <v>1562</v>
      </c>
      <c r="D739" s="79" t="s">
        <v>1571</v>
      </c>
      <c r="E739" s="123">
        <v>316.7</v>
      </c>
      <c r="F739" s="123"/>
      <c r="G739" s="123">
        <v>186.7</v>
      </c>
      <c r="H739" s="123">
        <v>-5.4</v>
      </c>
      <c r="I739" s="123">
        <v>-5.4</v>
      </c>
      <c r="J739" s="372">
        <f t="shared" si="103"/>
        <v>311.3</v>
      </c>
      <c r="K739" s="394" t="s">
        <v>1572</v>
      </c>
    </row>
    <row r="740" s="29" customFormat="1" ht="60" customHeight="1" spans="1:11">
      <c r="A740" s="370">
        <v>721</v>
      </c>
      <c r="B740" s="126" t="s">
        <v>572</v>
      </c>
      <c r="C740" s="79" t="s">
        <v>1562</v>
      </c>
      <c r="D740" s="371" t="s">
        <v>1573</v>
      </c>
      <c r="E740" s="372">
        <v>7</v>
      </c>
      <c r="F740" s="372"/>
      <c r="G740" s="372">
        <v>7</v>
      </c>
      <c r="H740" s="372">
        <v>18.14</v>
      </c>
      <c r="I740" s="372">
        <v>18.14</v>
      </c>
      <c r="J740" s="372">
        <f t="shared" si="103"/>
        <v>25.14</v>
      </c>
      <c r="K740" s="79" t="s">
        <v>1574</v>
      </c>
    </row>
    <row r="741" s="29" customFormat="1" ht="60" customHeight="1" spans="1:11">
      <c r="A741" s="370">
        <v>722</v>
      </c>
      <c r="B741" s="389" t="s">
        <v>569</v>
      </c>
      <c r="C741" s="79" t="s">
        <v>1562</v>
      </c>
      <c r="D741" s="79" t="s">
        <v>1575</v>
      </c>
      <c r="E741" s="123"/>
      <c r="F741" s="123"/>
      <c r="G741" s="123"/>
      <c r="H741" s="123">
        <v>65.97</v>
      </c>
      <c r="I741" s="123">
        <v>0</v>
      </c>
      <c r="J741" s="372">
        <f t="shared" si="103"/>
        <v>0</v>
      </c>
      <c r="K741" s="79" t="s">
        <v>1576</v>
      </c>
    </row>
    <row r="742" s="29" customFormat="1" ht="51" customHeight="1" spans="1:11">
      <c r="A742" s="370">
        <v>723</v>
      </c>
      <c r="B742" s="126" t="s">
        <v>627</v>
      </c>
      <c r="C742" s="79" t="s">
        <v>1562</v>
      </c>
      <c r="D742" s="147" t="s">
        <v>1577</v>
      </c>
      <c r="E742" s="123">
        <v>0</v>
      </c>
      <c r="F742" s="123"/>
      <c r="G742" s="123">
        <v>0</v>
      </c>
      <c r="H742" s="123">
        <v>313.09</v>
      </c>
      <c r="I742" s="123">
        <v>50</v>
      </c>
      <c r="J742" s="372">
        <f t="shared" si="103"/>
        <v>50</v>
      </c>
      <c r="K742" s="79" t="s">
        <v>1578</v>
      </c>
    </row>
    <row r="743" s="334" customFormat="1" customHeight="1" spans="1:11">
      <c r="A743" s="353">
        <v>724</v>
      </c>
      <c r="B743" s="376" t="s">
        <v>1579</v>
      </c>
      <c r="C743" s="377"/>
      <c r="D743" s="378"/>
      <c r="E743" s="355">
        <f t="shared" ref="E743:J743" si="104">SUM(E734:E742)</f>
        <v>779.7</v>
      </c>
      <c r="F743" s="355">
        <f t="shared" si="104"/>
        <v>0</v>
      </c>
      <c r="G743" s="355">
        <f t="shared" si="104"/>
        <v>396.7</v>
      </c>
      <c r="H743" s="355">
        <f t="shared" si="104"/>
        <v>731.73</v>
      </c>
      <c r="I743" s="355">
        <f t="shared" si="104"/>
        <v>65.48</v>
      </c>
      <c r="J743" s="355">
        <f t="shared" si="104"/>
        <v>845.18</v>
      </c>
      <c r="K743" s="412"/>
    </row>
    <row r="744" s="29" customFormat="1" ht="26" customHeight="1" spans="1:11">
      <c r="A744" s="370">
        <v>725</v>
      </c>
      <c r="B744" s="126" t="s">
        <v>569</v>
      </c>
      <c r="C744" s="371" t="s">
        <v>1580</v>
      </c>
      <c r="D744" s="371" t="s">
        <v>1581</v>
      </c>
      <c r="E744" s="391">
        <v>2</v>
      </c>
      <c r="F744" s="391"/>
      <c r="G744" s="391">
        <v>2</v>
      </c>
      <c r="H744" s="393"/>
      <c r="I744" s="393"/>
      <c r="J744" s="372">
        <f t="shared" ref="J744:J749" si="105">E744+I744</f>
        <v>2</v>
      </c>
      <c r="K744" s="398"/>
    </row>
    <row r="745" s="334" customFormat="1" customHeight="1" spans="1:11">
      <c r="A745" s="353">
        <v>726</v>
      </c>
      <c r="B745" s="376" t="s">
        <v>1582</v>
      </c>
      <c r="C745" s="377"/>
      <c r="D745" s="378"/>
      <c r="E745" s="355">
        <f t="shared" ref="E745:J745" si="106">SUM(E744:E744)</f>
        <v>2</v>
      </c>
      <c r="F745" s="355">
        <f t="shared" si="106"/>
        <v>0</v>
      </c>
      <c r="G745" s="355">
        <f t="shared" si="106"/>
        <v>2</v>
      </c>
      <c r="H745" s="355">
        <f t="shared" si="106"/>
        <v>0</v>
      </c>
      <c r="I745" s="355">
        <f t="shared" si="106"/>
        <v>0</v>
      </c>
      <c r="J745" s="355">
        <f t="shared" si="106"/>
        <v>2</v>
      </c>
      <c r="K745" s="412"/>
    </row>
    <row r="746" s="29" customFormat="1" customHeight="1" spans="1:11">
      <c r="A746" s="370">
        <v>727</v>
      </c>
      <c r="B746" s="389" t="s">
        <v>569</v>
      </c>
      <c r="C746" s="79" t="s">
        <v>1583</v>
      </c>
      <c r="D746" s="79" t="s">
        <v>1584</v>
      </c>
      <c r="E746" s="123">
        <v>27.39</v>
      </c>
      <c r="F746" s="123"/>
      <c r="G746" s="123">
        <v>13.76</v>
      </c>
      <c r="H746" s="123">
        <v>6.85</v>
      </c>
      <c r="I746" s="123">
        <v>0</v>
      </c>
      <c r="J746" s="372">
        <f t="shared" si="105"/>
        <v>27.39</v>
      </c>
      <c r="K746" s="394" t="s">
        <v>1585</v>
      </c>
    </row>
    <row r="747" s="334" customFormat="1" customHeight="1" spans="1:11">
      <c r="A747" s="353">
        <v>728</v>
      </c>
      <c r="B747" s="376" t="s">
        <v>1586</v>
      </c>
      <c r="C747" s="377"/>
      <c r="D747" s="378"/>
      <c r="E747" s="355">
        <f t="shared" ref="E747:J747" si="107">SUM(E746:E746)</f>
        <v>27.39</v>
      </c>
      <c r="F747" s="355">
        <f t="shared" si="107"/>
        <v>0</v>
      </c>
      <c r="G747" s="355">
        <f t="shared" si="107"/>
        <v>13.76</v>
      </c>
      <c r="H747" s="355">
        <f t="shared" si="107"/>
        <v>6.85</v>
      </c>
      <c r="I747" s="355">
        <f t="shared" si="107"/>
        <v>0</v>
      </c>
      <c r="J747" s="355">
        <f t="shared" si="107"/>
        <v>27.39</v>
      </c>
      <c r="K747" s="412"/>
    </row>
    <row r="748" s="29" customFormat="1" ht="26" customHeight="1" spans="1:11">
      <c r="A748" s="370">
        <v>729</v>
      </c>
      <c r="B748" s="126" t="s">
        <v>569</v>
      </c>
      <c r="C748" s="371" t="s">
        <v>1587</v>
      </c>
      <c r="D748" s="371" t="s">
        <v>1588</v>
      </c>
      <c r="E748" s="391">
        <v>5</v>
      </c>
      <c r="F748" s="391"/>
      <c r="G748" s="391">
        <v>3</v>
      </c>
      <c r="H748" s="393"/>
      <c r="I748" s="393"/>
      <c r="J748" s="372">
        <f t="shared" si="105"/>
        <v>5</v>
      </c>
      <c r="K748" s="398"/>
    </row>
    <row r="749" s="29" customFormat="1" ht="26" customHeight="1" spans="1:11">
      <c r="A749" s="370">
        <v>730</v>
      </c>
      <c r="B749" s="126" t="s">
        <v>569</v>
      </c>
      <c r="C749" s="371" t="s">
        <v>1587</v>
      </c>
      <c r="D749" s="371" t="s">
        <v>1589</v>
      </c>
      <c r="E749" s="391">
        <v>2</v>
      </c>
      <c r="F749" s="391"/>
      <c r="G749" s="391">
        <v>0</v>
      </c>
      <c r="H749" s="393"/>
      <c r="I749" s="393"/>
      <c r="J749" s="372">
        <f t="shared" si="105"/>
        <v>2</v>
      </c>
      <c r="K749" s="398"/>
    </row>
    <row r="750" s="334" customFormat="1" customHeight="1" spans="1:11">
      <c r="A750" s="353">
        <v>731</v>
      </c>
      <c r="B750" s="376" t="s">
        <v>1590</v>
      </c>
      <c r="C750" s="377"/>
      <c r="D750" s="378"/>
      <c r="E750" s="355">
        <f t="shared" ref="E750:J750" si="108">SUM(E748:E749)</f>
        <v>7</v>
      </c>
      <c r="F750" s="355">
        <f t="shared" si="108"/>
        <v>0</v>
      </c>
      <c r="G750" s="355">
        <f t="shared" si="108"/>
        <v>3</v>
      </c>
      <c r="H750" s="355">
        <f t="shared" si="108"/>
        <v>0</v>
      </c>
      <c r="I750" s="355">
        <f t="shared" si="108"/>
        <v>0</v>
      </c>
      <c r="J750" s="355">
        <f t="shared" si="108"/>
        <v>7</v>
      </c>
      <c r="K750" s="412"/>
    </row>
    <row r="751" s="29" customFormat="1" ht="26" customHeight="1" spans="1:11">
      <c r="A751" s="370">
        <v>732</v>
      </c>
      <c r="B751" s="126" t="s">
        <v>572</v>
      </c>
      <c r="C751" s="371" t="s">
        <v>1591</v>
      </c>
      <c r="D751" s="371" t="s">
        <v>1592</v>
      </c>
      <c r="E751" s="391">
        <v>3.51</v>
      </c>
      <c r="F751" s="391"/>
      <c r="G751" s="391">
        <v>0.0107969999999997</v>
      </c>
      <c r="H751" s="393">
        <v>0</v>
      </c>
      <c r="I751" s="393">
        <v>0</v>
      </c>
      <c r="J751" s="372">
        <f t="shared" ref="J751:J761" si="109">E751+I751</f>
        <v>3.51</v>
      </c>
      <c r="K751" s="398"/>
    </row>
    <row r="752" s="29" customFormat="1" ht="26" customHeight="1" spans="1:11">
      <c r="A752" s="370">
        <v>733</v>
      </c>
      <c r="B752" s="126" t="s">
        <v>580</v>
      </c>
      <c r="C752" s="371" t="s">
        <v>1591</v>
      </c>
      <c r="D752" s="371" t="s">
        <v>1593</v>
      </c>
      <c r="E752" s="391">
        <v>15</v>
      </c>
      <c r="F752" s="391"/>
      <c r="G752" s="391">
        <v>0</v>
      </c>
      <c r="H752" s="393">
        <v>0</v>
      </c>
      <c r="I752" s="393">
        <v>0</v>
      </c>
      <c r="J752" s="372">
        <f t="shared" si="109"/>
        <v>15</v>
      </c>
      <c r="K752" s="398"/>
    </row>
    <row r="753" s="29" customFormat="1" ht="26" customHeight="1" spans="1:11">
      <c r="A753" s="370">
        <v>734</v>
      </c>
      <c r="B753" s="126" t="s">
        <v>580</v>
      </c>
      <c r="C753" s="371" t="s">
        <v>1591</v>
      </c>
      <c r="D753" s="371" t="s">
        <v>1594</v>
      </c>
      <c r="E753" s="391">
        <v>10</v>
      </c>
      <c r="F753" s="391"/>
      <c r="G753" s="391">
        <v>10</v>
      </c>
      <c r="H753" s="393">
        <v>-10</v>
      </c>
      <c r="I753" s="393">
        <v>-10</v>
      </c>
      <c r="J753" s="372">
        <f t="shared" si="109"/>
        <v>0</v>
      </c>
      <c r="K753" s="398" t="s">
        <v>1595</v>
      </c>
    </row>
    <row r="754" s="29" customFormat="1" ht="26" customHeight="1" spans="1:11">
      <c r="A754" s="370">
        <v>735</v>
      </c>
      <c r="B754" s="126" t="s">
        <v>580</v>
      </c>
      <c r="C754" s="371" t="s">
        <v>1591</v>
      </c>
      <c r="D754" s="371" t="s">
        <v>1596</v>
      </c>
      <c r="E754" s="391">
        <v>38</v>
      </c>
      <c r="F754" s="391"/>
      <c r="G754" s="391">
        <v>38</v>
      </c>
      <c r="H754" s="393">
        <v>-38</v>
      </c>
      <c r="I754" s="393">
        <v>-38</v>
      </c>
      <c r="J754" s="372">
        <f t="shared" si="109"/>
        <v>0</v>
      </c>
      <c r="K754" s="398" t="s">
        <v>1597</v>
      </c>
    </row>
    <row r="755" s="29" customFormat="1" ht="26" customHeight="1" spans="1:11">
      <c r="A755" s="370">
        <v>736</v>
      </c>
      <c r="B755" s="126" t="s">
        <v>580</v>
      </c>
      <c r="C755" s="371" t="s">
        <v>1591</v>
      </c>
      <c r="D755" s="371" t="s">
        <v>1598</v>
      </c>
      <c r="E755" s="391">
        <v>10.8</v>
      </c>
      <c r="F755" s="391"/>
      <c r="G755" s="391">
        <v>10.8</v>
      </c>
      <c r="H755" s="393">
        <v>0</v>
      </c>
      <c r="I755" s="393">
        <v>-5.8</v>
      </c>
      <c r="J755" s="372">
        <f t="shared" si="109"/>
        <v>5</v>
      </c>
      <c r="K755" s="398" t="s">
        <v>1599</v>
      </c>
    </row>
    <row r="756" s="29" customFormat="1" ht="26" customHeight="1" spans="1:11">
      <c r="A756" s="370">
        <v>737</v>
      </c>
      <c r="B756" s="126" t="s">
        <v>580</v>
      </c>
      <c r="C756" s="371" t="s">
        <v>1591</v>
      </c>
      <c r="D756" s="371" t="s">
        <v>1600</v>
      </c>
      <c r="E756" s="391">
        <v>47.78</v>
      </c>
      <c r="F756" s="391"/>
      <c r="G756" s="391">
        <v>0</v>
      </c>
      <c r="H756" s="393">
        <v>0</v>
      </c>
      <c r="I756" s="393">
        <v>0</v>
      </c>
      <c r="J756" s="372">
        <f t="shared" si="109"/>
        <v>47.78</v>
      </c>
      <c r="K756" s="398"/>
    </row>
    <row r="757" s="29" customFormat="1" ht="26" customHeight="1" spans="1:11">
      <c r="A757" s="370">
        <v>738</v>
      </c>
      <c r="B757" s="126" t="s">
        <v>580</v>
      </c>
      <c r="C757" s="371" t="s">
        <v>1591</v>
      </c>
      <c r="D757" s="371" t="s">
        <v>1601</v>
      </c>
      <c r="E757" s="391">
        <v>9</v>
      </c>
      <c r="F757" s="391"/>
      <c r="G757" s="391">
        <v>9</v>
      </c>
      <c r="H757" s="393">
        <v>-9</v>
      </c>
      <c r="I757" s="393">
        <v>-9</v>
      </c>
      <c r="J757" s="372">
        <f t="shared" si="109"/>
        <v>0</v>
      </c>
      <c r="K757" s="398" t="s">
        <v>1602</v>
      </c>
    </row>
    <row r="758" s="29" customFormat="1" ht="26" customHeight="1" spans="1:11">
      <c r="A758" s="370">
        <v>739</v>
      </c>
      <c r="B758" s="126" t="s">
        <v>580</v>
      </c>
      <c r="C758" s="371" t="s">
        <v>1591</v>
      </c>
      <c r="D758" s="371" t="s">
        <v>1603</v>
      </c>
      <c r="E758" s="391">
        <v>126</v>
      </c>
      <c r="F758" s="391"/>
      <c r="G758" s="391">
        <f>126-62.2338</f>
        <v>63.7662</v>
      </c>
      <c r="H758" s="393">
        <v>0</v>
      </c>
      <c r="I758" s="393">
        <v>0</v>
      </c>
      <c r="J758" s="372">
        <f t="shared" si="109"/>
        <v>126</v>
      </c>
      <c r="K758" s="398"/>
    </row>
    <row r="759" s="29" customFormat="1" ht="26" customHeight="1" spans="1:11">
      <c r="A759" s="370">
        <v>740</v>
      </c>
      <c r="B759" s="126" t="s">
        <v>580</v>
      </c>
      <c r="C759" s="371" t="s">
        <v>1591</v>
      </c>
      <c r="D759" s="371" t="s">
        <v>1604</v>
      </c>
      <c r="E759" s="391">
        <v>9</v>
      </c>
      <c r="F759" s="391"/>
      <c r="G759" s="391">
        <v>9</v>
      </c>
      <c r="H759" s="393">
        <v>0</v>
      </c>
      <c r="I759" s="393">
        <v>0</v>
      </c>
      <c r="J759" s="372">
        <f t="shared" si="109"/>
        <v>9</v>
      </c>
      <c r="K759" s="398"/>
    </row>
    <row r="760" s="29" customFormat="1" ht="26" customHeight="1" spans="1:11">
      <c r="A760" s="370">
        <v>741</v>
      </c>
      <c r="B760" s="126" t="s">
        <v>580</v>
      </c>
      <c r="C760" s="371" t="s">
        <v>1591</v>
      </c>
      <c r="D760" s="371" t="s">
        <v>1605</v>
      </c>
      <c r="E760" s="391">
        <v>13.5</v>
      </c>
      <c r="F760" s="391"/>
      <c r="G760" s="391">
        <v>13.5</v>
      </c>
      <c r="H760" s="393">
        <v>0</v>
      </c>
      <c r="I760" s="393">
        <v>0</v>
      </c>
      <c r="J760" s="372">
        <f t="shared" si="109"/>
        <v>13.5</v>
      </c>
      <c r="K760" s="398"/>
    </row>
    <row r="761" s="29" customFormat="1" customHeight="1" spans="1:11">
      <c r="A761" s="370">
        <v>742</v>
      </c>
      <c r="B761" s="126" t="s">
        <v>580</v>
      </c>
      <c r="C761" s="404" t="s">
        <v>1591</v>
      </c>
      <c r="D761" s="404" t="s">
        <v>1606</v>
      </c>
      <c r="E761" s="372">
        <v>20.45</v>
      </c>
      <c r="F761" s="372"/>
      <c r="G761" s="372">
        <v>0</v>
      </c>
      <c r="H761" s="372">
        <v>69.82</v>
      </c>
      <c r="I761" s="372">
        <v>0</v>
      </c>
      <c r="J761" s="372">
        <f t="shared" si="109"/>
        <v>20.45</v>
      </c>
      <c r="K761" s="394" t="s">
        <v>1607</v>
      </c>
    </row>
    <row r="762" s="334" customFormat="1" customHeight="1" spans="1:11">
      <c r="A762" s="353">
        <v>743</v>
      </c>
      <c r="B762" s="376" t="s">
        <v>1608</v>
      </c>
      <c r="C762" s="377"/>
      <c r="D762" s="378"/>
      <c r="E762" s="355">
        <f t="shared" ref="E762:J762" si="110">SUM(E751:E761)</f>
        <v>303.04</v>
      </c>
      <c r="F762" s="355">
        <f t="shared" si="110"/>
        <v>0</v>
      </c>
      <c r="G762" s="355">
        <f t="shared" si="110"/>
        <v>154.076997</v>
      </c>
      <c r="H762" s="355">
        <f t="shared" si="110"/>
        <v>12.82</v>
      </c>
      <c r="I762" s="355">
        <f t="shared" si="110"/>
        <v>-62.8</v>
      </c>
      <c r="J762" s="355">
        <f t="shared" si="110"/>
        <v>240.24</v>
      </c>
      <c r="K762" s="412"/>
    </row>
    <row r="763" s="29" customFormat="1" ht="26" customHeight="1" spans="1:11">
      <c r="A763" s="370">
        <v>744</v>
      </c>
      <c r="B763" s="126" t="s">
        <v>580</v>
      </c>
      <c r="C763" s="371" t="s">
        <v>1609</v>
      </c>
      <c r="D763" s="371" t="s">
        <v>1610</v>
      </c>
      <c r="E763" s="391">
        <v>27</v>
      </c>
      <c r="F763" s="391"/>
      <c r="G763" s="391">
        <v>12</v>
      </c>
      <c r="H763" s="393">
        <v>0</v>
      </c>
      <c r="I763" s="393">
        <v>0</v>
      </c>
      <c r="J763" s="372">
        <f t="shared" ref="J763:J768" si="111">E763+I763</f>
        <v>27</v>
      </c>
      <c r="K763" s="398"/>
    </row>
    <row r="764" s="29" customFormat="1" ht="26" customHeight="1" spans="1:11">
      <c r="A764" s="370">
        <v>745</v>
      </c>
      <c r="B764" s="126" t="s">
        <v>580</v>
      </c>
      <c r="C764" s="371" t="s">
        <v>1609</v>
      </c>
      <c r="D764" s="371" t="s">
        <v>1611</v>
      </c>
      <c r="E764" s="391">
        <v>27</v>
      </c>
      <c r="F764" s="391"/>
      <c r="G764" s="391">
        <v>14</v>
      </c>
      <c r="H764" s="393">
        <v>0</v>
      </c>
      <c r="I764" s="393">
        <v>0</v>
      </c>
      <c r="J764" s="372">
        <f t="shared" si="111"/>
        <v>27</v>
      </c>
      <c r="K764" s="398"/>
    </row>
    <row r="765" s="334" customFormat="1" customHeight="1" spans="1:11">
      <c r="A765" s="353">
        <v>746</v>
      </c>
      <c r="B765" s="376" t="s">
        <v>1612</v>
      </c>
      <c r="C765" s="377"/>
      <c r="D765" s="378"/>
      <c r="E765" s="355">
        <f t="shared" ref="E765:J765" si="112">SUM(E763:E764)</f>
        <v>54</v>
      </c>
      <c r="F765" s="355">
        <f t="shared" si="112"/>
        <v>0</v>
      </c>
      <c r="G765" s="355">
        <f t="shared" si="112"/>
        <v>26</v>
      </c>
      <c r="H765" s="355">
        <f t="shared" si="112"/>
        <v>0</v>
      </c>
      <c r="I765" s="355">
        <f t="shared" si="112"/>
        <v>0</v>
      </c>
      <c r="J765" s="355">
        <f t="shared" si="112"/>
        <v>54</v>
      </c>
      <c r="K765" s="412"/>
    </row>
    <row r="766" s="29" customFormat="1" ht="26" customHeight="1" spans="1:11">
      <c r="A766" s="370">
        <v>747</v>
      </c>
      <c r="B766" s="126" t="s">
        <v>569</v>
      </c>
      <c r="C766" s="371" t="s">
        <v>1613</v>
      </c>
      <c r="D766" s="371" t="s">
        <v>1614</v>
      </c>
      <c r="E766" s="391">
        <v>2</v>
      </c>
      <c r="F766" s="391"/>
      <c r="G766" s="391">
        <v>0</v>
      </c>
      <c r="H766" s="393"/>
      <c r="I766" s="393"/>
      <c r="J766" s="372">
        <f t="shared" si="111"/>
        <v>2</v>
      </c>
      <c r="K766" s="398"/>
    </row>
    <row r="767" s="29" customFormat="1" ht="26" customHeight="1" spans="1:11">
      <c r="A767" s="370">
        <v>748</v>
      </c>
      <c r="B767" s="126" t="s">
        <v>569</v>
      </c>
      <c r="C767" s="371" t="s">
        <v>1613</v>
      </c>
      <c r="D767" s="371" t="s">
        <v>1615</v>
      </c>
      <c r="E767" s="391">
        <v>5</v>
      </c>
      <c r="F767" s="391"/>
      <c r="G767" s="391">
        <v>5</v>
      </c>
      <c r="H767" s="393"/>
      <c r="I767" s="393"/>
      <c r="J767" s="372">
        <f t="shared" si="111"/>
        <v>5</v>
      </c>
      <c r="K767" s="398"/>
    </row>
    <row r="768" s="29" customFormat="1" ht="26" customHeight="1" spans="1:11">
      <c r="A768" s="370">
        <v>749</v>
      </c>
      <c r="B768" s="126" t="s">
        <v>569</v>
      </c>
      <c r="C768" s="371" t="s">
        <v>1613</v>
      </c>
      <c r="D768" s="371" t="s">
        <v>1616</v>
      </c>
      <c r="E768" s="391">
        <v>1</v>
      </c>
      <c r="F768" s="391"/>
      <c r="G768" s="391">
        <v>0</v>
      </c>
      <c r="H768" s="393"/>
      <c r="I768" s="393"/>
      <c r="J768" s="372">
        <f t="shared" si="111"/>
        <v>1</v>
      </c>
      <c r="K768" s="398"/>
    </row>
    <row r="769" s="334" customFormat="1" customHeight="1" spans="1:11">
      <c r="A769" s="353">
        <v>750</v>
      </c>
      <c r="B769" s="376" t="s">
        <v>1617</v>
      </c>
      <c r="C769" s="377"/>
      <c r="D769" s="378"/>
      <c r="E769" s="355">
        <f t="shared" ref="E769:J769" si="113">SUM(E766:E768)</f>
        <v>8</v>
      </c>
      <c r="F769" s="355">
        <f t="shared" si="113"/>
        <v>0</v>
      </c>
      <c r="G769" s="355">
        <f t="shared" si="113"/>
        <v>5</v>
      </c>
      <c r="H769" s="355">
        <f t="shared" si="113"/>
        <v>0</v>
      </c>
      <c r="I769" s="355">
        <f t="shared" si="113"/>
        <v>0</v>
      </c>
      <c r="J769" s="355">
        <f t="shared" si="113"/>
        <v>8</v>
      </c>
      <c r="K769" s="412"/>
    </row>
    <row r="770" s="29" customFormat="1" ht="26" customHeight="1" spans="1:11">
      <c r="A770" s="370">
        <v>751</v>
      </c>
      <c r="B770" s="126" t="s">
        <v>569</v>
      </c>
      <c r="C770" s="371" t="s">
        <v>1618</v>
      </c>
      <c r="D770" s="371" t="s">
        <v>1619</v>
      </c>
      <c r="E770" s="391">
        <v>40</v>
      </c>
      <c r="F770" s="391"/>
      <c r="G770" s="391">
        <v>40</v>
      </c>
      <c r="H770" s="393"/>
      <c r="I770" s="393"/>
      <c r="J770" s="372">
        <f t="shared" ref="J770:J777" si="114">E770+I770</f>
        <v>40</v>
      </c>
      <c r="K770" s="398"/>
    </row>
    <row r="771" s="29" customFormat="1" ht="26" customHeight="1" spans="1:11">
      <c r="A771" s="370">
        <v>752</v>
      </c>
      <c r="B771" s="126" t="s">
        <v>569</v>
      </c>
      <c r="C771" s="371" t="s">
        <v>1618</v>
      </c>
      <c r="D771" s="371" t="s">
        <v>1620</v>
      </c>
      <c r="E771" s="391">
        <v>976</v>
      </c>
      <c r="F771" s="391"/>
      <c r="G771" s="391">
        <v>444.8</v>
      </c>
      <c r="H771" s="393"/>
      <c r="I771" s="393"/>
      <c r="J771" s="372">
        <f t="shared" si="114"/>
        <v>976</v>
      </c>
      <c r="K771" s="398"/>
    </row>
    <row r="772" s="29" customFormat="1" ht="26" customHeight="1" spans="1:11">
      <c r="A772" s="370">
        <v>753</v>
      </c>
      <c r="B772" s="126" t="s">
        <v>569</v>
      </c>
      <c r="C772" s="371" t="s">
        <v>1618</v>
      </c>
      <c r="D772" s="371" t="s">
        <v>1621</v>
      </c>
      <c r="E772" s="391">
        <v>56.4</v>
      </c>
      <c r="F772" s="391"/>
      <c r="G772" s="391">
        <v>33.61</v>
      </c>
      <c r="H772" s="393"/>
      <c r="I772" s="393"/>
      <c r="J772" s="372">
        <f t="shared" si="114"/>
        <v>56.4</v>
      </c>
      <c r="K772" s="398"/>
    </row>
    <row r="773" s="29" customFormat="1" ht="26" customHeight="1" spans="1:11">
      <c r="A773" s="370">
        <v>754</v>
      </c>
      <c r="B773" s="126" t="s">
        <v>569</v>
      </c>
      <c r="C773" s="371" t="s">
        <v>1618</v>
      </c>
      <c r="D773" s="371" t="s">
        <v>1622</v>
      </c>
      <c r="E773" s="391">
        <v>200</v>
      </c>
      <c r="F773" s="391"/>
      <c r="G773" s="391">
        <v>110</v>
      </c>
      <c r="H773" s="393"/>
      <c r="I773" s="393"/>
      <c r="J773" s="372">
        <f t="shared" si="114"/>
        <v>200</v>
      </c>
      <c r="K773" s="398"/>
    </row>
    <row r="774" s="29" customFormat="1" ht="26" customHeight="1" spans="1:11">
      <c r="A774" s="370">
        <v>755</v>
      </c>
      <c r="B774" s="126" t="s">
        <v>569</v>
      </c>
      <c r="C774" s="371" t="s">
        <v>1618</v>
      </c>
      <c r="D774" s="371" t="s">
        <v>1623</v>
      </c>
      <c r="E774" s="391">
        <v>27.84</v>
      </c>
      <c r="F774" s="391"/>
      <c r="G774" s="391">
        <v>20.92</v>
      </c>
      <c r="H774" s="393">
        <v>13.92</v>
      </c>
      <c r="I774" s="393">
        <v>13.92</v>
      </c>
      <c r="J774" s="372">
        <f t="shared" si="114"/>
        <v>41.76</v>
      </c>
      <c r="K774" s="398" t="s">
        <v>1624</v>
      </c>
    </row>
    <row r="775" s="29" customFormat="1" ht="26" customHeight="1" spans="1:11">
      <c r="A775" s="370">
        <v>756</v>
      </c>
      <c r="B775" s="126" t="s">
        <v>569</v>
      </c>
      <c r="C775" s="371" t="s">
        <v>1618</v>
      </c>
      <c r="D775" s="371" t="s">
        <v>1625</v>
      </c>
      <c r="E775" s="391">
        <v>20</v>
      </c>
      <c r="F775" s="391"/>
      <c r="G775" s="391">
        <v>20</v>
      </c>
      <c r="H775" s="393"/>
      <c r="I775" s="393"/>
      <c r="J775" s="372">
        <f t="shared" si="114"/>
        <v>20</v>
      </c>
      <c r="K775" s="398"/>
    </row>
    <row r="776" s="29" customFormat="1" ht="26" customHeight="1" spans="1:11">
      <c r="A776" s="370">
        <v>757</v>
      </c>
      <c r="B776" s="126" t="s">
        <v>569</v>
      </c>
      <c r="C776" s="371" t="s">
        <v>1618</v>
      </c>
      <c r="D776" s="371" t="s">
        <v>1626</v>
      </c>
      <c r="E776" s="391"/>
      <c r="F776" s="391"/>
      <c r="G776" s="391"/>
      <c r="H776" s="393">
        <v>4.98</v>
      </c>
      <c r="I776" s="393">
        <v>4.98</v>
      </c>
      <c r="J776" s="372">
        <f t="shared" si="114"/>
        <v>4.98</v>
      </c>
      <c r="K776" s="398" t="s">
        <v>1627</v>
      </c>
    </row>
    <row r="777" s="29" customFormat="1" ht="26" customHeight="1" spans="1:11">
      <c r="A777" s="370">
        <v>758</v>
      </c>
      <c r="B777" s="126" t="s">
        <v>569</v>
      </c>
      <c r="C777" s="371" t="s">
        <v>1618</v>
      </c>
      <c r="D777" s="371" t="s">
        <v>1628</v>
      </c>
      <c r="E777" s="391"/>
      <c r="F777" s="391"/>
      <c r="G777" s="391"/>
      <c r="H777" s="393">
        <f>98/2</f>
        <v>49</v>
      </c>
      <c r="I777" s="393">
        <v>0</v>
      </c>
      <c r="J777" s="372">
        <f t="shared" si="114"/>
        <v>0</v>
      </c>
      <c r="K777" s="398" t="s">
        <v>1629</v>
      </c>
    </row>
    <row r="778" s="334" customFormat="1" customHeight="1" spans="1:11">
      <c r="A778" s="353">
        <v>759</v>
      </c>
      <c r="B778" s="376" t="s">
        <v>1630</v>
      </c>
      <c r="C778" s="377"/>
      <c r="D778" s="378"/>
      <c r="E778" s="355">
        <f t="shared" ref="E778:J778" si="115">SUM(E770:E777)</f>
        <v>1320.24</v>
      </c>
      <c r="F778" s="355">
        <f t="shared" si="115"/>
        <v>0</v>
      </c>
      <c r="G778" s="355">
        <f t="shared" si="115"/>
        <v>669.33</v>
      </c>
      <c r="H778" s="355">
        <f t="shared" si="115"/>
        <v>67.9</v>
      </c>
      <c r="I778" s="355">
        <f t="shared" si="115"/>
        <v>18.9</v>
      </c>
      <c r="J778" s="355">
        <f t="shared" si="115"/>
        <v>1339.14</v>
      </c>
      <c r="K778" s="412"/>
    </row>
    <row r="779" s="29" customFormat="1" ht="26" customHeight="1" spans="1:11">
      <c r="A779" s="370">
        <v>760</v>
      </c>
      <c r="B779" s="126" t="s">
        <v>569</v>
      </c>
      <c r="C779" s="371" t="s">
        <v>1631</v>
      </c>
      <c r="D779" s="371" t="s">
        <v>1632</v>
      </c>
      <c r="E779" s="391">
        <v>33</v>
      </c>
      <c r="F779" s="391"/>
      <c r="G779" s="391">
        <v>10</v>
      </c>
      <c r="H779" s="393"/>
      <c r="I779" s="393"/>
      <c r="J779" s="372">
        <f t="shared" ref="J779:J782" si="116">E779+I779</f>
        <v>33</v>
      </c>
      <c r="K779" s="398"/>
    </row>
    <row r="780" s="29" customFormat="1" customHeight="1" spans="1:11">
      <c r="A780" s="370">
        <v>761</v>
      </c>
      <c r="B780" s="389" t="s">
        <v>569</v>
      </c>
      <c r="C780" s="79" t="s">
        <v>1631</v>
      </c>
      <c r="D780" s="79" t="s">
        <v>1633</v>
      </c>
      <c r="E780" s="123">
        <v>9.84</v>
      </c>
      <c r="F780" s="123"/>
      <c r="G780" s="123">
        <v>5.94</v>
      </c>
      <c r="H780" s="123">
        <v>-3.99</v>
      </c>
      <c r="I780" s="123">
        <v>-3.99</v>
      </c>
      <c r="J780" s="372">
        <f t="shared" si="116"/>
        <v>5.85</v>
      </c>
      <c r="K780" s="394" t="s">
        <v>1634</v>
      </c>
    </row>
    <row r="781" s="29" customFormat="1" ht="50.1" customHeight="1" spans="1:11">
      <c r="A781" s="370">
        <v>762</v>
      </c>
      <c r="B781" s="389" t="s">
        <v>569</v>
      </c>
      <c r="C781" s="79" t="s">
        <v>1631</v>
      </c>
      <c r="D781" s="79" t="s">
        <v>1635</v>
      </c>
      <c r="E781" s="123">
        <v>30</v>
      </c>
      <c r="F781" s="123"/>
      <c r="G781" s="123">
        <v>11.89</v>
      </c>
      <c r="H781" s="123">
        <v>8</v>
      </c>
      <c r="I781" s="123">
        <v>0</v>
      </c>
      <c r="J781" s="372">
        <f t="shared" si="116"/>
        <v>30</v>
      </c>
      <c r="K781" s="394" t="s">
        <v>1636</v>
      </c>
    </row>
    <row r="782" s="29" customFormat="1" ht="26" customHeight="1" spans="1:11">
      <c r="A782" s="370">
        <v>763</v>
      </c>
      <c r="B782" s="126" t="s">
        <v>569</v>
      </c>
      <c r="C782" s="371" t="s">
        <v>1631</v>
      </c>
      <c r="D782" s="371" t="s">
        <v>1637</v>
      </c>
      <c r="E782" s="391">
        <v>6.413088</v>
      </c>
      <c r="F782" s="391"/>
      <c r="G782" s="391">
        <v>2.95</v>
      </c>
      <c r="H782" s="393"/>
      <c r="I782" s="393"/>
      <c r="J782" s="372">
        <f t="shared" si="116"/>
        <v>6.413088</v>
      </c>
      <c r="K782" s="398"/>
    </row>
    <row r="783" s="334" customFormat="1" customHeight="1" spans="1:11">
      <c r="A783" s="353">
        <v>764</v>
      </c>
      <c r="B783" s="376" t="s">
        <v>1638</v>
      </c>
      <c r="C783" s="377"/>
      <c r="D783" s="378"/>
      <c r="E783" s="355">
        <f t="shared" ref="E783:J783" si="117">SUM(E779:E782)</f>
        <v>79.253088</v>
      </c>
      <c r="F783" s="355">
        <f t="shared" si="117"/>
        <v>0</v>
      </c>
      <c r="G783" s="355">
        <f t="shared" si="117"/>
        <v>30.78</v>
      </c>
      <c r="H783" s="355">
        <f t="shared" si="117"/>
        <v>4.01</v>
      </c>
      <c r="I783" s="355">
        <f t="shared" si="117"/>
        <v>-3.99</v>
      </c>
      <c r="J783" s="355">
        <f t="shared" si="117"/>
        <v>75.263088</v>
      </c>
      <c r="K783" s="412"/>
    </row>
    <row r="784" s="29" customFormat="1" ht="26" customHeight="1" spans="1:11">
      <c r="A784" s="370">
        <v>765</v>
      </c>
      <c r="B784" s="126" t="s">
        <v>576</v>
      </c>
      <c r="C784" s="371" t="s">
        <v>1639</v>
      </c>
      <c r="D784" s="371" t="s">
        <v>1640</v>
      </c>
      <c r="E784" s="391">
        <v>11481</v>
      </c>
      <c r="F784" s="391"/>
      <c r="G784" s="391">
        <v>9901</v>
      </c>
      <c r="H784" s="393">
        <v>1034</v>
      </c>
      <c r="I784" s="393">
        <v>0</v>
      </c>
      <c r="J784" s="372">
        <f t="shared" ref="J784:J788" si="118">E784+I784</f>
        <v>11481</v>
      </c>
      <c r="K784" s="398"/>
    </row>
    <row r="785" s="29" customFormat="1" customHeight="1" spans="1:11">
      <c r="A785" s="370">
        <v>766</v>
      </c>
      <c r="B785" s="126" t="s">
        <v>576</v>
      </c>
      <c r="C785" s="79" t="s">
        <v>1639</v>
      </c>
      <c r="D785" s="79" t="s">
        <v>1641</v>
      </c>
      <c r="E785" s="391">
        <v>4.32</v>
      </c>
      <c r="F785" s="391"/>
      <c r="G785" s="391">
        <v>1.8</v>
      </c>
      <c r="H785" s="391"/>
      <c r="I785" s="391"/>
      <c r="J785" s="391">
        <f t="shared" si="118"/>
        <v>4.32</v>
      </c>
      <c r="K785" s="79" t="s">
        <v>1642</v>
      </c>
    </row>
    <row r="786" s="29" customFormat="1" ht="26" customHeight="1" spans="1:11">
      <c r="A786" s="370">
        <v>767</v>
      </c>
      <c r="B786" s="126" t="s">
        <v>576</v>
      </c>
      <c r="C786" s="371" t="s">
        <v>1643</v>
      </c>
      <c r="D786" s="371" t="s">
        <v>1644</v>
      </c>
      <c r="E786" s="391">
        <v>873.06</v>
      </c>
      <c r="F786" s="391"/>
      <c r="G786" s="391">
        <v>873.06</v>
      </c>
      <c r="H786" s="393"/>
      <c r="I786" s="393"/>
      <c r="J786" s="372">
        <f t="shared" si="118"/>
        <v>873.06</v>
      </c>
      <c r="K786" s="398" t="s">
        <v>1645</v>
      </c>
    </row>
    <row r="787" s="29" customFormat="1" customHeight="1" spans="1:11">
      <c r="A787" s="370">
        <v>768</v>
      </c>
      <c r="B787" s="126" t="s">
        <v>576</v>
      </c>
      <c r="C787" s="79" t="s">
        <v>1643</v>
      </c>
      <c r="D787" s="79" t="s">
        <v>1646</v>
      </c>
      <c r="E787" s="390">
        <v>52</v>
      </c>
      <c r="F787" s="390"/>
      <c r="G787" s="390">
        <v>28.3992</v>
      </c>
      <c r="H787" s="390"/>
      <c r="I787" s="390"/>
      <c r="J787" s="391">
        <f t="shared" si="118"/>
        <v>52</v>
      </c>
      <c r="K787" s="79"/>
    </row>
    <row r="788" s="29" customFormat="1" customHeight="1" spans="1:11">
      <c r="A788" s="370">
        <v>769</v>
      </c>
      <c r="B788" s="126" t="s">
        <v>576</v>
      </c>
      <c r="C788" s="79" t="s">
        <v>1643</v>
      </c>
      <c r="D788" s="79" t="s">
        <v>1647</v>
      </c>
      <c r="E788" s="391">
        <v>1.82</v>
      </c>
      <c r="F788" s="391"/>
      <c r="G788" s="391">
        <v>0.9944</v>
      </c>
      <c r="H788" s="391"/>
      <c r="I788" s="391"/>
      <c r="J788" s="391">
        <f t="shared" si="118"/>
        <v>1.82</v>
      </c>
      <c r="K788" s="79"/>
    </row>
    <row r="789" s="334" customFormat="1" customHeight="1" spans="1:11">
      <c r="A789" s="353">
        <v>770</v>
      </c>
      <c r="B789" s="376" t="s">
        <v>1648</v>
      </c>
      <c r="C789" s="377"/>
      <c r="D789" s="378"/>
      <c r="E789" s="355">
        <f t="shared" ref="E789:J789" si="119">SUM(E784:E788)</f>
        <v>12412.2</v>
      </c>
      <c r="F789" s="355">
        <f t="shared" si="119"/>
        <v>0</v>
      </c>
      <c r="G789" s="355">
        <f t="shared" si="119"/>
        <v>10805.2536</v>
      </c>
      <c r="H789" s="355">
        <f t="shared" si="119"/>
        <v>1034</v>
      </c>
      <c r="I789" s="355">
        <f t="shared" si="119"/>
        <v>0</v>
      </c>
      <c r="J789" s="355">
        <f t="shared" si="119"/>
        <v>12412.2</v>
      </c>
      <c r="K789" s="412"/>
    </row>
    <row r="790" s="29" customFormat="1" ht="26" customHeight="1" spans="1:11">
      <c r="A790" s="370">
        <v>771</v>
      </c>
      <c r="B790" s="126" t="s">
        <v>565</v>
      </c>
      <c r="C790" s="371" t="s">
        <v>1649</v>
      </c>
      <c r="D790" s="371" t="s">
        <v>1650</v>
      </c>
      <c r="E790" s="391">
        <v>2800</v>
      </c>
      <c r="F790" s="391"/>
      <c r="G790" s="391">
        <f>E790-1800</f>
        <v>1000</v>
      </c>
      <c r="H790" s="393">
        <v>250</v>
      </c>
      <c r="I790" s="393">
        <v>250</v>
      </c>
      <c r="J790" s="372">
        <f t="shared" ref="J790:J801" si="120">E790+I790</f>
        <v>3050</v>
      </c>
      <c r="K790" s="398" t="s">
        <v>1651</v>
      </c>
    </row>
    <row r="791" s="29" customFormat="1" ht="26" customHeight="1" spans="1:11">
      <c r="A791" s="370">
        <v>772</v>
      </c>
      <c r="B791" s="126" t="s">
        <v>565</v>
      </c>
      <c r="C791" s="371" t="s">
        <v>1649</v>
      </c>
      <c r="D791" s="371" t="s">
        <v>1652</v>
      </c>
      <c r="E791" s="391">
        <v>2675</v>
      </c>
      <c r="F791" s="391"/>
      <c r="G791" s="391">
        <v>0</v>
      </c>
      <c r="H791" s="393"/>
      <c r="I791" s="393"/>
      <c r="J791" s="372">
        <f t="shared" si="120"/>
        <v>2675</v>
      </c>
      <c r="K791" s="398"/>
    </row>
    <row r="792" s="334" customFormat="1" customHeight="1" spans="1:11">
      <c r="A792" s="353">
        <v>773</v>
      </c>
      <c r="B792" s="376" t="s">
        <v>1653</v>
      </c>
      <c r="C792" s="377"/>
      <c r="D792" s="378"/>
      <c r="E792" s="355">
        <f t="shared" ref="E792:J792" si="121">SUM(E790:E791)</f>
        <v>5475</v>
      </c>
      <c r="F792" s="355">
        <f t="shared" si="121"/>
        <v>0</v>
      </c>
      <c r="G792" s="355">
        <f t="shared" si="121"/>
        <v>1000</v>
      </c>
      <c r="H792" s="355">
        <f t="shared" si="121"/>
        <v>250</v>
      </c>
      <c r="I792" s="355">
        <f t="shared" si="121"/>
        <v>250</v>
      </c>
      <c r="J792" s="355">
        <f t="shared" si="121"/>
        <v>5725</v>
      </c>
      <c r="K792" s="412"/>
    </row>
    <row r="793" s="29" customFormat="1" ht="26" customHeight="1" spans="1:11">
      <c r="A793" s="370">
        <v>774</v>
      </c>
      <c r="B793" s="126" t="s">
        <v>569</v>
      </c>
      <c r="C793" s="371" t="s">
        <v>1654</v>
      </c>
      <c r="D793" s="371" t="s">
        <v>1655</v>
      </c>
      <c r="E793" s="391">
        <v>3</v>
      </c>
      <c r="F793" s="391"/>
      <c r="G793" s="391">
        <v>0</v>
      </c>
      <c r="H793" s="393"/>
      <c r="I793" s="393"/>
      <c r="J793" s="372">
        <f t="shared" si="120"/>
        <v>3</v>
      </c>
      <c r="K793" s="398"/>
    </row>
    <row r="794" s="29" customFormat="1" ht="26" customHeight="1" spans="1:11">
      <c r="A794" s="370">
        <v>775</v>
      </c>
      <c r="B794" s="126" t="s">
        <v>569</v>
      </c>
      <c r="C794" s="371" t="s">
        <v>1654</v>
      </c>
      <c r="D794" s="371" t="s">
        <v>1656</v>
      </c>
      <c r="E794" s="391">
        <v>2</v>
      </c>
      <c r="F794" s="391"/>
      <c r="G794" s="391">
        <v>0</v>
      </c>
      <c r="H794" s="393"/>
      <c r="I794" s="393"/>
      <c r="J794" s="372">
        <f t="shared" si="120"/>
        <v>2</v>
      </c>
      <c r="K794" s="398"/>
    </row>
    <row r="795" s="29" customFormat="1" ht="26" customHeight="1" spans="1:11">
      <c r="A795" s="370">
        <v>776</v>
      </c>
      <c r="B795" s="126" t="s">
        <v>569</v>
      </c>
      <c r="C795" s="371" t="s">
        <v>1654</v>
      </c>
      <c r="D795" s="371" t="s">
        <v>1657</v>
      </c>
      <c r="E795" s="391">
        <v>3</v>
      </c>
      <c r="F795" s="391"/>
      <c r="G795" s="391">
        <v>0</v>
      </c>
      <c r="H795" s="393"/>
      <c r="I795" s="393"/>
      <c r="J795" s="372">
        <f t="shared" si="120"/>
        <v>3</v>
      </c>
      <c r="K795" s="398"/>
    </row>
    <row r="796" s="29" customFormat="1" ht="26" customHeight="1" spans="1:11">
      <c r="A796" s="370">
        <v>777</v>
      </c>
      <c r="B796" s="126" t="s">
        <v>569</v>
      </c>
      <c r="C796" s="371" t="s">
        <v>1654</v>
      </c>
      <c r="D796" s="371" t="s">
        <v>1658</v>
      </c>
      <c r="E796" s="391">
        <v>4</v>
      </c>
      <c r="F796" s="391"/>
      <c r="G796" s="391">
        <v>0</v>
      </c>
      <c r="H796" s="393"/>
      <c r="I796" s="393"/>
      <c r="J796" s="372">
        <f t="shared" si="120"/>
        <v>4</v>
      </c>
      <c r="K796" s="398"/>
    </row>
    <row r="797" s="29" customFormat="1" ht="26" customHeight="1" spans="1:11">
      <c r="A797" s="370">
        <v>778</v>
      </c>
      <c r="B797" s="126" t="s">
        <v>569</v>
      </c>
      <c r="C797" s="371" t="s">
        <v>1654</v>
      </c>
      <c r="D797" s="371" t="s">
        <v>1659</v>
      </c>
      <c r="E797" s="391">
        <v>2</v>
      </c>
      <c r="F797" s="391"/>
      <c r="G797" s="391">
        <v>0</v>
      </c>
      <c r="H797" s="393"/>
      <c r="I797" s="393"/>
      <c r="J797" s="372">
        <f t="shared" si="120"/>
        <v>2</v>
      </c>
      <c r="K797" s="398"/>
    </row>
    <row r="798" s="29" customFormat="1" ht="26" customHeight="1" spans="1:11">
      <c r="A798" s="370">
        <v>779</v>
      </c>
      <c r="B798" s="126" t="s">
        <v>569</v>
      </c>
      <c r="C798" s="371" t="s">
        <v>1654</v>
      </c>
      <c r="D798" s="371" t="s">
        <v>1660</v>
      </c>
      <c r="E798" s="391">
        <v>1</v>
      </c>
      <c r="F798" s="391"/>
      <c r="G798" s="391">
        <v>0</v>
      </c>
      <c r="H798" s="393"/>
      <c r="I798" s="393"/>
      <c r="J798" s="372">
        <f t="shared" si="120"/>
        <v>1</v>
      </c>
      <c r="K798" s="398"/>
    </row>
    <row r="799" s="29" customFormat="1" ht="26" customHeight="1" spans="1:11">
      <c r="A799" s="370">
        <v>780</v>
      </c>
      <c r="B799" s="126" t="s">
        <v>569</v>
      </c>
      <c r="C799" s="371" t="s">
        <v>1654</v>
      </c>
      <c r="D799" s="371" t="s">
        <v>1661</v>
      </c>
      <c r="E799" s="391">
        <v>2</v>
      </c>
      <c r="F799" s="391"/>
      <c r="G799" s="391">
        <v>0</v>
      </c>
      <c r="H799" s="393"/>
      <c r="I799" s="393"/>
      <c r="J799" s="372">
        <f t="shared" si="120"/>
        <v>2</v>
      </c>
      <c r="K799" s="398"/>
    </row>
    <row r="800" s="29" customFormat="1" ht="26" customHeight="1" spans="1:11">
      <c r="A800" s="370">
        <v>781</v>
      </c>
      <c r="B800" s="126" t="s">
        <v>569</v>
      </c>
      <c r="C800" s="371" t="s">
        <v>1654</v>
      </c>
      <c r="D800" s="371" t="s">
        <v>1662</v>
      </c>
      <c r="E800" s="391">
        <v>1</v>
      </c>
      <c r="F800" s="391"/>
      <c r="G800" s="391">
        <v>0</v>
      </c>
      <c r="H800" s="393"/>
      <c r="I800" s="393"/>
      <c r="J800" s="372">
        <f t="shared" si="120"/>
        <v>1</v>
      </c>
      <c r="K800" s="398"/>
    </row>
    <row r="801" s="29" customFormat="1" ht="26" customHeight="1" spans="1:11">
      <c r="A801" s="370">
        <v>782</v>
      </c>
      <c r="B801" s="126" t="s">
        <v>569</v>
      </c>
      <c r="C801" s="371" t="s">
        <v>1654</v>
      </c>
      <c r="D801" s="371" t="s">
        <v>1663</v>
      </c>
      <c r="E801" s="391">
        <v>2.8</v>
      </c>
      <c r="F801" s="391"/>
      <c r="G801" s="391">
        <v>0</v>
      </c>
      <c r="H801" s="393"/>
      <c r="I801" s="393"/>
      <c r="J801" s="372">
        <f t="shared" si="120"/>
        <v>2.8</v>
      </c>
      <c r="K801" s="398"/>
    </row>
    <row r="802" s="334" customFormat="1" customHeight="1" spans="1:11">
      <c r="A802" s="353">
        <v>783</v>
      </c>
      <c r="B802" s="376" t="s">
        <v>1664</v>
      </c>
      <c r="C802" s="377"/>
      <c r="D802" s="378"/>
      <c r="E802" s="355">
        <f t="shared" ref="E802:J802" si="122">SUM(E793:E801)</f>
        <v>20.8</v>
      </c>
      <c r="F802" s="355">
        <f t="shared" si="122"/>
        <v>0</v>
      </c>
      <c r="G802" s="355">
        <f t="shared" si="122"/>
        <v>0</v>
      </c>
      <c r="H802" s="355">
        <f t="shared" si="122"/>
        <v>0</v>
      </c>
      <c r="I802" s="355">
        <f t="shared" si="122"/>
        <v>0</v>
      </c>
      <c r="J802" s="355">
        <f t="shared" si="122"/>
        <v>20.8</v>
      </c>
      <c r="K802" s="412"/>
    </row>
    <row r="803" s="29" customFormat="1" ht="26" customHeight="1" spans="1:11">
      <c r="A803" s="370">
        <v>784</v>
      </c>
      <c r="B803" s="126" t="s">
        <v>565</v>
      </c>
      <c r="C803" s="371" t="s">
        <v>1665</v>
      </c>
      <c r="D803" s="371" t="s">
        <v>547</v>
      </c>
      <c r="E803" s="391">
        <v>3891.43</v>
      </c>
      <c r="F803" s="391"/>
      <c r="G803" s="391">
        <f>E803-1216.61484</f>
        <v>2674.81516</v>
      </c>
      <c r="H803" s="393">
        <v>74.65</v>
      </c>
      <c r="I803" s="393">
        <v>74.65</v>
      </c>
      <c r="J803" s="372">
        <f t="shared" ref="J803:J836" si="123">E803+I803</f>
        <v>3966.08</v>
      </c>
      <c r="K803" s="398" t="s">
        <v>1666</v>
      </c>
    </row>
    <row r="804" s="29" customFormat="1" ht="26" customHeight="1" spans="1:11">
      <c r="A804" s="370">
        <v>785</v>
      </c>
      <c r="B804" s="126" t="s">
        <v>565</v>
      </c>
      <c r="C804" s="371" t="s">
        <v>1665</v>
      </c>
      <c r="D804" s="371" t="s">
        <v>544</v>
      </c>
      <c r="E804" s="391">
        <v>10144.1</v>
      </c>
      <c r="F804" s="391"/>
      <c r="G804" s="391">
        <f>E804-10144.1</f>
        <v>0</v>
      </c>
      <c r="H804" s="393"/>
      <c r="I804" s="393"/>
      <c r="J804" s="372">
        <f t="shared" si="123"/>
        <v>10144.1</v>
      </c>
      <c r="K804" s="398"/>
    </row>
    <row r="805" s="29" customFormat="1" ht="26" customHeight="1" spans="1:11">
      <c r="A805" s="370">
        <v>786</v>
      </c>
      <c r="B805" s="126" t="s">
        <v>565</v>
      </c>
      <c r="C805" s="371" t="s">
        <v>1665</v>
      </c>
      <c r="D805" s="371" t="s">
        <v>550</v>
      </c>
      <c r="E805" s="391">
        <v>105.82</v>
      </c>
      <c r="F805" s="391"/>
      <c r="G805" s="391">
        <f>E805-55.813792-0.701775</f>
        <v>49.304433</v>
      </c>
      <c r="H805" s="393"/>
      <c r="I805" s="393"/>
      <c r="J805" s="372">
        <f t="shared" si="123"/>
        <v>105.82</v>
      </c>
      <c r="K805" s="398"/>
    </row>
    <row r="806" s="29" customFormat="1" ht="26" customHeight="1" spans="1:11">
      <c r="A806" s="370">
        <v>787</v>
      </c>
      <c r="B806" s="126" t="s">
        <v>565</v>
      </c>
      <c r="C806" s="371" t="s">
        <v>1665</v>
      </c>
      <c r="D806" s="371" t="s">
        <v>540</v>
      </c>
      <c r="E806" s="391">
        <v>10775.96</v>
      </c>
      <c r="F806" s="391"/>
      <c r="G806" s="391">
        <v>10775.96</v>
      </c>
      <c r="H806" s="393">
        <f>11006.26-10775.96-70.3</f>
        <v>160.000000000001</v>
      </c>
      <c r="I806" s="393">
        <f>11006.26-10775.96-70.3</f>
        <v>160.000000000001</v>
      </c>
      <c r="J806" s="372">
        <f t="shared" si="123"/>
        <v>10935.96</v>
      </c>
      <c r="K806" s="398" t="s">
        <v>1667</v>
      </c>
    </row>
    <row r="807" s="29" customFormat="1" ht="26" customHeight="1" spans="1:11">
      <c r="A807" s="370">
        <v>788</v>
      </c>
      <c r="B807" s="126" t="s">
        <v>565</v>
      </c>
      <c r="C807" s="371" t="s">
        <v>1665</v>
      </c>
      <c r="D807" s="371" t="s">
        <v>1668</v>
      </c>
      <c r="E807" s="391">
        <v>800</v>
      </c>
      <c r="F807" s="391"/>
      <c r="G807" s="391">
        <f>E807-560</f>
        <v>240</v>
      </c>
      <c r="H807" s="393">
        <v>-100</v>
      </c>
      <c r="I807" s="393">
        <v>-100</v>
      </c>
      <c r="J807" s="372">
        <f t="shared" si="123"/>
        <v>700</v>
      </c>
      <c r="K807" s="398"/>
    </row>
    <row r="808" s="29" customFormat="1" ht="26" customHeight="1" spans="1:11">
      <c r="A808" s="370">
        <v>789</v>
      </c>
      <c r="B808" s="126" t="s">
        <v>565</v>
      </c>
      <c r="C808" s="371" t="s">
        <v>1665</v>
      </c>
      <c r="D808" s="371" t="s">
        <v>1669</v>
      </c>
      <c r="E808" s="391">
        <v>20</v>
      </c>
      <c r="F808" s="391"/>
      <c r="G808" s="391">
        <v>20</v>
      </c>
      <c r="H808" s="393"/>
      <c r="I808" s="393"/>
      <c r="J808" s="372">
        <f t="shared" si="123"/>
        <v>20</v>
      </c>
      <c r="K808" s="398"/>
    </row>
    <row r="809" s="29" customFormat="1" ht="26" customHeight="1" spans="1:11">
      <c r="A809" s="370">
        <v>790</v>
      </c>
      <c r="B809" s="126" t="s">
        <v>565</v>
      </c>
      <c r="C809" s="371" t="s">
        <v>1665</v>
      </c>
      <c r="D809" s="371" t="s">
        <v>1670</v>
      </c>
      <c r="E809" s="391">
        <v>180</v>
      </c>
      <c r="F809" s="391"/>
      <c r="G809" s="391">
        <v>180</v>
      </c>
      <c r="H809" s="393"/>
      <c r="I809" s="393"/>
      <c r="J809" s="372">
        <f t="shared" si="123"/>
        <v>180</v>
      </c>
      <c r="K809" s="398"/>
    </row>
    <row r="810" customHeight="1" spans="1:11">
      <c r="A810" s="370">
        <v>791</v>
      </c>
      <c r="B810" s="126" t="s">
        <v>565</v>
      </c>
      <c r="C810" s="371" t="s">
        <v>1665</v>
      </c>
      <c r="D810" s="147" t="s">
        <v>536</v>
      </c>
      <c r="E810" s="123">
        <v>2255</v>
      </c>
      <c r="F810" s="123"/>
      <c r="G810" s="123">
        <f>E810-1000</f>
        <v>1255</v>
      </c>
      <c r="H810" s="123"/>
      <c r="I810" s="123"/>
      <c r="J810" s="372">
        <f t="shared" si="123"/>
        <v>2255</v>
      </c>
      <c r="K810" s="79" t="s">
        <v>1671</v>
      </c>
    </row>
    <row r="811" s="29" customFormat="1" ht="26" customHeight="1" spans="1:11">
      <c r="A811" s="370">
        <v>792</v>
      </c>
      <c r="B811" s="126" t="s">
        <v>565</v>
      </c>
      <c r="C811" s="371" t="s">
        <v>1665</v>
      </c>
      <c r="D811" s="371" t="s">
        <v>1672</v>
      </c>
      <c r="E811" s="391">
        <v>5</v>
      </c>
      <c r="F811" s="391"/>
      <c r="G811" s="391">
        <f>E811-5</f>
        <v>0</v>
      </c>
      <c r="H811" s="393"/>
      <c r="I811" s="393"/>
      <c r="J811" s="372">
        <f t="shared" si="123"/>
        <v>5</v>
      </c>
      <c r="K811" s="398"/>
    </row>
    <row r="812" s="29" customFormat="1" ht="26" customHeight="1" spans="1:11">
      <c r="A812" s="370">
        <v>793</v>
      </c>
      <c r="B812" s="126" t="s">
        <v>580</v>
      </c>
      <c r="C812" s="371" t="s">
        <v>1665</v>
      </c>
      <c r="D812" s="371" t="s">
        <v>1673</v>
      </c>
      <c r="E812" s="391">
        <v>72</v>
      </c>
      <c r="F812" s="391"/>
      <c r="G812" s="391">
        <v>57.456</v>
      </c>
      <c r="H812" s="393">
        <v>0</v>
      </c>
      <c r="I812" s="393">
        <v>0</v>
      </c>
      <c r="J812" s="372">
        <f t="shared" si="123"/>
        <v>72</v>
      </c>
      <c r="K812" s="398"/>
    </row>
    <row r="813" s="29" customFormat="1" ht="26" customHeight="1" spans="1:11">
      <c r="A813" s="370">
        <v>794</v>
      </c>
      <c r="B813" s="126" t="s">
        <v>574</v>
      </c>
      <c r="C813" s="371" t="s">
        <v>1665</v>
      </c>
      <c r="D813" s="371" t="s">
        <v>1674</v>
      </c>
      <c r="E813" s="391">
        <v>200</v>
      </c>
      <c r="F813" s="391"/>
      <c r="G813" s="391">
        <v>200</v>
      </c>
      <c r="H813" s="393"/>
      <c r="I813" s="393"/>
      <c r="J813" s="372">
        <f t="shared" si="123"/>
        <v>200</v>
      </c>
      <c r="K813" s="398"/>
    </row>
    <row r="814" s="29" customFormat="1" customHeight="1" spans="1:11">
      <c r="A814" s="370">
        <v>795</v>
      </c>
      <c r="B814" s="126" t="s">
        <v>574</v>
      </c>
      <c r="C814" s="371" t="s">
        <v>1665</v>
      </c>
      <c r="D814" s="371" t="s">
        <v>1675</v>
      </c>
      <c r="E814" s="391"/>
      <c r="F814" s="391"/>
      <c r="G814" s="391"/>
      <c r="H814" s="393">
        <v>20</v>
      </c>
      <c r="I814" s="393">
        <v>20</v>
      </c>
      <c r="J814" s="372">
        <f t="shared" si="123"/>
        <v>20</v>
      </c>
      <c r="K814" s="398" t="s">
        <v>1676</v>
      </c>
    </row>
    <row r="815" s="29" customFormat="1" ht="26" customHeight="1" spans="1:11">
      <c r="A815" s="370">
        <v>796</v>
      </c>
      <c r="B815" s="126" t="s">
        <v>574</v>
      </c>
      <c r="C815" s="371" t="s">
        <v>1665</v>
      </c>
      <c r="D815" s="371" t="s">
        <v>1677</v>
      </c>
      <c r="E815" s="391"/>
      <c r="F815" s="391"/>
      <c r="G815" s="391"/>
      <c r="H815" s="393">
        <v>6</v>
      </c>
      <c r="I815" s="393">
        <v>6</v>
      </c>
      <c r="J815" s="372">
        <f t="shared" si="123"/>
        <v>6</v>
      </c>
      <c r="K815" s="398" t="s">
        <v>1678</v>
      </c>
    </row>
    <row r="816" s="29" customFormat="1" ht="26" customHeight="1" spans="1:11">
      <c r="A816" s="370">
        <v>797</v>
      </c>
      <c r="B816" s="126" t="s">
        <v>574</v>
      </c>
      <c r="C816" s="371" t="s">
        <v>1665</v>
      </c>
      <c r="D816" s="371" t="s">
        <v>510</v>
      </c>
      <c r="E816" s="391">
        <v>434</v>
      </c>
      <c r="F816" s="391"/>
      <c r="G816" s="391">
        <v>284</v>
      </c>
      <c r="H816" s="393"/>
      <c r="I816" s="393"/>
      <c r="J816" s="372">
        <f t="shared" si="123"/>
        <v>434</v>
      </c>
      <c r="K816" s="398"/>
    </row>
    <row r="817" s="29" customFormat="1" ht="26" customHeight="1" spans="1:11">
      <c r="A817" s="370">
        <v>798</v>
      </c>
      <c r="B817" s="126" t="s">
        <v>571</v>
      </c>
      <c r="C817" s="371" t="s">
        <v>1665</v>
      </c>
      <c r="D817" s="371" t="s">
        <v>1679</v>
      </c>
      <c r="E817" s="391">
        <v>54</v>
      </c>
      <c r="F817" s="391"/>
      <c r="G817" s="391">
        <v>34</v>
      </c>
      <c r="H817" s="393">
        <v>30</v>
      </c>
      <c r="I817" s="393">
        <v>0</v>
      </c>
      <c r="J817" s="372">
        <f t="shared" si="123"/>
        <v>54</v>
      </c>
      <c r="K817" s="398" t="s">
        <v>1680</v>
      </c>
    </row>
    <row r="818" s="29" customFormat="1" ht="26" customHeight="1" spans="1:11">
      <c r="A818" s="370">
        <v>799</v>
      </c>
      <c r="B818" s="126" t="s">
        <v>571</v>
      </c>
      <c r="C818" s="371" t="s">
        <v>1665</v>
      </c>
      <c r="D818" s="371" t="s">
        <v>1681</v>
      </c>
      <c r="E818" s="391">
        <v>6.738</v>
      </c>
      <c r="F818" s="391"/>
      <c r="G818" s="391">
        <v>3.366</v>
      </c>
      <c r="H818" s="393"/>
      <c r="I818" s="393"/>
      <c r="J818" s="372">
        <f t="shared" si="123"/>
        <v>6.738</v>
      </c>
      <c r="K818" s="398"/>
    </row>
    <row r="819" s="29" customFormat="1" ht="26" customHeight="1" spans="1:11">
      <c r="A819" s="370">
        <v>800</v>
      </c>
      <c r="B819" s="126" t="s">
        <v>569</v>
      </c>
      <c r="C819" s="371" t="s">
        <v>1665</v>
      </c>
      <c r="D819" s="371" t="s">
        <v>1682</v>
      </c>
      <c r="E819" s="391">
        <v>100</v>
      </c>
      <c r="F819" s="391"/>
      <c r="G819" s="391">
        <v>100</v>
      </c>
      <c r="H819" s="393"/>
      <c r="I819" s="393"/>
      <c r="J819" s="372">
        <f t="shared" si="123"/>
        <v>100</v>
      </c>
      <c r="K819" s="398"/>
    </row>
    <row r="820" s="29" customFormat="1" ht="26" customHeight="1" spans="1:11">
      <c r="A820" s="370">
        <v>801</v>
      </c>
      <c r="B820" s="126" t="s">
        <v>569</v>
      </c>
      <c r="C820" s="371" t="s">
        <v>1665</v>
      </c>
      <c r="D820" s="371" t="s">
        <v>1683</v>
      </c>
      <c r="E820" s="391">
        <v>56.24</v>
      </c>
      <c r="F820" s="391"/>
      <c r="G820" s="391">
        <v>56.24</v>
      </c>
      <c r="H820" s="393">
        <v>14.06</v>
      </c>
      <c r="I820" s="393">
        <v>14.06</v>
      </c>
      <c r="J820" s="372">
        <f t="shared" si="123"/>
        <v>70.3</v>
      </c>
      <c r="K820" s="398" t="s">
        <v>1684</v>
      </c>
    </row>
    <row r="821" s="29" customFormat="1" ht="26" customHeight="1" spans="1:11">
      <c r="A821" s="370">
        <v>802</v>
      </c>
      <c r="B821" s="126" t="s">
        <v>569</v>
      </c>
      <c r="C821" s="371" t="s">
        <v>1665</v>
      </c>
      <c r="D821" s="371" t="s">
        <v>1685</v>
      </c>
      <c r="E821" s="391">
        <v>8.8</v>
      </c>
      <c r="F821" s="391"/>
      <c r="G821" s="391">
        <v>8.8</v>
      </c>
      <c r="H821" s="393"/>
      <c r="I821" s="393"/>
      <c r="J821" s="372">
        <f t="shared" si="123"/>
        <v>8.8</v>
      </c>
      <c r="K821" s="398"/>
    </row>
    <row r="822" s="29" customFormat="1" ht="26" customHeight="1" spans="1:11">
      <c r="A822" s="370">
        <v>803</v>
      </c>
      <c r="B822" s="126" t="s">
        <v>569</v>
      </c>
      <c r="C822" s="371" t="s">
        <v>1665</v>
      </c>
      <c r="D822" s="371" t="s">
        <v>1686</v>
      </c>
      <c r="E822" s="391">
        <f>1000-30</f>
        <v>970</v>
      </c>
      <c r="F822" s="391"/>
      <c r="G822" s="391">
        <v>962</v>
      </c>
      <c r="H822" s="393">
        <v>-962</v>
      </c>
      <c r="I822" s="393">
        <v>-962</v>
      </c>
      <c r="J822" s="372">
        <f t="shared" si="123"/>
        <v>8</v>
      </c>
      <c r="K822" s="398"/>
    </row>
    <row r="823" s="29" customFormat="1" ht="26" customHeight="1" spans="1:11">
      <c r="A823" s="370">
        <v>804</v>
      </c>
      <c r="B823" s="126" t="s">
        <v>569</v>
      </c>
      <c r="C823" s="371" t="s">
        <v>1665</v>
      </c>
      <c r="D823" s="371" t="s">
        <v>1687</v>
      </c>
      <c r="E823" s="391"/>
      <c r="F823" s="391"/>
      <c r="G823" s="391"/>
      <c r="H823" s="393">
        <v>300</v>
      </c>
      <c r="I823" s="393">
        <v>300</v>
      </c>
      <c r="J823" s="372">
        <f t="shared" si="123"/>
        <v>300</v>
      </c>
      <c r="K823" s="398"/>
    </row>
    <row r="824" s="29" customFormat="1" ht="26" customHeight="1" spans="1:11">
      <c r="A824" s="370">
        <v>805</v>
      </c>
      <c r="B824" s="126" t="s">
        <v>569</v>
      </c>
      <c r="C824" s="371" t="s">
        <v>1665</v>
      </c>
      <c r="D824" s="371" t="s">
        <v>1688</v>
      </c>
      <c r="E824" s="391">
        <v>20</v>
      </c>
      <c r="F824" s="391"/>
      <c r="G824" s="391">
        <v>20</v>
      </c>
      <c r="H824" s="393">
        <v>-15</v>
      </c>
      <c r="I824" s="393">
        <v>-15</v>
      </c>
      <c r="J824" s="372">
        <f t="shared" si="123"/>
        <v>5</v>
      </c>
      <c r="K824" s="398"/>
    </row>
    <row r="825" s="29" customFormat="1" ht="26" customHeight="1" spans="1:11">
      <c r="A825" s="370">
        <v>806</v>
      </c>
      <c r="B825" s="126" t="s">
        <v>569</v>
      </c>
      <c r="C825" s="371" t="s">
        <v>1665</v>
      </c>
      <c r="D825" s="371" t="s">
        <v>1689</v>
      </c>
      <c r="E825" s="391">
        <v>200</v>
      </c>
      <c r="F825" s="391"/>
      <c r="G825" s="391">
        <v>200</v>
      </c>
      <c r="H825" s="393"/>
      <c r="I825" s="393"/>
      <c r="J825" s="372">
        <f t="shared" si="123"/>
        <v>200</v>
      </c>
      <c r="K825" s="398"/>
    </row>
    <row r="826" s="29" customFormat="1" ht="26" customHeight="1" spans="1:11">
      <c r="A826" s="370">
        <v>807</v>
      </c>
      <c r="B826" s="126" t="s">
        <v>569</v>
      </c>
      <c r="C826" s="371" t="s">
        <v>1665</v>
      </c>
      <c r="D826" s="371" t="s">
        <v>1690</v>
      </c>
      <c r="E826" s="391">
        <v>450</v>
      </c>
      <c r="F826" s="391"/>
      <c r="G826" s="391">
        <v>450</v>
      </c>
      <c r="H826" s="393">
        <v>-250</v>
      </c>
      <c r="I826" s="393">
        <v>-250</v>
      </c>
      <c r="J826" s="372">
        <f t="shared" si="123"/>
        <v>200</v>
      </c>
      <c r="K826" s="398"/>
    </row>
    <row r="827" s="29" customFormat="1" customHeight="1" spans="1:11">
      <c r="A827" s="370">
        <v>808</v>
      </c>
      <c r="B827" s="143" t="s">
        <v>1691</v>
      </c>
      <c r="C827" s="371" t="s">
        <v>1665</v>
      </c>
      <c r="D827" s="147" t="s">
        <v>1692</v>
      </c>
      <c r="E827" s="123">
        <v>0</v>
      </c>
      <c r="F827" s="123"/>
      <c r="G827" s="123">
        <v>0</v>
      </c>
      <c r="H827" s="123">
        <v>100.4</v>
      </c>
      <c r="I827" s="123">
        <v>50</v>
      </c>
      <c r="J827" s="372">
        <f t="shared" si="123"/>
        <v>50</v>
      </c>
      <c r="K827" s="79" t="s">
        <v>1693</v>
      </c>
    </row>
    <row r="828" s="29" customFormat="1" ht="26" customHeight="1" spans="1:11">
      <c r="A828" s="370">
        <v>809</v>
      </c>
      <c r="B828" s="126" t="s">
        <v>627</v>
      </c>
      <c r="C828" s="371" t="s">
        <v>1665</v>
      </c>
      <c r="D828" s="371" t="s">
        <v>1694</v>
      </c>
      <c r="E828" s="391">
        <v>500</v>
      </c>
      <c r="F828" s="391"/>
      <c r="G828" s="391">
        <v>173.12</v>
      </c>
      <c r="H828" s="393">
        <v>800</v>
      </c>
      <c r="I828" s="393">
        <v>400</v>
      </c>
      <c r="J828" s="372">
        <f t="shared" si="123"/>
        <v>900</v>
      </c>
      <c r="K828" s="398" t="s">
        <v>1695</v>
      </c>
    </row>
    <row r="829" s="29" customFormat="1" ht="26" customHeight="1" spans="1:11">
      <c r="A829" s="370">
        <v>810</v>
      </c>
      <c r="B829" s="126" t="s">
        <v>572</v>
      </c>
      <c r="C829" s="371" t="s">
        <v>1665</v>
      </c>
      <c r="D829" s="371" t="s">
        <v>1696</v>
      </c>
      <c r="E829" s="391">
        <v>20</v>
      </c>
      <c r="F829" s="391"/>
      <c r="G829" s="391">
        <v>20</v>
      </c>
      <c r="H829" s="393">
        <v>0</v>
      </c>
      <c r="I829" s="393">
        <v>-20</v>
      </c>
      <c r="J829" s="372">
        <f t="shared" si="123"/>
        <v>0</v>
      </c>
      <c r="K829" s="398"/>
    </row>
    <row r="830" s="29" customFormat="1" ht="26" customHeight="1" spans="1:11">
      <c r="A830" s="370">
        <v>811</v>
      </c>
      <c r="B830" s="126" t="s">
        <v>572</v>
      </c>
      <c r="C830" s="371" t="s">
        <v>1665</v>
      </c>
      <c r="D830" s="371" t="s">
        <v>1697</v>
      </c>
      <c r="E830" s="391">
        <v>20</v>
      </c>
      <c r="F830" s="391"/>
      <c r="G830" s="391">
        <v>0</v>
      </c>
      <c r="H830" s="393">
        <v>0</v>
      </c>
      <c r="I830" s="393">
        <v>0</v>
      </c>
      <c r="J830" s="372">
        <f t="shared" si="123"/>
        <v>20</v>
      </c>
      <c r="K830" s="398"/>
    </row>
    <row r="831" s="29" customFormat="1" ht="26" customHeight="1" spans="1:11">
      <c r="A831" s="370">
        <v>812</v>
      </c>
      <c r="B831" s="126" t="s">
        <v>572</v>
      </c>
      <c r="C831" s="371" t="s">
        <v>1665</v>
      </c>
      <c r="D831" s="371" t="s">
        <v>1698</v>
      </c>
      <c r="E831" s="391">
        <v>50</v>
      </c>
      <c r="F831" s="391"/>
      <c r="G831" s="391">
        <v>50</v>
      </c>
      <c r="H831" s="393">
        <v>0</v>
      </c>
      <c r="I831" s="393">
        <v>-20</v>
      </c>
      <c r="J831" s="372">
        <f t="shared" si="123"/>
        <v>30</v>
      </c>
      <c r="K831" s="398"/>
    </row>
    <row r="832" s="29" customFormat="1" ht="26" customHeight="1" spans="1:11">
      <c r="A832" s="370">
        <v>813</v>
      </c>
      <c r="B832" s="126" t="s">
        <v>572</v>
      </c>
      <c r="C832" s="371" t="s">
        <v>1665</v>
      </c>
      <c r="D832" s="371" t="s">
        <v>1699</v>
      </c>
      <c r="E832" s="391">
        <v>20</v>
      </c>
      <c r="F832" s="391"/>
      <c r="G832" s="391">
        <v>20</v>
      </c>
      <c r="H832" s="393">
        <v>0</v>
      </c>
      <c r="I832" s="393">
        <v>0</v>
      </c>
      <c r="J832" s="372">
        <f t="shared" si="123"/>
        <v>20</v>
      </c>
      <c r="K832" s="398"/>
    </row>
    <row r="833" s="29" customFormat="1" ht="26" customHeight="1" spans="1:11">
      <c r="A833" s="370">
        <v>814</v>
      </c>
      <c r="B833" s="126" t="s">
        <v>572</v>
      </c>
      <c r="C833" s="371" t="s">
        <v>1665</v>
      </c>
      <c r="D833" s="371" t="s">
        <v>1700</v>
      </c>
      <c r="E833" s="391">
        <v>2</v>
      </c>
      <c r="F833" s="391"/>
      <c r="G833" s="391">
        <v>2</v>
      </c>
      <c r="H833" s="393">
        <v>0</v>
      </c>
      <c r="I833" s="393">
        <v>-2</v>
      </c>
      <c r="J833" s="372">
        <f t="shared" si="123"/>
        <v>0</v>
      </c>
      <c r="K833" s="398"/>
    </row>
    <row r="834" s="29" customFormat="1" ht="26" customHeight="1" spans="1:11">
      <c r="A834" s="370">
        <v>815</v>
      </c>
      <c r="B834" s="126" t="s">
        <v>572</v>
      </c>
      <c r="C834" s="371" t="s">
        <v>1665</v>
      </c>
      <c r="D834" s="371" t="s">
        <v>1701</v>
      </c>
      <c r="E834" s="391">
        <v>40</v>
      </c>
      <c r="F834" s="391"/>
      <c r="G834" s="391">
        <v>40</v>
      </c>
      <c r="H834" s="393">
        <v>0</v>
      </c>
      <c r="I834" s="393">
        <v>0</v>
      </c>
      <c r="J834" s="372">
        <f t="shared" si="123"/>
        <v>40</v>
      </c>
      <c r="K834" s="398"/>
    </row>
    <row r="835" s="29" customFormat="1" ht="26" customHeight="1" spans="1:11">
      <c r="A835" s="370">
        <v>816</v>
      </c>
      <c r="B835" s="126" t="s">
        <v>572</v>
      </c>
      <c r="C835" s="371" t="s">
        <v>1665</v>
      </c>
      <c r="D835" s="371" t="s">
        <v>1702</v>
      </c>
      <c r="E835" s="391"/>
      <c r="F835" s="391"/>
      <c r="G835" s="391"/>
      <c r="H835" s="393">
        <v>30</v>
      </c>
      <c r="I835" s="393">
        <v>30</v>
      </c>
      <c r="J835" s="372">
        <f t="shared" si="123"/>
        <v>30</v>
      </c>
      <c r="K835" s="398"/>
    </row>
    <row r="836" s="29" customFormat="1" ht="26" customHeight="1" spans="1:11">
      <c r="A836" s="370">
        <v>817</v>
      </c>
      <c r="B836" s="126" t="s">
        <v>1703</v>
      </c>
      <c r="C836" s="371" t="s">
        <v>1665</v>
      </c>
      <c r="D836" s="371" t="s">
        <v>1704</v>
      </c>
      <c r="E836" s="391">
        <v>1764.73</v>
      </c>
      <c r="F836" s="391">
        <v>0</v>
      </c>
      <c r="G836" s="391">
        <v>1155.965</v>
      </c>
      <c r="H836" s="393">
        <f>-7-2.5</f>
        <v>-9.5</v>
      </c>
      <c r="I836" s="393">
        <f>-7-2.5</f>
        <v>-9.5</v>
      </c>
      <c r="J836" s="372">
        <f t="shared" si="123"/>
        <v>1755.23</v>
      </c>
      <c r="K836" s="398"/>
    </row>
    <row r="837" s="335" customFormat="1" hidden="1" customHeight="1" spans="1:11">
      <c r="A837" s="356">
        <v>818</v>
      </c>
      <c r="B837" s="415" t="s">
        <v>576</v>
      </c>
      <c r="C837" s="416"/>
      <c r="D837" s="416" t="s">
        <v>1705</v>
      </c>
      <c r="E837" s="417"/>
      <c r="F837" s="418">
        <v>21.26</v>
      </c>
      <c r="G837" s="418">
        <v>0</v>
      </c>
      <c r="H837" s="417"/>
      <c r="I837" s="417"/>
      <c r="J837" s="428"/>
      <c r="K837" s="429" t="s">
        <v>1706</v>
      </c>
    </row>
    <row r="838" s="335" customFormat="1" hidden="1" customHeight="1" spans="1:11">
      <c r="A838" s="356">
        <v>819</v>
      </c>
      <c r="B838" s="415" t="s">
        <v>576</v>
      </c>
      <c r="C838" s="416"/>
      <c r="D838" s="416" t="s">
        <v>1707</v>
      </c>
      <c r="E838" s="417"/>
      <c r="F838" s="418">
        <v>0.72</v>
      </c>
      <c r="G838" s="418">
        <v>0</v>
      </c>
      <c r="H838" s="417"/>
      <c r="I838" s="417"/>
      <c r="J838" s="428"/>
      <c r="K838" s="429" t="s">
        <v>1708</v>
      </c>
    </row>
    <row r="839" s="335" customFormat="1" hidden="1" customHeight="1" spans="1:11">
      <c r="A839" s="356">
        <v>820</v>
      </c>
      <c r="B839" s="415" t="s">
        <v>576</v>
      </c>
      <c r="C839" s="416"/>
      <c r="D839" s="416" t="s">
        <v>1709</v>
      </c>
      <c r="E839" s="417"/>
      <c r="F839" s="418">
        <v>30</v>
      </c>
      <c r="G839" s="418"/>
      <c r="H839" s="417"/>
      <c r="I839" s="417"/>
      <c r="J839" s="428"/>
      <c r="K839" s="429" t="s">
        <v>1710</v>
      </c>
    </row>
    <row r="840" s="335" customFormat="1" hidden="1" customHeight="1" spans="1:11">
      <c r="A840" s="356">
        <v>821</v>
      </c>
      <c r="B840" s="415" t="s">
        <v>576</v>
      </c>
      <c r="C840" s="416"/>
      <c r="D840" s="416" t="s">
        <v>1711</v>
      </c>
      <c r="E840" s="417"/>
      <c r="F840" s="418">
        <v>5</v>
      </c>
      <c r="G840" s="418">
        <v>0</v>
      </c>
      <c r="H840" s="417"/>
      <c r="I840" s="417"/>
      <c r="J840" s="428"/>
      <c r="K840" s="429" t="s">
        <v>1712</v>
      </c>
    </row>
    <row r="841" s="335" customFormat="1" hidden="1" customHeight="1" spans="1:11">
      <c r="A841" s="356">
        <v>822</v>
      </c>
      <c r="B841" s="415" t="s">
        <v>576</v>
      </c>
      <c r="C841" s="419"/>
      <c r="D841" s="416" t="s">
        <v>1713</v>
      </c>
      <c r="E841" s="417"/>
      <c r="F841" s="418">
        <v>10.164</v>
      </c>
      <c r="G841" s="418"/>
      <c r="H841" s="417"/>
      <c r="I841" s="417"/>
      <c r="J841" s="428"/>
      <c r="K841" s="429" t="s">
        <v>1714</v>
      </c>
    </row>
    <row r="842" s="335" customFormat="1" hidden="1" customHeight="1" spans="1:11">
      <c r="A842" s="356">
        <v>823</v>
      </c>
      <c r="B842" s="415" t="s">
        <v>576</v>
      </c>
      <c r="C842" s="419"/>
      <c r="D842" s="416" t="s">
        <v>1715</v>
      </c>
      <c r="E842" s="417"/>
      <c r="F842" s="418">
        <v>23.39</v>
      </c>
      <c r="G842" s="418">
        <v>0</v>
      </c>
      <c r="H842" s="417"/>
      <c r="I842" s="417"/>
      <c r="J842" s="428"/>
      <c r="K842" s="429" t="s">
        <v>1716</v>
      </c>
    </row>
    <row r="843" s="335" customFormat="1" hidden="1" customHeight="1" spans="1:11">
      <c r="A843" s="356">
        <v>824</v>
      </c>
      <c r="B843" s="415" t="s">
        <v>576</v>
      </c>
      <c r="C843" s="419"/>
      <c r="D843" s="416" t="s">
        <v>1717</v>
      </c>
      <c r="E843" s="417"/>
      <c r="F843" s="418">
        <v>0.87</v>
      </c>
      <c r="G843" s="418">
        <v>0</v>
      </c>
      <c r="H843" s="417"/>
      <c r="I843" s="417"/>
      <c r="J843" s="428"/>
      <c r="K843" s="429" t="s">
        <v>1718</v>
      </c>
    </row>
    <row r="844" s="335" customFormat="1" hidden="1" customHeight="1" spans="1:11">
      <c r="A844" s="356">
        <v>825</v>
      </c>
      <c r="B844" s="415" t="s">
        <v>565</v>
      </c>
      <c r="C844" s="420"/>
      <c r="D844" s="421" t="s">
        <v>1719</v>
      </c>
      <c r="E844" s="422"/>
      <c r="F844" s="418">
        <v>50</v>
      </c>
      <c r="G844" s="418"/>
      <c r="H844" s="422"/>
      <c r="I844" s="422"/>
      <c r="J844" s="418"/>
      <c r="K844" s="429" t="s">
        <v>1720</v>
      </c>
    </row>
    <row r="845" s="335" customFormat="1" hidden="1" customHeight="1" spans="1:11">
      <c r="A845" s="356">
        <v>826</v>
      </c>
      <c r="B845" s="415" t="s">
        <v>565</v>
      </c>
      <c r="C845" s="420"/>
      <c r="D845" s="421" t="s">
        <v>1721</v>
      </c>
      <c r="E845" s="422"/>
      <c r="F845" s="418">
        <v>12</v>
      </c>
      <c r="G845" s="418"/>
      <c r="H845" s="422"/>
      <c r="I845" s="422"/>
      <c r="J845" s="418"/>
      <c r="K845" s="416" t="s">
        <v>1722</v>
      </c>
    </row>
    <row r="846" s="335" customFormat="1" hidden="1" customHeight="1" spans="1:11">
      <c r="A846" s="356">
        <v>827</v>
      </c>
      <c r="B846" s="423" t="s">
        <v>569</v>
      </c>
      <c r="C846" s="416"/>
      <c r="D846" s="416" t="s">
        <v>1723</v>
      </c>
      <c r="E846" s="422"/>
      <c r="F846" s="418">
        <v>0.77</v>
      </c>
      <c r="G846" s="418"/>
      <c r="H846" s="422"/>
      <c r="I846" s="422"/>
      <c r="J846" s="418"/>
      <c r="K846" s="416" t="s">
        <v>1724</v>
      </c>
    </row>
    <row r="847" s="335" customFormat="1" hidden="1" customHeight="1" spans="1:11">
      <c r="A847" s="356">
        <v>828</v>
      </c>
      <c r="B847" s="423" t="s">
        <v>569</v>
      </c>
      <c r="C847" s="416"/>
      <c r="D847" s="416" t="s">
        <v>1725</v>
      </c>
      <c r="E847" s="422"/>
      <c r="F847" s="418">
        <v>71.5</v>
      </c>
      <c r="G847" s="418"/>
      <c r="H847" s="422"/>
      <c r="I847" s="422"/>
      <c r="J847" s="418"/>
      <c r="K847" s="416" t="s">
        <v>1726</v>
      </c>
    </row>
    <row r="848" s="335" customFormat="1" hidden="1" customHeight="1" spans="1:11">
      <c r="A848" s="356">
        <v>829</v>
      </c>
      <c r="B848" s="423" t="s">
        <v>569</v>
      </c>
      <c r="C848" s="416"/>
      <c r="D848" s="416" t="s">
        <v>1727</v>
      </c>
      <c r="E848" s="422"/>
      <c r="F848" s="418">
        <v>30</v>
      </c>
      <c r="G848" s="418"/>
      <c r="H848" s="422"/>
      <c r="I848" s="422"/>
      <c r="J848" s="418"/>
      <c r="K848" s="416" t="s">
        <v>1728</v>
      </c>
    </row>
    <row r="849" s="335" customFormat="1" hidden="1" customHeight="1" spans="1:11">
      <c r="A849" s="356">
        <v>830</v>
      </c>
      <c r="B849" s="423" t="s">
        <v>569</v>
      </c>
      <c r="C849" s="416"/>
      <c r="D849" s="416" t="s">
        <v>1729</v>
      </c>
      <c r="E849" s="422"/>
      <c r="F849" s="418">
        <v>30</v>
      </c>
      <c r="G849" s="418"/>
      <c r="H849" s="422"/>
      <c r="I849" s="422"/>
      <c r="J849" s="418"/>
      <c r="K849" s="416" t="s">
        <v>1730</v>
      </c>
    </row>
    <row r="850" s="335" customFormat="1" hidden="1" customHeight="1" spans="1:11">
      <c r="A850" s="356">
        <v>831</v>
      </c>
      <c r="B850" s="423" t="s">
        <v>569</v>
      </c>
      <c r="C850" s="416"/>
      <c r="D850" s="416" t="s">
        <v>1731</v>
      </c>
      <c r="E850" s="422"/>
      <c r="F850" s="418">
        <v>11.7</v>
      </c>
      <c r="G850" s="418"/>
      <c r="H850" s="422"/>
      <c r="I850" s="422"/>
      <c r="J850" s="418"/>
      <c r="K850" s="416" t="s">
        <v>1732</v>
      </c>
    </row>
    <row r="851" s="335" customFormat="1" hidden="1" customHeight="1" spans="1:11">
      <c r="A851" s="356">
        <v>832</v>
      </c>
      <c r="B851" s="423" t="s">
        <v>569</v>
      </c>
      <c r="C851" s="416"/>
      <c r="D851" s="416" t="s">
        <v>1733</v>
      </c>
      <c r="E851" s="422"/>
      <c r="F851" s="418">
        <v>20</v>
      </c>
      <c r="G851" s="418"/>
      <c r="H851" s="422"/>
      <c r="I851" s="422"/>
      <c r="J851" s="418"/>
      <c r="K851" s="416" t="s">
        <v>1734</v>
      </c>
    </row>
    <row r="852" s="335" customFormat="1" hidden="1" customHeight="1" spans="1:11">
      <c r="A852" s="356">
        <v>833</v>
      </c>
      <c r="B852" s="423" t="s">
        <v>569</v>
      </c>
      <c r="C852" s="416"/>
      <c r="D852" s="416" t="s">
        <v>1735</v>
      </c>
      <c r="E852" s="422"/>
      <c r="F852" s="418">
        <v>11.5</v>
      </c>
      <c r="G852" s="418"/>
      <c r="H852" s="422"/>
      <c r="I852" s="422"/>
      <c r="J852" s="418"/>
      <c r="K852" s="416" t="s">
        <v>1736</v>
      </c>
    </row>
    <row r="853" s="335" customFormat="1" hidden="1" customHeight="1" spans="1:11">
      <c r="A853" s="356">
        <v>834</v>
      </c>
      <c r="B853" s="423" t="s">
        <v>569</v>
      </c>
      <c r="C853" s="416"/>
      <c r="D853" s="416" t="s">
        <v>1737</v>
      </c>
      <c r="E853" s="422"/>
      <c r="F853" s="418">
        <v>4</v>
      </c>
      <c r="G853" s="418"/>
      <c r="H853" s="422"/>
      <c r="I853" s="422"/>
      <c r="J853" s="418"/>
      <c r="K853" s="416" t="s">
        <v>1738</v>
      </c>
    </row>
    <row r="854" s="335" customFormat="1" hidden="1" customHeight="1" spans="1:11">
      <c r="A854" s="356">
        <v>835</v>
      </c>
      <c r="B854" s="423" t="s">
        <v>569</v>
      </c>
      <c r="C854" s="416"/>
      <c r="D854" s="416" t="s">
        <v>1739</v>
      </c>
      <c r="E854" s="422"/>
      <c r="F854" s="418">
        <v>9</v>
      </c>
      <c r="G854" s="418"/>
      <c r="H854" s="422"/>
      <c r="I854" s="422"/>
      <c r="J854" s="418"/>
      <c r="K854" s="416" t="s">
        <v>1740</v>
      </c>
    </row>
    <row r="855" s="335" customFormat="1" hidden="1" customHeight="1" spans="1:11">
      <c r="A855" s="356">
        <v>836</v>
      </c>
      <c r="B855" s="423" t="s">
        <v>569</v>
      </c>
      <c r="C855" s="416"/>
      <c r="D855" s="416" t="s">
        <v>1741</v>
      </c>
      <c r="E855" s="422"/>
      <c r="F855" s="418">
        <v>5.24</v>
      </c>
      <c r="G855" s="418"/>
      <c r="H855" s="422"/>
      <c r="I855" s="422"/>
      <c r="J855" s="418"/>
      <c r="K855" s="416" t="s">
        <v>1742</v>
      </c>
    </row>
    <row r="856" s="335" customFormat="1" hidden="1" customHeight="1" spans="1:11">
      <c r="A856" s="356">
        <v>837</v>
      </c>
      <c r="B856" s="423" t="s">
        <v>569</v>
      </c>
      <c r="C856" s="416"/>
      <c r="D856" s="416" t="s">
        <v>1743</v>
      </c>
      <c r="E856" s="422"/>
      <c r="F856" s="418">
        <v>39.1</v>
      </c>
      <c r="G856" s="418"/>
      <c r="H856" s="422"/>
      <c r="I856" s="422"/>
      <c r="J856" s="418"/>
      <c r="K856" s="416" t="s">
        <v>1744</v>
      </c>
    </row>
    <row r="857" s="335" customFormat="1" hidden="1" customHeight="1" spans="1:11">
      <c r="A857" s="356">
        <v>838</v>
      </c>
      <c r="B857" s="423" t="s">
        <v>569</v>
      </c>
      <c r="C857" s="416"/>
      <c r="D857" s="416" t="s">
        <v>1745</v>
      </c>
      <c r="E857" s="422"/>
      <c r="F857" s="418">
        <v>5</v>
      </c>
      <c r="G857" s="418"/>
      <c r="H857" s="422"/>
      <c r="I857" s="422"/>
      <c r="J857" s="418"/>
      <c r="K857" s="416" t="s">
        <v>1746</v>
      </c>
    </row>
    <row r="858" s="335" customFormat="1" hidden="1" customHeight="1" spans="1:11">
      <c r="A858" s="356">
        <v>839</v>
      </c>
      <c r="B858" s="415" t="s">
        <v>574</v>
      </c>
      <c r="C858" s="420"/>
      <c r="D858" s="420" t="s">
        <v>1747</v>
      </c>
      <c r="E858" s="422"/>
      <c r="F858" s="418">
        <v>9.98</v>
      </c>
      <c r="G858" s="418"/>
      <c r="H858" s="424"/>
      <c r="I858" s="424"/>
      <c r="J858" s="418">
        <f t="shared" ref="J858:J866" si="124">E858+I858</f>
        <v>0</v>
      </c>
      <c r="K858" s="429" t="s">
        <v>1748</v>
      </c>
    </row>
    <row r="859" s="335" customFormat="1" hidden="1" customHeight="1" spans="1:11">
      <c r="A859" s="356">
        <v>840</v>
      </c>
      <c r="B859" s="415" t="s">
        <v>574</v>
      </c>
      <c r="C859" s="420"/>
      <c r="D859" s="420" t="s">
        <v>1749</v>
      </c>
      <c r="E859" s="422"/>
      <c r="F859" s="418">
        <v>10</v>
      </c>
      <c r="G859" s="418"/>
      <c r="H859" s="424"/>
      <c r="I859" s="424"/>
      <c r="J859" s="418">
        <f t="shared" si="124"/>
        <v>0</v>
      </c>
      <c r="K859" s="429" t="s">
        <v>1750</v>
      </c>
    </row>
    <row r="860" s="335" customFormat="1" hidden="1" customHeight="1" spans="1:11">
      <c r="A860" s="356">
        <v>841</v>
      </c>
      <c r="B860" s="415" t="s">
        <v>574</v>
      </c>
      <c r="C860" s="420"/>
      <c r="D860" s="420" t="s">
        <v>1751</v>
      </c>
      <c r="E860" s="422"/>
      <c r="F860" s="418">
        <v>44.6587</v>
      </c>
      <c r="G860" s="418"/>
      <c r="H860" s="425"/>
      <c r="I860" s="424"/>
      <c r="J860" s="418">
        <f t="shared" si="124"/>
        <v>0</v>
      </c>
      <c r="K860" s="429" t="s">
        <v>1752</v>
      </c>
    </row>
    <row r="861" s="335" customFormat="1" hidden="1" customHeight="1" spans="1:11">
      <c r="A861" s="356">
        <v>842</v>
      </c>
      <c r="B861" s="415" t="s">
        <v>574</v>
      </c>
      <c r="C861" s="420"/>
      <c r="D861" s="420" t="s">
        <v>1753</v>
      </c>
      <c r="E861" s="422"/>
      <c r="F861" s="418">
        <v>15.7</v>
      </c>
      <c r="G861" s="418"/>
      <c r="H861" s="424"/>
      <c r="I861" s="424"/>
      <c r="J861" s="418">
        <f t="shared" si="124"/>
        <v>0</v>
      </c>
      <c r="K861" s="419" t="s">
        <v>1754</v>
      </c>
    </row>
    <row r="862" s="335" customFormat="1" hidden="1" customHeight="1" spans="1:11">
      <c r="A862" s="356">
        <v>843</v>
      </c>
      <c r="B862" s="415" t="s">
        <v>574</v>
      </c>
      <c r="C862" s="420"/>
      <c r="D862" s="420" t="s">
        <v>1755</v>
      </c>
      <c r="E862" s="422"/>
      <c r="F862" s="418">
        <v>78</v>
      </c>
      <c r="G862" s="418"/>
      <c r="H862" s="424"/>
      <c r="I862" s="424"/>
      <c r="J862" s="418">
        <f t="shared" si="124"/>
        <v>0</v>
      </c>
      <c r="K862" s="429" t="s">
        <v>1756</v>
      </c>
    </row>
    <row r="863" s="335" customFormat="1" hidden="1" customHeight="1" spans="1:11">
      <c r="A863" s="356">
        <v>844</v>
      </c>
      <c r="B863" s="415" t="s">
        <v>574</v>
      </c>
      <c r="C863" s="420"/>
      <c r="D863" s="420" t="s">
        <v>1757</v>
      </c>
      <c r="E863" s="422"/>
      <c r="F863" s="418">
        <v>12.02</v>
      </c>
      <c r="G863" s="418"/>
      <c r="H863" s="424"/>
      <c r="I863" s="424"/>
      <c r="J863" s="418">
        <f t="shared" si="124"/>
        <v>0</v>
      </c>
      <c r="K863" s="430" t="s">
        <v>1758</v>
      </c>
    </row>
    <row r="864" s="335" customFormat="1" hidden="1" customHeight="1" spans="1:11">
      <c r="A864" s="356">
        <v>845</v>
      </c>
      <c r="B864" s="415" t="s">
        <v>574</v>
      </c>
      <c r="C864" s="420"/>
      <c r="D864" s="420" t="s">
        <v>1759</v>
      </c>
      <c r="E864" s="422"/>
      <c r="F864" s="418">
        <v>17.912716</v>
      </c>
      <c r="G864" s="418"/>
      <c r="H864" s="424"/>
      <c r="I864" s="424"/>
      <c r="J864" s="418">
        <f t="shared" si="124"/>
        <v>0</v>
      </c>
      <c r="K864" s="385" t="s">
        <v>1760</v>
      </c>
    </row>
    <row r="865" s="335" customFormat="1" hidden="1" customHeight="1" spans="1:11">
      <c r="A865" s="356">
        <v>846</v>
      </c>
      <c r="B865" s="415" t="s">
        <v>574</v>
      </c>
      <c r="C865" s="420"/>
      <c r="D865" s="420" t="s">
        <v>1761</v>
      </c>
      <c r="E865" s="422"/>
      <c r="F865" s="418">
        <v>19.92</v>
      </c>
      <c r="G865" s="418"/>
      <c r="H865" s="424"/>
      <c r="I865" s="424"/>
      <c r="J865" s="418">
        <f t="shared" si="124"/>
        <v>0</v>
      </c>
      <c r="K865" s="430" t="s">
        <v>1762</v>
      </c>
    </row>
    <row r="866" s="335" customFormat="1" hidden="1" customHeight="1" spans="1:11">
      <c r="A866" s="356">
        <v>847</v>
      </c>
      <c r="B866" s="415" t="s">
        <v>574</v>
      </c>
      <c r="C866" s="420"/>
      <c r="D866" s="420" t="s">
        <v>1763</v>
      </c>
      <c r="E866" s="422"/>
      <c r="F866" s="418">
        <v>17.8</v>
      </c>
      <c r="G866" s="418"/>
      <c r="H866" s="424"/>
      <c r="I866" s="424"/>
      <c r="J866" s="418">
        <f t="shared" si="124"/>
        <v>0</v>
      </c>
      <c r="K866" s="429" t="s">
        <v>1764</v>
      </c>
    </row>
    <row r="867" s="335" customFormat="1" hidden="1" customHeight="1" spans="1:11">
      <c r="A867" s="356">
        <v>848</v>
      </c>
      <c r="B867" s="415" t="s">
        <v>572</v>
      </c>
      <c r="C867" s="420"/>
      <c r="D867" s="420" t="s">
        <v>1765</v>
      </c>
      <c r="E867" s="418"/>
      <c r="F867" s="418">
        <v>20</v>
      </c>
      <c r="G867" s="418"/>
      <c r="H867" s="418"/>
      <c r="I867" s="418"/>
      <c r="J867" s="418"/>
      <c r="K867" s="429" t="s">
        <v>1766</v>
      </c>
    </row>
    <row r="868" s="334" customFormat="1" customHeight="1" spans="1:11">
      <c r="A868" s="353">
        <v>818</v>
      </c>
      <c r="B868" s="426" t="s">
        <v>1767</v>
      </c>
      <c r="C868" s="426"/>
      <c r="D868" s="426"/>
      <c r="E868" s="427">
        <f t="shared" ref="E868:J868" si="125">SUM(E803:E866)</f>
        <v>33165.818</v>
      </c>
      <c r="F868" s="427">
        <f t="shared" si="125"/>
        <v>617.205416</v>
      </c>
      <c r="G868" s="427">
        <f t="shared" si="125"/>
        <v>19032.026593</v>
      </c>
      <c r="H868" s="427">
        <f t="shared" si="125"/>
        <v>198.610000000001</v>
      </c>
      <c r="I868" s="427">
        <f t="shared" si="125"/>
        <v>-323.789999999999</v>
      </c>
      <c r="J868" s="427">
        <f t="shared" si="125"/>
        <v>32842.028</v>
      </c>
      <c r="K868" s="388"/>
    </row>
  </sheetData>
  <autoFilter ref="A5:K868">
    <extLst/>
  </autoFilter>
  <mergeCells count="87">
    <mergeCell ref="A2:K2"/>
    <mergeCell ref="H4:I4"/>
    <mergeCell ref="A7:D7"/>
    <mergeCell ref="B8:D8"/>
    <mergeCell ref="B21:D21"/>
    <mergeCell ref="B22:D22"/>
    <mergeCell ref="B23:D23"/>
    <mergeCell ref="B53:D53"/>
    <mergeCell ref="B64:D64"/>
    <mergeCell ref="B77:D77"/>
    <mergeCell ref="B91:D91"/>
    <mergeCell ref="B106:D106"/>
    <mergeCell ref="B113:D113"/>
    <mergeCell ref="B139:D139"/>
    <mergeCell ref="B141:D141"/>
    <mergeCell ref="B147:D147"/>
    <mergeCell ref="B150:D150"/>
    <mergeCell ref="B157:D157"/>
    <mergeCell ref="B160:D160"/>
    <mergeCell ref="B193:D193"/>
    <mergeCell ref="B195:D195"/>
    <mergeCell ref="B199:D199"/>
    <mergeCell ref="B204:D204"/>
    <mergeCell ref="B290:D290"/>
    <mergeCell ref="B299:D299"/>
    <mergeCell ref="B331:D331"/>
    <mergeCell ref="B335:D335"/>
    <mergeCell ref="B339:D339"/>
    <mergeCell ref="B378:D378"/>
    <mergeCell ref="B380:D380"/>
    <mergeCell ref="B382:D382"/>
    <mergeCell ref="B387:D387"/>
    <mergeCell ref="B395:D395"/>
    <mergeCell ref="B420:D420"/>
    <mergeCell ref="B427:D427"/>
    <mergeCell ref="B435:D435"/>
    <mergeCell ref="B439:D439"/>
    <mergeCell ref="B459:D459"/>
    <mergeCell ref="B465:D465"/>
    <mergeCell ref="B468:D468"/>
    <mergeCell ref="B492:D492"/>
    <mergeCell ref="B495:D495"/>
    <mergeCell ref="B504:D504"/>
    <mergeCell ref="B516:D516"/>
    <mergeCell ref="B533:D533"/>
    <mergeCell ref="B543:D543"/>
    <mergeCell ref="B563:D563"/>
    <mergeCell ref="B569:D569"/>
    <mergeCell ref="B609:D609"/>
    <mergeCell ref="B614:D614"/>
    <mergeCell ref="B620:D620"/>
    <mergeCell ref="B631:D631"/>
    <mergeCell ref="B634:D634"/>
    <mergeCell ref="B636:D636"/>
    <mergeCell ref="B638:D638"/>
    <mergeCell ref="B651:D651"/>
    <mergeCell ref="B675:D675"/>
    <mergeCell ref="B714:D714"/>
    <mergeCell ref="B727:D727"/>
    <mergeCell ref="B733:D733"/>
    <mergeCell ref="B743:D743"/>
    <mergeCell ref="B745:D745"/>
    <mergeCell ref="B747:D747"/>
    <mergeCell ref="B750:D750"/>
    <mergeCell ref="B762:D762"/>
    <mergeCell ref="B765:D765"/>
    <mergeCell ref="B769:D769"/>
    <mergeCell ref="B778:D778"/>
    <mergeCell ref="B783:D783"/>
    <mergeCell ref="B789:D789"/>
    <mergeCell ref="B792:D792"/>
    <mergeCell ref="B802:D802"/>
    <mergeCell ref="B868:D868"/>
    <mergeCell ref="A4:A5"/>
    <mergeCell ref="B4:B6"/>
    <mergeCell ref="C4:C5"/>
    <mergeCell ref="D4:D5"/>
    <mergeCell ref="E4:E5"/>
    <mergeCell ref="G4:G5"/>
    <mergeCell ref="J4:J5"/>
    <mergeCell ref="K4:K5"/>
    <mergeCell ref="K161:K162"/>
    <mergeCell ref="K163:K170"/>
    <mergeCell ref="K171:K173"/>
    <mergeCell ref="K176:K185"/>
    <mergeCell ref="K236:K245"/>
    <mergeCell ref="K511:K515"/>
  </mergeCells>
  <printOptions horizontalCentered="1"/>
  <pageMargins left="0.393055555555556" right="0.393055555555556" top="0.590277777777778" bottom="0.590277777777778" header="0.196527777777778" footer="0.196527777777778"/>
  <pageSetup paperSize="9" scale="94" fitToHeight="0" orientation="landscape" horizontalDpi="600"/>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J31"/>
  <sheetViews>
    <sheetView showZeros="0" zoomScale="90" zoomScaleNormal="90" topLeftCell="I1" workbookViewId="0">
      <pane ySplit="6" topLeftCell="A7" activePane="bottomLeft" state="frozen"/>
      <selection/>
      <selection pane="bottomLeft" activeCell="AG24" sqref="AG24:AI24"/>
    </sheetView>
  </sheetViews>
  <sheetFormatPr defaultColWidth="9" defaultRowHeight="12"/>
  <cols>
    <col min="1" max="1" width="33.875" style="308" customWidth="1"/>
    <col min="2" max="3" width="8.125" style="312" customWidth="1"/>
    <col min="4" max="7" width="8.125" style="313" customWidth="1"/>
    <col min="8" max="10" width="7.35833333333333" style="313" customWidth="1"/>
    <col min="11" max="11" width="8.60833333333333" style="313" customWidth="1"/>
    <col min="12" max="16" width="7.35833333333333" style="313" customWidth="1"/>
    <col min="17" max="17" width="7.35833333333333" style="312" customWidth="1"/>
    <col min="18" max="32" width="7.35833333333333" style="313" customWidth="1"/>
    <col min="33" max="33" width="8.05833333333333" style="313" customWidth="1"/>
    <col min="34" max="34" width="6.7" style="313" customWidth="1"/>
    <col min="35" max="35" width="8.05833333333333" style="313" customWidth="1"/>
    <col min="36" max="36" width="6.7" style="308" customWidth="1"/>
    <col min="37" max="16384" width="9" style="308"/>
  </cols>
  <sheetData>
    <row r="1" s="308" customFormat="1" ht="20" customHeight="1" spans="1:35">
      <c r="A1" s="10" t="s">
        <v>1768</v>
      </c>
      <c r="B1" s="312"/>
      <c r="C1" s="312"/>
      <c r="D1" s="313"/>
      <c r="E1" s="313"/>
      <c r="F1" s="313"/>
      <c r="G1" s="313"/>
      <c r="H1" s="313"/>
      <c r="I1" s="313"/>
      <c r="J1" s="313"/>
      <c r="K1" s="313"/>
      <c r="L1" s="313"/>
      <c r="M1" s="313"/>
      <c r="N1" s="313"/>
      <c r="O1" s="313"/>
      <c r="P1" s="313"/>
      <c r="Q1" s="312"/>
      <c r="R1" s="313"/>
      <c r="S1" s="313"/>
      <c r="T1" s="313"/>
      <c r="U1" s="313"/>
      <c r="V1" s="313"/>
      <c r="W1" s="313"/>
      <c r="X1" s="313"/>
      <c r="Y1" s="313"/>
      <c r="Z1" s="313"/>
      <c r="AA1" s="313"/>
      <c r="AB1" s="313"/>
      <c r="AC1" s="313"/>
      <c r="AD1" s="313"/>
      <c r="AE1" s="313"/>
      <c r="AF1" s="313"/>
      <c r="AG1" s="313"/>
      <c r="AH1" s="313"/>
      <c r="AI1" s="313"/>
    </row>
    <row r="2" s="309" customFormat="1" ht="30" customHeight="1" spans="1:36">
      <c r="A2" s="96" t="s">
        <v>1769</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6"/>
    </row>
    <row r="3" s="308" customFormat="1" ht="20" customHeight="1" spans="2:36">
      <c r="B3" s="312"/>
      <c r="C3" s="312"/>
      <c r="D3" s="313"/>
      <c r="E3" s="313"/>
      <c r="F3" s="313"/>
      <c r="G3" s="313"/>
      <c r="H3" s="313"/>
      <c r="I3" s="313"/>
      <c r="J3" s="313"/>
      <c r="K3" s="313"/>
      <c r="L3" s="313"/>
      <c r="M3" s="313"/>
      <c r="N3" s="313"/>
      <c r="O3" s="313"/>
      <c r="P3" s="313"/>
      <c r="Q3" s="312"/>
      <c r="R3" s="313"/>
      <c r="S3" s="313"/>
      <c r="T3" s="313"/>
      <c r="U3" s="313"/>
      <c r="V3" s="313"/>
      <c r="W3" s="313"/>
      <c r="X3" s="313"/>
      <c r="Y3" s="313"/>
      <c r="Z3" s="313"/>
      <c r="AA3" s="313"/>
      <c r="AB3" s="313"/>
      <c r="AC3" s="313"/>
      <c r="AD3" s="313"/>
      <c r="AE3" s="313"/>
      <c r="AF3" s="313"/>
      <c r="AG3" s="313"/>
      <c r="AH3" s="313"/>
      <c r="AI3" s="324" t="s">
        <v>22</v>
      </c>
      <c r="AJ3" s="325"/>
    </row>
    <row r="4" s="310" customFormat="1" ht="27" customHeight="1" spans="1:36">
      <c r="A4" s="314" t="s">
        <v>556</v>
      </c>
      <c r="B4" s="315" t="s">
        <v>1770</v>
      </c>
      <c r="C4" s="316"/>
      <c r="D4" s="316"/>
      <c r="E4" s="316"/>
      <c r="F4" s="316"/>
      <c r="G4" s="317"/>
      <c r="H4" s="318" t="s">
        <v>1771</v>
      </c>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8"/>
      <c r="AI4" s="318"/>
      <c r="AJ4" s="314" t="s">
        <v>28</v>
      </c>
    </row>
    <row r="5" s="310" customFormat="1" ht="27" customHeight="1" spans="1:36">
      <c r="A5" s="314"/>
      <c r="B5" s="190" t="s">
        <v>24</v>
      </c>
      <c r="C5" s="190"/>
      <c r="D5" s="190"/>
      <c r="E5" s="190" t="s">
        <v>26</v>
      </c>
      <c r="F5" s="190"/>
      <c r="G5" s="190"/>
      <c r="H5" s="318" t="s">
        <v>1772</v>
      </c>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26" t="s">
        <v>1773</v>
      </c>
      <c r="AH5" s="326" t="s">
        <v>1774</v>
      </c>
      <c r="AI5" s="318" t="s">
        <v>84</v>
      </c>
      <c r="AJ5" s="314"/>
    </row>
    <row r="6" s="310" customFormat="1" ht="192" customHeight="1" spans="1:36">
      <c r="A6" s="314"/>
      <c r="B6" s="319" t="s">
        <v>1775</v>
      </c>
      <c r="C6" s="319" t="s">
        <v>1776</v>
      </c>
      <c r="D6" s="319" t="s">
        <v>84</v>
      </c>
      <c r="E6" s="319" t="s">
        <v>1775</v>
      </c>
      <c r="F6" s="319" t="s">
        <v>1776</v>
      </c>
      <c r="G6" s="319" t="s">
        <v>84</v>
      </c>
      <c r="H6" s="319" t="s">
        <v>1777</v>
      </c>
      <c r="I6" s="319" t="s">
        <v>321</v>
      </c>
      <c r="J6" s="319" t="s">
        <v>1778</v>
      </c>
      <c r="K6" s="319" t="s">
        <v>1779</v>
      </c>
      <c r="L6" s="319" t="s">
        <v>1780</v>
      </c>
      <c r="M6" s="319" t="s">
        <v>1781</v>
      </c>
      <c r="N6" s="319" t="s">
        <v>1236</v>
      </c>
      <c r="O6" s="319" t="s">
        <v>1782</v>
      </c>
      <c r="P6" s="319" t="s">
        <v>1036</v>
      </c>
      <c r="Q6" s="319" t="s">
        <v>1783</v>
      </c>
      <c r="R6" s="319" t="s">
        <v>1784</v>
      </c>
      <c r="S6" s="319" t="s">
        <v>1785</v>
      </c>
      <c r="T6" s="319" t="s">
        <v>1143</v>
      </c>
      <c r="U6" s="319" t="s">
        <v>1786</v>
      </c>
      <c r="V6" s="319" t="s">
        <v>1787</v>
      </c>
      <c r="W6" s="319" t="s">
        <v>1394</v>
      </c>
      <c r="X6" s="319" t="s">
        <v>1788</v>
      </c>
      <c r="Y6" s="319" t="s">
        <v>1789</v>
      </c>
      <c r="Z6" s="319" t="s">
        <v>1790</v>
      </c>
      <c r="AA6" s="319" t="s">
        <v>1791</v>
      </c>
      <c r="AB6" s="319" t="s">
        <v>510</v>
      </c>
      <c r="AC6" s="319" t="s">
        <v>1792</v>
      </c>
      <c r="AD6" s="323" t="s">
        <v>1690</v>
      </c>
      <c r="AE6" s="319" t="s">
        <v>1793</v>
      </c>
      <c r="AF6" s="319" t="s">
        <v>1794</v>
      </c>
      <c r="AG6" s="326"/>
      <c r="AH6" s="326"/>
      <c r="AI6" s="318"/>
      <c r="AJ6" s="314"/>
    </row>
    <row r="7" s="310" customFormat="1" ht="43" customHeight="1" spans="1:36">
      <c r="A7" s="220" t="s">
        <v>1795</v>
      </c>
      <c r="B7" s="320">
        <v>525</v>
      </c>
      <c r="C7" s="320"/>
      <c r="D7" s="320">
        <v>525</v>
      </c>
      <c r="E7" s="320">
        <v>525</v>
      </c>
      <c r="F7" s="320"/>
      <c r="G7" s="320">
        <f t="shared" ref="G7:G23" si="0">+E7+F7</f>
        <v>525</v>
      </c>
      <c r="H7" s="320"/>
      <c r="I7" s="320"/>
      <c r="J7" s="320"/>
      <c r="K7" s="320"/>
      <c r="L7" s="320"/>
      <c r="M7" s="320"/>
      <c r="N7" s="320"/>
      <c r="O7" s="320"/>
      <c r="P7" s="320">
        <v>133</v>
      </c>
      <c r="Q7" s="320"/>
      <c r="R7" s="320"/>
      <c r="S7" s="320"/>
      <c r="T7" s="320"/>
      <c r="U7" s="320"/>
      <c r="V7" s="320"/>
      <c r="W7" s="320"/>
      <c r="X7" s="320"/>
      <c r="Y7" s="320"/>
      <c r="Z7" s="320"/>
      <c r="AA7" s="320"/>
      <c r="AB7" s="320"/>
      <c r="AC7" s="320"/>
      <c r="AD7" s="320"/>
      <c r="AE7" s="320"/>
      <c r="AF7" s="320">
        <f t="shared" ref="AF7:AF24" si="1">SUM(H7:AE7)</f>
        <v>133</v>
      </c>
      <c r="AG7" s="320">
        <v>392</v>
      </c>
      <c r="AH7" s="320"/>
      <c r="AI7" s="320">
        <f t="shared" ref="AI7:AI23" si="2">+AF7+AG7+AH7</f>
        <v>525</v>
      </c>
      <c r="AJ7" s="327"/>
    </row>
    <row r="8" s="310" customFormat="1" ht="43" customHeight="1" spans="1:36">
      <c r="A8" s="220" t="s">
        <v>1796</v>
      </c>
      <c r="B8" s="320">
        <v>2564</v>
      </c>
      <c r="C8" s="320"/>
      <c r="D8" s="320">
        <v>2564</v>
      </c>
      <c r="E8" s="320">
        <v>2564</v>
      </c>
      <c r="F8" s="320"/>
      <c r="G8" s="320">
        <f t="shared" si="0"/>
        <v>2564</v>
      </c>
      <c r="H8" s="320"/>
      <c r="I8" s="320"/>
      <c r="J8" s="320"/>
      <c r="K8" s="320"/>
      <c r="L8" s="320"/>
      <c r="M8" s="320"/>
      <c r="N8" s="320"/>
      <c r="O8" s="320"/>
      <c r="P8" s="320"/>
      <c r="Q8" s="320"/>
      <c r="R8" s="320"/>
      <c r="S8" s="320"/>
      <c r="T8" s="320"/>
      <c r="U8" s="320"/>
      <c r="V8" s="320">
        <v>982.5</v>
      </c>
      <c r="W8" s="320"/>
      <c r="X8" s="320"/>
      <c r="Y8" s="320"/>
      <c r="Z8" s="320"/>
      <c r="AA8" s="320"/>
      <c r="AB8" s="320"/>
      <c r="AC8" s="320"/>
      <c r="AD8" s="320"/>
      <c r="AE8" s="320">
        <v>30</v>
      </c>
      <c r="AF8" s="320">
        <f t="shared" si="1"/>
        <v>1012.5</v>
      </c>
      <c r="AG8" s="320">
        <v>1551.5</v>
      </c>
      <c r="AH8" s="320"/>
      <c r="AI8" s="320">
        <f t="shared" si="2"/>
        <v>2564</v>
      </c>
      <c r="AJ8" s="327"/>
    </row>
    <row r="9" s="310" customFormat="1" ht="43" customHeight="1" spans="1:36">
      <c r="A9" s="220" t="s">
        <v>1797</v>
      </c>
      <c r="B9" s="320">
        <v>1222</v>
      </c>
      <c r="C9" s="320"/>
      <c r="D9" s="320">
        <v>1222</v>
      </c>
      <c r="E9" s="320">
        <v>1222</v>
      </c>
      <c r="F9" s="320"/>
      <c r="G9" s="320">
        <f t="shared" si="0"/>
        <v>1222</v>
      </c>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f t="shared" si="1"/>
        <v>0</v>
      </c>
      <c r="AG9" s="320">
        <v>1222</v>
      </c>
      <c r="AH9" s="320"/>
      <c r="AI9" s="320">
        <f>+AG9+AH9</f>
        <v>1222</v>
      </c>
      <c r="AJ9" s="327"/>
    </row>
    <row r="10" s="310" customFormat="1" ht="43" customHeight="1" spans="1:36">
      <c r="A10" s="220" t="s">
        <v>1798</v>
      </c>
      <c r="B10" s="320">
        <v>1258</v>
      </c>
      <c r="C10" s="320">
        <v>726.56</v>
      </c>
      <c r="D10" s="320">
        <v>1984.56</v>
      </c>
      <c r="E10" s="320">
        <v>1258</v>
      </c>
      <c r="F10" s="320">
        <v>726.56</v>
      </c>
      <c r="G10" s="320">
        <f t="shared" si="0"/>
        <v>1984.56</v>
      </c>
      <c r="H10" s="320">
        <v>1290</v>
      </c>
      <c r="I10" s="320">
        <v>15</v>
      </c>
      <c r="J10" s="320"/>
      <c r="K10" s="320"/>
      <c r="L10" s="320"/>
      <c r="M10" s="320"/>
      <c r="N10" s="320"/>
      <c r="O10" s="320"/>
      <c r="P10" s="320"/>
      <c r="Q10" s="320"/>
      <c r="R10" s="320"/>
      <c r="S10" s="320"/>
      <c r="T10" s="320">
        <v>67</v>
      </c>
      <c r="U10" s="320"/>
      <c r="V10" s="320"/>
      <c r="W10" s="320"/>
      <c r="X10" s="320">
        <v>54.24</v>
      </c>
      <c r="Y10" s="320">
        <v>42.24</v>
      </c>
      <c r="Z10" s="320"/>
      <c r="AA10" s="320"/>
      <c r="AB10" s="320"/>
      <c r="AC10" s="320"/>
      <c r="AD10" s="320"/>
      <c r="AE10" s="320"/>
      <c r="AF10" s="320">
        <f t="shared" si="1"/>
        <v>1468.48</v>
      </c>
      <c r="AG10" s="320">
        <v>516.08</v>
      </c>
      <c r="AH10" s="320"/>
      <c r="AI10" s="320">
        <f t="shared" si="2"/>
        <v>1984.56</v>
      </c>
      <c r="AJ10" s="327"/>
    </row>
    <row r="11" s="310" customFormat="1" ht="43" customHeight="1" spans="1:36">
      <c r="A11" s="220" t="s">
        <v>1799</v>
      </c>
      <c r="B11" s="320">
        <v>251.12</v>
      </c>
      <c r="C11" s="320"/>
      <c r="D11" s="320">
        <v>251.12</v>
      </c>
      <c r="E11" s="320">
        <v>251.12</v>
      </c>
      <c r="F11" s="320"/>
      <c r="G11" s="320">
        <f t="shared" si="0"/>
        <v>251.12</v>
      </c>
      <c r="H11" s="320"/>
      <c r="I11" s="320"/>
      <c r="J11" s="320"/>
      <c r="K11" s="320"/>
      <c r="L11" s="320"/>
      <c r="M11" s="320"/>
      <c r="N11" s="320"/>
      <c r="O11" s="320"/>
      <c r="P11" s="320"/>
      <c r="Q11" s="320"/>
      <c r="R11" s="320"/>
      <c r="S11" s="320"/>
      <c r="T11" s="320"/>
      <c r="U11" s="320">
        <v>193.39</v>
      </c>
      <c r="V11" s="320"/>
      <c r="W11" s="320"/>
      <c r="X11" s="320"/>
      <c r="Y11" s="320"/>
      <c r="Z11" s="320"/>
      <c r="AA11" s="320"/>
      <c r="AB11" s="320"/>
      <c r="AC11" s="320"/>
      <c r="AD11" s="320"/>
      <c r="AE11" s="320"/>
      <c r="AF11" s="320">
        <f t="shared" si="1"/>
        <v>193.39</v>
      </c>
      <c r="AG11" s="310">
        <v>57.73</v>
      </c>
      <c r="AH11" s="320"/>
      <c r="AI11" s="320">
        <f t="shared" si="2"/>
        <v>251.12</v>
      </c>
      <c r="AJ11" s="327"/>
    </row>
    <row r="12" s="310" customFormat="1" ht="43" customHeight="1" spans="1:36">
      <c r="A12" s="220" t="s">
        <v>1800</v>
      </c>
      <c r="B12" s="320">
        <v>29</v>
      </c>
      <c r="C12" s="320"/>
      <c r="D12" s="320">
        <v>29</v>
      </c>
      <c r="E12" s="320">
        <v>29</v>
      </c>
      <c r="F12" s="320"/>
      <c r="G12" s="320">
        <f t="shared" si="0"/>
        <v>29</v>
      </c>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0">
        <f t="shared" si="1"/>
        <v>0</v>
      </c>
      <c r="AG12" s="320">
        <v>29</v>
      </c>
      <c r="AH12" s="320"/>
      <c r="AI12" s="320">
        <f t="shared" si="2"/>
        <v>29</v>
      </c>
      <c r="AJ12" s="327"/>
    </row>
    <row r="13" s="310" customFormat="1" ht="43" customHeight="1" spans="1:36">
      <c r="A13" s="220" t="s">
        <v>1801</v>
      </c>
      <c r="B13" s="320">
        <v>66</v>
      </c>
      <c r="C13" s="320"/>
      <c r="D13" s="320">
        <v>66</v>
      </c>
      <c r="E13" s="320">
        <v>66</v>
      </c>
      <c r="F13" s="320"/>
      <c r="G13" s="320">
        <f t="shared" si="0"/>
        <v>66</v>
      </c>
      <c r="H13" s="320"/>
      <c r="I13" s="320"/>
      <c r="J13" s="320"/>
      <c r="K13" s="320"/>
      <c r="L13" s="320"/>
      <c r="M13" s="320"/>
      <c r="N13" s="320"/>
      <c r="O13" s="320"/>
      <c r="P13" s="320"/>
      <c r="Q13" s="320"/>
      <c r="R13" s="320"/>
      <c r="S13" s="320"/>
      <c r="T13" s="320"/>
      <c r="U13" s="320"/>
      <c r="V13" s="320"/>
      <c r="W13" s="320">
        <v>33</v>
      </c>
      <c r="X13" s="320"/>
      <c r="Y13" s="320"/>
      <c r="Z13" s="320"/>
      <c r="AA13" s="320"/>
      <c r="AB13" s="320"/>
      <c r="AC13" s="320"/>
      <c r="AD13" s="320"/>
      <c r="AE13" s="320"/>
      <c r="AF13" s="320">
        <f t="shared" si="1"/>
        <v>33</v>
      </c>
      <c r="AG13" s="320">
        <v>33</v>
      </c>
      <c r="AH13" s="320"/>
      <c r="AI13" s="320">
        <f t="shared" si="2"/>
        <v>66</v>
      </c>
      <c r="AJ13" s="327"/>
    </row>
    <row r="14" s="310" customFormat="1" ht="43" customHeight="1" spans="1:36">
      <c r="A14" s="220" t="s">
        <v>1802</v>
      </c>
      <c r="B14" s="320">
        <v>50</v>
      </c>
      <c r="C14" s="320"/>
      <c r="D14" s="320">
        <v>50</v>
      </c>
      <c r="E14" s="320">
        <v>50</v>
      </c>
      <c r="F14" s="320"/>
      <c r="G14" s="320">
        <f t="shared" si="0"/>
        <v>50</v>
      </c>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f t="shared" si="1"/>
        <v>0</v>
      </c>
      <c r="AG14" s="320">
        <v>50</v>
      </c>
      <c r="AH14" s="320"/>
      <c r="AI14" s="320">
        <f t="shared" si="2"/>
        <v>50</v>
      </c>
      <c r="AJ14" s="327"/>
    </row>
    <row r="15" s="310" customFormat="1" ht="43" customHeight="1" spans="1:36">
      <c r="A15" s="220" t="s">
        <v>1803</v>
      </c>
      <c r="B15" s="320">
        <v>831</v>
      </c>
      <c r="C15" s="320"/>
      <c r="D15" s="320">
        <v>831</v>
      </c>
      <c r="E15" s="320">
        <v>974</v>
      </c>
      <c r="F15" s="320"/>
      <c r="G15" s="320">
        <f t="shared" si="0"/>
        <v>974</v>
      </c>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f t="shared" si="1"/>
        <v>0</v>
      </c>
      <c r="AG15" s="320">
        <v>974</v>
      </c>
      <c r="AH15" s="320"/>
      <c r="AI15" s="320">
        <f t="shared" si="2"/>
        <v>974</v>
      </c>
      <c r="AJ15" s="327"/>
    </row>
    <row r="16" s="310" customFormat="1" ht="43" customHeight="1" spans="1:36">
      <c r="A16" s="220" t="s">
        <v>1804</v>
      </c>
      <c r="B16" s="320">
        <v>1156</v>
      </c>
      <c r="C16" s="320"/>
      <c r="D16" s="320">
        <v>1156</v>
      </c>
      <c r="E16" s="320">
        <v>1156</v>
      </c>
      <c r="F16" s="320"/>
      <c r="G16" s="320">
        <f t="shared" si="0"/>
        <v>1156</v>
      </c>
      <c r="H16" s="320"/>
      <c r="I16" s="320"/>
      <c r="J16" s="320"/>
      <c r="K16" s="320"/>
      <c r="L16" s="320">
        <v>55.77</v>
      </c>
      <c r="M16" s="320"/>
      <c r="N16" s="320"/>
      <c r="O16" s="320"/>
      <c r="P16" s="320"/>
      <c r="Q16" s="320"/>
      <c r="R16" s="320">
        <v>46.88</v>
      </c>
      <c r="S16" s="320"/>
      <c r="T16" s="320"/>
      <c r="U16" s="320"/>
      <c r="V16" s="320"/>
      <c r="W16" s="320"/>
      <c r="X16" s="320"/>
      <c r="Y16" s="320"/>
      <c r="Z16" s="320"/>
      <c r="AA16" s="320"/>
      <c r="AB16" s="320"/>
      <c r="AC16" s="320"/>
      <c r="AD16" s="320"/>
      <c r="AE16" s="320"/>
      <c r="AF16" s="320">
        <f t="shared" si="1"/>
        <v>102.65</v>
      </c>
      <c r="AG16" s="320">
        <v>1053.35</v>
      </c>
      <c r="AH16" s="320"/>
      <c r="AI16" s="320">
        <f t="shared" si="2"/>
        <v>1156</v>
      </c>
      <c r="AJ16" s="327"/>
    </row>
    <row r="17" s="310" customFormat="1" ht="43" customHeight="1" spans="1:36">
      <c r="A17" s="220" t="s">
        <v>1805</v>
      </c>
      <c r="B17" s="320"/>
      <c r="C17" s="320">
        <v>10788</v>
      </c>
      <c r="D17" s="320">
        <v>10788</v>
      </c>
      <c r="E17" s="320"/>
      <c r="F17" s="320">
        <v>10788</v>
      </c>
      <c r="G17" s="320">
        <f t="shared" si="0"/>
        <v>10788</v>
      </c>
      <c r="H17" s="320"/>
      <c r="I17" s="320"/>
      <c r="J17" s="320"/>
      <c r="K17" s="320"/>
      <c r="L17" s="320"/>
      <c r="M17" s="320">
        <f>100+132.2+153+7.23</f>
        <v>392.43</v>
      </c>
      <c r="N17" s="320"/>
      <c r="O17" s="320"/>
      <c r="P17" s="320"/>
      <c r="Q17" s="320"/>
      <c r="R17" s="320"/>
      <c r="S17" s="320"/>
      <c r="T17" s="320"/>
      <c r="U17" s="320"/>
      <c r="V17" s="320"/>
      <c r="W17" s="320"/>
      <c r="X17" s="320"/>
      <c r="Y17" s="320">
        <v>385</v>
      </c>
      <c r="Z17" s="320"/>
      <c r="AA17" s="320"/>
      <c r="AB17" s="320"/>
      <c r="AC17" s="320"/>
      <c r="AD17" s="320"/>
      <c r="AE17" s="320">
        <v>313</v>
      </c>
      <c r="AF17" s="320">
        <f t="shared" si="1"/>
        <v>1090.43</v>
      </c>
      <c r="AG17" s="320">
        <v>9697.57</v>
      </c>
      <c r="AH17" s="320"/>
      <c r="AI17" s="320">
        <f t="shared" si="2"/>
        <v>10788</v>
      </c>
      <c r="AJ17" s="327"/>
    </row>
    <row r="18" s="310" customFormat="1" ht="43" customHeight="1" spans="1:36">
      <c r="A18" s="220" t="s">
        <v>1806</v>
      </c>
      <c r="B18" s="320">
        <v>1996</v>
      </c>
      <c r="C18" s="320"/>
      <c r="D18" s="320">
        <v>1996</v>
      </c>
      <c r="E18" s="320">
        <v>1996</v>
      </c>
      <c r="F18" s="320"/>
      <c r="G18" s="320">
        <f t="shared" si="0"/>
        <v>1996</v>
      </c>
      <c r="H18" s="320"/>
      <c r="I18" s="320"/>
      <c r="J18" s="320">
        <v>1027.4</v>
      </c>
      <c r="K18" s="320"/>
      <c r="L18" s="320"/>
      <c r="M18" s="320"/>
      <c r="N18" s="320"/>
      <c r="O18" s="320"/>
      <c r="P18" s="320"/>
      <c r="Q18" s="320"/>
      <c r="R18" s="320"/>
      <c r="S18" s="320"/>
      <c r="T18" s="320"/>
      <c r="U18" s="320"/>
      <c r="V18" s="320"/>
      <c r="W18" s="320"/>
      <c r="X18" s="320"/>
      <c r="Y18" s="320"/>
      <c r="Z18" s="320"/>
      <c r="AA18" s="320"/>
      <c r="AB18" s="320"/>
      <c r="AC18" s="320"/>
      <c r="AD18" s="320"/>
      <c r="AE18" s="320"/>
      <c r="AF18" s="320">
        <f t="shared" si="1"/>
        <v>1027.4</v>
      </c>
      <c r="AG18" s="320">
        <v>968.6</v>
      </c>
      <c r="AH18" s="320"/>
      <c r="AI18" s="320">
        <f t="shared" si="2"/>
        <v>1996</v>
      </c>
      <c r="AJ18" s="327"/>
    </row>
    <row r="19" s="310" customFormat="1" ht="43" customHeight="1" spans="1:36">
      <c r="A19" s="220" t="s">
        <v>1807</v>
      </c>
      <c r="B19" s="320">
        <v>500</v>
      </c>
      <c r="C19" s="320">
        <v>760</v>
      </c>
      <c r="D19" s="320">
        <v>1260</v>
      </c>
      <c r="E19" s="320">
        <v>500</v>
      </c>
      <c r="F19" s="320">
        <v>760</v>
      </c>
      <c r="G19" s="320">
        <f t="shared" si="0"/>
        <v>1260</v>
      </c>
      <c r="H19" s="320"/>
      <c r="I19" s="320"/>
      <c r="J19" s="320">
        <v>873.06</v>
      </c>
      <c r="K19" s="320"/>
      <c r="L19" s="320"/>
      <c r="M19" s="320"/>
      <c r="N19" s="320"/>
      <c r="O19" s="320"/>
      <c r="P19" s="320"/>
      <c r="Q19" s="320"/>
      <c r="R19" s="320">
        <v>29.45</v>
      </c>
      <c r="S19" s="320"/>
      <c r="T19" s="320"/>
      <c r="U19" s="320"/>
      <c r="V19" s="320"/>
      <c r="W19" s="320"/>
      <c r="X19" s="320"/>
      <c r="Y19" s="320"/>
      <c r="Z19" s="320"/>
      <c r="AA19" s="320"/>
      <c r="AB19" s="320"/>
      <c r="AC19" s="320">
        <v>56.4</v>
      </c>
      <c r="AD19" s="320"/>
      <c r="AE19" s="320"/>
      <c r="AF19" s="320">
        <f t="shared" si="1"/>
        <v>958.91</v>
      </c>
      <c r="AG19" s="320"/>
      <c r="AH19" s="320">
        <v>301.09</v>
      </c>
      <c r="AI19" s="320">
        <f t="shared" si="2"/>
        <v>1260</v>
      </c>
      <c r="AJ19" s="327"/>
    </row>
    <row r="20" s="310" customFormat="1" ht="43" customHeight="1" spans="1:36">
      <c r="A20" s="220" t="s">
        <v>1808</v>
      </c>
      <c r="B20" s="320">
        <v>4159</v>
      </c>
      <c r="C20" s="320"/>
      <c r="D20" s="320">
        <v>4159</v>
      </c>
      <c r="E20" s="320">
        <v>4534</v>
      </c>
      <c r="F20" s="320"/>
      <c r="G20" s="320">
        <f t="shared" si="0"/>
        <v>4534</v>
      </c>
      <c r="H20" s="320"/>
      <c r="I20" s="320"/>
      <c r="J20" s="320"/>
      <c r="K20" s="320">
        <f>243.01+2.48+19</f>
        <v>264.49</v>
      </c>
      <c r="L20" s="320"/>
      <c r="M20" s="320"/>
      <c r="N20" s="320"/>
      <c r="O20" s="320">
        <v>69.57</v>
      </c>
      <c r="P20" s="320"/>
      <c r="Q20" s="320">
        <v>1723.37</v>
      </c>
      <c r="R20" s="320"/>
      <c r="S20" s="320"/>
      <c r="T20" s="320"/>
      <c r="U20" s="320"/>
      <c r="V20" s="320"/>
      <c r="W20" s="320"/>
      <c r="X20" s="320"/>
      <c r="Y20" s="320"/>
      <c r="Z20" s="320">
        <v>147</v>
      </c>
      <c r="AA20" s="320">
        <v>400</v>
      </c>
      <c r="AB20" s="320"/>
      <c r="AC20" s="320"/>
      <c r="AD20" s="320"/>
      <c r="AE20" s="320">
        <v>40</v>
      </c>
      <c r="AF20" s="320">
        <f t="shared" si="1"/>
        <v>2644.43</v>
      </c>
      <c r="AG20" s="320">
        <v>1889.57</v>
      </c>
      <c r="AH20" s="320"/>
      <c r="AI20" s="320">
        <f t="shared" si="2"/>
        <v>4534</v>
      </c>
      <c r="AJ20" s="327"/>
    </row>
    <row r="21" s="310" customFormat="1" ht="43" customHeight="1" spans="1:36">
      <c r="A21" s="220" t="s">
        <v>1809</v>
      </c>
      <c r="B21" s="320"/>
      <c r="C21" s="320"/>
      <c r="D21" s="320"/>
      <c r="E21" s="320">
        <v>8368</v>
      </c>
      <c r="F21" s="320"/>
      <c r="G21" s="320">
        <f t="shared" si="0"/>
        <v>8368</v>
      </c>
      <c r="H21" s="320"/>
      <c r="I21" s="320"/>
      <c r="J21" s="320"/>
      <c r="K21" s="320"/>
      <c r="L21" s="320"/>
      <c r="M21" s="320"/>
      <c r="N21" s="320"/>
      <c r="O21" s="320"/>
      <c r="P21" s="320"/>
      <c r="Q21" s="320"/>
      <c r="R21" s="320"/>
      <c r="S21" s="320">
        <v>4034</v>
      </c>
      <c r="T21" s="320"/>
      <c r="U21" s="320"/>
      <c r="V21" s="320"/>
      <c r="W21" s="320"/>
      <c r="X21" s="320"/>
      <c r="Y21" s="320"/>
      <c r="Z21" s="320"/>
      <c r="AA21" s="320"/>
      <c r="AB21" s="320"/>
      <c r="AC21" s="320"/>
      <c r="AD21" s="320"/>
      <c r="AE21" s="320"/>
      <c r="AF21" s="320">
        <f t="shared" si="1"/>
        <v>4034</v>
      </c>
      <c r="AG21" s="320">
        <v>4334</v>
      </c>
      <c r="AH21" s="320"/>
      <c r="AI21" s="320">
        <f t="shared" si="2"/>
        <v>8368</v>
      </c>
      <c r="AJ21" s="327"/>
    </row>
    <row r="22" s="310" customFormat="1" ht="43" customHeight="1" spans="1:36">
      <c r="A22" s="220" t="s">
        <v>1810</v>
      </c>
      <c r="B22" s="320"/>
      <c r="C22" s="320"/>
      <c r="D22" s="320"/>
      <c r="E22" s="320"/>
      <c r="F22" s="320">
        <v>113.06</v>
      </c>
      <c r="G22" s="320">
        <f t="shared" si="0"/>
        <v>113.06</v>
      </c>
      <c r="H22" s="320"/>
      <c r="I22" s="320"/>
      <c r="J22" s="320"/>
      <c r="K22" s="320"/>
      <c r="L22" s="320"/>
      <c r="M22" s="320"/>
      <c r="N22" s="320"/>
      <c r="O22" s="320"/>
      <c r="P22" s="320"/>
      <c r="Q22" s="320"/>
      <c r="R22" s="320"/>
      <c r="S22" s="320"/>
      <c r="T22" s="320"/>
      <c r="U22" s="320"/>
      <c r="V22" s="320"/>
      <c r="W22" s="320"/>
      <c r="X22" s="320"/>
      <c r="Y22" s="320"/>
      <c r="Z22" s="320"/>
      <c r="AA22" s="320"/>
      <c r="AB22" s="320"/>
      <c r="AC22" s="320"/>
      <c r="AD22" s="320"/>
      <c r="AE22" s="320"/>
      <c r="AF22" s="320">
        <f t="shared" si="1"/>
        <v>0</v>
      </c>
      <c r="AG22" s="320">
        <v>113.06</v>
      </c>
      <c r="AH22" s="320"/>
      <c r="AI22" s="320">
        <f t="shared" si="2"/>
        <v>113.06</v>
      </c>
      <c r="AJ22" s="327"/>
    </row>
    <row r="23" s="310" customFormat="1" ht="43" customHeight="1" spans="1:36">
      <c r="A23" s="220" t="s">
        <v>1811</v>
      </c>
      <c r="B23" s="320">
        <v>12258</v>
      </c>
      <c r="C23" s="320"/>
      <c r="D23" s="320">
        <v>12258</v>
      </c>
      <c r="E23" s="320">
        <v>12616</v>
      </c>
      <c r="F23" s="320"/>
      <c r="G23" s="320">
        <f t="shared" si="0"/>
        <v>12616</v>
      </c>
      <c r="H23" s="320"/>
      <c r="I23" s="320"/>
      <c r="J23" s="320"/>
      <c r="K23" s="320"/>
      <c r="L23" s="320"/>
      <c r="M23" s="320"/>
      <c r="N23" s="320">
        <v>180</v>
      </c>
      <c r="O23" s="320"/>
      <c r="P23" s="320"/>
      <c r="Q23" s="320"/>
      <c r="R23" s="320"/>
      <c r="S23" s="320"/>
      <c r="T23" s="320"/>
      <c r="U23" s="320"/>
      <c r="V23" s="320"/>
      <c r="W23" s="320"/>
      <c r="X23" s="320">
        <v>10.5</v>
      </c>
      <c r="Y23" s="320"/>
      <c r="Z23" s="320"/>
      <c r="AA23" s="320"/>
      <c r="AB23" s="320">
        <v>434</v>
      </c>
      <c r="AC23" s="320"/>
      <c r="AD23" s="320">
        <v>200</v>
      </c>
      <c r="AE23" s="320">
        <v>365</v>
      </c>
      <c r="AF23" s="320">
        <f t="shared" si="1"/>
        <v>1189.5</v>
      </c>
      <c r="AG23" s="320">
        <v>11426.5</v>
      </c>
      <c r="AH23" s="320"/>
      <c r="AI23" s="320">
        <f t="shared" si="2"/>
        <v>12616</v>
      </c>
      <c r="AJ23" s="327"/>
    </row>
    <row r="24" s="310" customFormat="1" ht="43" customHeight="1" spans="1:36">
      <c r="A24" s="189" t="s">
        <v>84</v>
      </c>
      <c r="B24" s="190">
        <f t="shared" ref="B24:F24" si="3">SUM(B7:B23)</f>
        <v>26865.12</v>
      </c>
      <c r="C24" s="190">
        <f t="shared" si="3"/>
        <v>12274.56</v>
      </c>
      <c r="D24" s="191">
        <f>B24+C24</f>
        <v>39139.68</v>
      </c>
      <c r="E24" s="190">
        <f t="shared" si="3"/>
        <v>36109.12</v>
      </c>
      <c r="F24" s="190">
        <f t="shared" si="3"/>
        <v>12387.62</v>
      </c>
      <c r="G24" s="191">
        <f>E24+F24</f>
        <v>48496.74</v>
      </c>
      <c r="H24" s="191">
        <f t="shared" ref="H24:AE24" si="4">SUM(H7:H23)</f>
        <v>1290</v>
      </c>
      <c r="I24" s="191">
        <f t="shared" si="4"/>
        <v>15</v>
      </c>
      <c r="J24" s="191">
        <f t="shared" si="4"/>
        <v>1900.46</v>
      </c>
      <c r="K24" s="191">
        <f t="shared" si="4"/>
        <v>264.49</v>
      </c>
      <c r="L24" s="191">
        <f t="shared" si="4"/>
        <v>55.77</v>
      </c>
      <c r="M24" s="191">
        <f t="shared" si="4"/>
        <v>392.43</v>
      </c>
      <c r="N24" s="191">
        <f t="shared" si="4"/>
        <v>180</v>
      </c>
      <c r="O24" s="191">
        <f t="shared" si="4"/>
        <v>69.57</v>
      </c>
      <c r="P24" s="191">
        <f t="shared" si="4"/>
        <v>133</v>
      </c>
      <c r="Q24" s="191">
        <f t="shared" si="4"/>
        <v>1723.37</v>
      </c>
      <c r="R24" s="191">
        <f t="shared" si="4"/>
        <v>76.33</v>
      </c>
      <c r="S24" s="191">
        <f t="shared" si="4"/>
        <v>4034</v>
      </c>
      <c r="T24" s="191">
        <f t="shared" si="4"/>
        <v>67</v>
      </c>
      <c r="U24" s="191">
        <f t="shared" si="4"/>
        <v>193.39</v>
      </c>
      <c r="V24" s="191">
        <f t="shared" si="4"/>
        <v>982.5</v>
      </c>
      <c r="W24" s="191">
        <f t="shared" si="4"/>
        <v>33</v>
      </c>
      <c r="X24" s="191">
        <f t="shared" si="4"/>
        <v>64.74</v>
      </c>
      <c r="Y24" s="191">
        <f t="shared" si="4"/>
        <v>427.24</v>
      </c>
      <c r="Z24" s="191">
        <f t="shared" si="4"/>
        <v>147</v>
      </c>
      <c r="AA24" s="191">
        <f t="shared" si="4"/>
        <v>400</v>
      </c>
      <c r="AB24" s="191">
        <f t="shared" si="4"/>
        <v>434</v>
      </c>
      <c r="AC24" s="191">
        <f t="shared" si="4"/>
        <v>56.4</v>
      </c>
      <c r="AD24" s="191">
        <f t="shared" si="4"/>
        <v>200</v>
      </c>
      <c r="AE24" s="191">
        <f t="shared" si="4"/>
        <v>748</v>
      </c>
      <c r="AF24" s="191">
        <f t="shared" si="1"/>
        <v>13887.69</v>
      </c>
      <c r="AG24" s="191">
        <f t="shared" ref="AG24:AJ24" si="5">SUM(AG7:AG23)</f>
        <v>34307.96</v>
      </c>
      <c r="AH24" s="191">
        <f t="shared" si="5"/>
        <v>301.09</v>
      </c>
      <c r="AI24" s="191">
        <f t="shared" si="5"/>
        <v>48496.74</v>
      </c>
      <c r="AJ24" s="328">
        <f t="shared" si="5"/>
        <v>0</v>
      </c>
    </row>
    <row r="25" s="311" customFormat="1" ht="23" customHeight="1" spans="1:35">
      <c r="A25" s="311" t="s">
        <v>1812</v>
      </c>
      <c r="B25" s="321"/>
      <c r="C25" s="321"/>
      <c r="D25" s="322"/>
      <c r="E25" s="322"/>
      <c r="F25" s="322"/>
      <c r="G25" s="322"/>
      <c r="H25" s="322"/>
      <c r="I25" s="322"/>
      <c r="J25" s="322"/>
      <c r="K25" s="322"/>
      <c r="L25" s="322"/>
      <c r="M25" s="322"/>
      <c r="N25" s="322"/>
      <c r="O25" s="322"/>
      <c r="P25" s="322"/>
      <c r="Q25" s="321"/>
      <c r="R25" s="322"/>
      <c r="S25" s="322"/>
      <c r="T25" s="322"/>
      <c r="U25" s="322"/>
      <c r="V25" s="322"/>
      <c r="W25" s="322"/>
      <c r="X25" s="322"/>
      <c r="Y25" s="322"/>
      <c r="Z25" s="322"/>
      <c r="AA25" s="322"/>
      <c r="AB25" s="322"/>
      <c r="AC25" s="322"/>
      <c r="AD25" s="322"/>
      <c r="AE25" s="322"/>
      <c r="AF25" s="322"/>
      <c r="AG25" s="322"/>
      <c r="AH25" s="322"/>
      <c r="AI25" s="322"/>
    </row>
    <row r="26" s="311" customFormat="1" ht="23" customHeight="1" spans="2:35">
      <c r="B26" s="321"/>
      <c r="C26" s="321"/>
      <c r="D26" s="322"/>
      <c r="E26" s="322"/>
      <c r="F26" s="322"/>
      <c r="G26" s="322"/>
      <c r="H26" s="322"/>
      <c r="I26" s="322"/>
      <c r="J26" s="322"/>
      <c r="K26" s="322"/>
      <c r="L26" s="322"/>
      <c r="M26" s="322"/>
      <c r="N26" s="322"/>
      <c r="O26" s="322"/>
      <c r="P26" s="322"/>
      <c r="Q26" s="321"/>
      <c r="R26" s="322"/>
      <c r="S26" s="322"/>
      <c r="T26" s="322"/>
      <c r="U26" s="322"/>
      <c r="V26" s="322"/>
      <c r="W26" s="322"/>
      <c r="X26" s="322"/>
      <c r="Y26" s="322"/>
      <c r="Z26" s="322"/>
      <c r="AA26" s="322"/>
      <c r="AB26" s="322"/>
      <c r="AC26" s="322"/>
      <c r="AD26" s="322"/>
      <c r="AE26" s="322"/>
      <c r="AF26" s="322"/>
      <c r="AG26" s="322"/>
      <c r="AH26" s="322"/>
      <c r="AI26" s="322"/>
    </row>
    <row r="27" s="311" customFormat="1" ht="23" customHeight="1" spans="2:35">
      <c r="B27" s="321"/>
      <c r="C27" s="321"/>
      <c r="D27" s="322"/>
      <c r="E27" s="322"/>
      <c r="F27" s="322"/>
      <c r="G27" s="322"/>
      <c r="H27" s="322"/>
      <c r="I27" s="322"/>
      <c r="J27" s="322"/>
      <c r="K27" s="322"/>
      <c r="L27" s="322"/>
      <c r="M27" s="322"/>
      <c r="N27" s="322"/>
      <c r="O27" s="322"/>
      <c r="P27" s="322"/>
      <c r="Q27" s="321"/>
      <c r="R27" s="322"/>
      <c r="S27" s="322"/>
      <c r="T27" s="322"/>
      <c r="U27" s="322"/>
      <c r="V27" s="322"/>
      <c r="W27" s="322"/>
      <c r="X27" s="322"/>
      <c r="Y27" s="322"/>
      <c r="Z27" s="322"/>
      <c r="AA27" s="322"/>
      <c r="AB27" s="322"/>
      <c r="AC27" s="322"/>
      <c r="AD27" s="322"/>
      <c r="AE27" s="322"/>
      <c r="AF27" s="322"/>
      <c r="AG27" s="322"/>
      <c r="AH27" s="322"/>
      <c r="AI27" s="322"/>
    </row>
    <row r="28" s="308" customFormat="1" spans="2:35">
      <c r="B28" s="312"/>
      <c r="C28" s="312"/>
      <c r="D28" s="313"/>
      <c r="E28" s="313"/>
      <c r="F28" s="313"/>
      <c r="G28" s="313"/>
      <c r="H28" s="313"/>
      <c r="I28" s="313"/>
      <c r="J28" s="313"/>
      <c r="K28" s="313"/>
      <c r="L28" s="313"/>
      <c r="M28" s="313"/>
      <c r="N28" s="313"/>
      <c r="O28" s="313"/>
      <c r="P28" s="313"/>
      <c r="Q28" s="312"/>
      <c r="R28" s="313"/>
      <c r="S28" s="313"/>
      <c r="T28" s="313"/>
      <c r="U28" s="313"/>
      <c r="V28" s="313"/>
      <c r="W28" s="313"/>
      <c r="X28" s="313"/>
      <c r="Y28" s="313"/>
      <c r="Z28" s="313"/>
      <c r="AA28" s="313"/>
      <c r="AB28" s="313"/>
      <c r="AC28" s="313"/>
      <c r="AD28" s="313"/>
      <c r="AE28" s="313"/>
      <c r="AF28" s="313"/>
      <c r="AG28" s="313"/>
      <c r="AH28" s="313"/>
      <c r="AI28" s="313"/>
    </row>
    <row r="29" s="308" customFormat="1" ht="19" customHeight="1" spans="2:35">
      <c r="B29" s="312"/>
      <c r="C29" s="312"/>
      <c r="D29" s="313"/>
      <c r="E29" s="313"/>
      <c r="F29" s="313"/>
      <c r="G29" s="313"/>
      <c r="H29" s="313"/>
      <c r="I29" s="313"/>
      <c r="J29" s="313"/>
      <c r="K29" s="313"/>
      <c r="L29" s="313"/>
      <c r="M29" s="313"/>
      <c r="N29" s="313"/>
      <c r="O29" s="313"/>
      <c r="P29" s="313"/>
      <c r="Q29" s="312"/>
      <c r="R29" s="313"/>
      <c r="S29" s="313"/>
      <c r="T29" s="313"/>
      <c r="U29" s="313"/>
      <c r="V29" s="313"/>
      <c r="W29" s="313"/>
      <c r="X29" s="313"/>
      <c r="Y29" s="313"/>
      <c r="Z29" s="313"/>
      <c r="AA29" s="313"/>
      <c r="AB29" s="313"/>
      <c r="AC29" s="313"/>
      <c r="AD29" s="313"/>
      <c r="AE29" s="313"/>
      <c r="AF29" s="313"/>
      <c r="AG29" s="313"/>
      <c r="AH29" s="313"/>
      <c r="AI29" s="313"/>
    </row>
    <row r="30" s="308" customFormat="1" ht="19" customHeight="1" spans="2:35">
      <c r="B30" s="312"/>
      <c r="C30" s="312"/>
      <c r="D30" s="313"/>
      <c r="E30" s="313"/>
      <c r="F30" s="313"/>
      <c r="G30" s="313"/>
      <c r="H30" s="313"/>
      <c r="I30" s="313"/>
      <c r="J30" s="313"/>
      <c r="K30" s="313"/>
      <c r="L30" s="313"/>
      <c r="M30" s="313"/>
      <c r="N30" s="313"/>
      <c r="O30" s="313"/>
      <c r="P30" s="313"/>
      <c r="Q30" s="312"/>
      <c r="R30" s="313"/>
      <c r="S30" s="313"/>
      <c r="T30" s="313"/>
      <c r="U30" s="313"/>
      <c r="V30" s="313"/>
      <c r="W30" s="313"/>
      <c r="X30" s="313"/>
      <c r="Y30" s="313"/>
      <c r="Z30" s="313"/>
      <c r="AA30" s="313"/>
      <c r="AB30" s="313"/>
      <c r="AC30" s="313"/>
      <c r="AD30" s="313"/>
      <c r="AE30" s="313"/>
      <c r="AF30" s="313"/>
      <c r="AG30" s="313"/>
      <c r="AH30" s="313"/>
      <c r="AI30" s="313"/>
    </row>
    <row r="31" s="308" customFormat="1" ht="19" customHeight="1" spans="2:35">
      <c r="B31" s="312"/>
      <c r="C31" s="312"/>
      <c r="D31" s="313"/>
      <c r="E31" s="313"/>
      <c r="F31" s="313"/>
      <c r="G31" s="313"/>
      <c r="H31" s="313"/>
      <c r="I31" s="313"/>
      <c r="J31" s="313"/>
      <c r="K31" s="313"/>
      <c r="L31" s="313"/>
      <c r="M31" s="313"/>
      <c r="N31" s="313"/>
      <c r="O31" s="313"/>
      <c r="P31" s="313"/>
      <c r="Q31" s="312"/>
      <c r="R31" s="313"/>
      <c r="S31" s="313"/>
      <c r="T31" s="313"/>
      <c r="U31" s="313"/>
      <c r="V31" s="313"/>
      <c r="W31" s="313"/>
      <c r="X31" s="313"/>
      <c r="Y31" s="313"/>
      <c r="Z31" s="313"/>
      <c r="AA31" s="313"/>
      <c r="AB31" s="313"/>
      <c r="AC31" s="313"/>
      <c r="AD31" s="313"/>
      <c r="AE31" s="313"/>
      <c r="AF31" s="313"/>
      <c r="AG31" s="313"/>
      <c r="AH31" s="313"/>
      <c r="AI31" s="313"/>
    </row>
  </sheetData>
  <mergeCells count="12">
    <mergeCell ref="A2:AJ2"/>
    <mergeCell ref="AI3:AJ3"/>
    <mergeCell ref="B4:G4"/>
    <mergeCell ref="H4:AI4"/>
    <mergeCell ref="B5:D5"/>
    <mergeCell ref="E5:G5"/>
    <mergeCell ref="H5:AF5"/>
    <mergeCell ref="A4:A6"/>
    <mergeCell ref="AG5:AG6"/>
    <mergeCell ref="AH5:AH6"/>
    <mergeCell ref="AI5:AI6"/>
    <mergeCell ref="AJ4:AJ6"/>
  </mergeCells>
  <printOptions horizontalCentered="1"/>
  <pageMargins left="0.393055555555556" right="0.393055555555556" top="0.393055555555556" bottom="0.393055555555556" header="0.196527777777778" footer="0.196527777777778"/>
  <pageSetup paperSize="9" scale="43" orientation="landscape"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2"/>
  <sheetViews>
    <sheetView view="pageBreakPreview" zoomScaleNormal="100" workbookViewId="0">
      <pane ySplit="5" topLeftCell="A6" activePane="bottomLeft" state="frozen"/>
      <selection/>
      <selection pane="bottomLeft" activeCell="A3" sqref="A3"/>
    </sheetView>
  </sheetViews>
  <sheetFormatPr defaultColWidth="9" defaultRowHeight="14.25"/>
  <cols>
    <col min="1" max="1" width="40.625" style="30" customWidth="1"/>
    <col min="2" max="7" width="12.625" style="175" customWidth="1"/>
    <col min="8" max="9" width="10.625" style="281" customWidth="1"/>
    <col min="10" max="10" width="25.625" style="30" customWidth="1"/>
    <col min="11" max="11" width="10.5" style="30" customWidth="1"/>
    <col min="12" max="16384" width="9" style="30"/>
  </cols>
  <sheetData>
    <row r="1" s="237" customFormat="1" ht="20" customHeight="1" spans="1:10">
      <c r="A1" s="282" t="s">
        <v>1813</v>
      </c>
      <c r="B1" s="283"/>
      <c r="C1" s="283"/>
      <c r="D1" s="283"/>
      <c r="E1" s="284"/>
      <c r="F1" s="283"/>
      <c r="G1" s="283"/>
      <c r="H1" s="285"/>
      <c r="I1" s="285"/>
      <c r="J1" s="305"/>
    </row>
    <row r="2" s="166" customFormat="1" ht="30" customHeight="1" spans="1:11">
      <c r="A2" s="286" t="s">
        <v>1814</v>
      </c>
      <c r="B2" s="287"/>
      <c r="C2" s="287"/>
      <c r="D2" s="287"/>
      <c r="E2" s="288"/>
      <c r="F2" s="287"/>
      <c r="G2" s="287"/>
      <c r="H2" s="289"/>
      <c r="I2" s="289"/>
      <c r="J2" s="286"/>
      <c r="K2" s="30"/>
    </row>
    <row r="3" s="279" customFormat="1" ht="20" customHeight="1" spans="1:10">
      <c r="A3" s="290"/>
      <c r="B3" s="291"/>
      <c r="C3" s="291"/>
      <c r="D3" s="291"/>
      <c r="E3" s="292"/>
      <c r="F3" s="291"/>
      <c r="G3" s="291"/>
      <c r="H3" s="293"/>
      <c r="I3" s="293"/>
      <c r="J3" s="306" t="s">
        <v>22</v>
      </c>
    </row>
    <row r="4" s="5" customFormat="1" ht="30" customHeight="1" spans="1:10">
      <c r="A4" s="15" t="s">
        <v>1815</v>
      </c>
      <c r="B4" s="294" t="s">
        <v>24</v>
      </c>
      <c r="C4" s="294"/>
      <c r="D4" s="294" t="s">
        <v>25</v>
      </c>
      <c r="E4" s="294"/>
      <c r="F4" s="294" t="s">
        <v>26</v>
      </c>
      <c r="G4" s="294"/>
      <c r="H4" s="295" t="s">
        <v>1816</v>
      </c>
      <c r="I4" s="295"/>
      <c r="J4" s="15" t="s">
        <v>28</v>
      </c>
    </row>
    <row r="5" s="5" customFormat="1" ht="30" customHeight="1" spans="1:10">
      <c r="A5" s="15"/>
      <c r="B5" s="294" t="s">
        <v>29</v>
      </c>
      <c r="C5" s="296" t="s">
        <v>30</v>
      </c>
      <c r="D5" s="294" t="s">
        <v>29</v>
      </c>
      <c r="E5" s="296" t="s">
        <v>30</v>
      </c>
      <c r="F5" s="294" t="s">
        <v>29</v>
      </c>
      <c r="G5" s="296" t="s">
        <v>30</v>
      </c>
      <c r="H5" s="295" t="s">
        <v>29</v>
      </c>
      <c r="I5" s="307" t="s">
        <v>30</v>
      </c>
      <c r="J5" s="15"/>
    </row>
    <row r="6" s="4" customFormat="1" ht="30" customHeight="1" spans="1:10">
      <c r="A6" s="297" t="s">
        <v>1817</v>
      </c>
      <c r="B6" s="298">
        <f t="shared" ref="B6:G6" si="0">SUM(B7:B15)</f>
        <v>221433.2494475</v>
      </c>
      <c r="C6" s="298">
        <f t="shared" si="0"/>
        <v>221433.2494475</v>
      </c>
      <c r="D6" s="298">
        <f t="shared" si="0"/>
        <v>-30818.2497475</v>
      </c>
      <c r="E6" s="298">
        <f t="shared" si="0"/>
        <v>-30818.2497475</v>
      </c>
      <c r="F6" s="298">
        <f t="shared" si="0"/>
        <v>190614.9997</v>
      </c>
      <c r="G6" s="298">
        <f t="shared" si="0"/>
        <v>190614.9997</v>
      </c>
      <c r="H6" s="299">
        <f t="shared" ref="H6:H22" si="1">IF(B6=0,IF(F6=0,0,100),100*(F6/B6-1))</f>
        <v>-13.9176252095812</v>
      </c>
      <c r="I6" s="299">
        <f t="shared" ref="I6:I22" si="2">IF(C6=0,IF(G6=0,0,100),100*(G6/C6-1))</f>
        <v>-13.9176252095812</v>
      </c>
      <c r="J6" s="15"/>
    </row>
    <row r="7" s="30" customFormat="1" ht="30" customHeight="1" spans="1:10">
      <c r="A7" s="58" t="s">
        <v>1818</v>
      </c>
      <c r="B7" s="300">
        <v>10958.75</v>
      </c>
      <c r="C7" s="300">
        <v>10958.75</v>
      </c>
      <c r="D7" s="301">
        <f t="shared" ref="D7:D15" si="3">+F7-B7</f>
        <v>-1931.9</v>
      </c>
      <c r="E7" s="301">
        <f t="shared" ref="E7:E15" si="4">+G7-C7</f>
        <v>-1931.9</v>
      </c>
      <c r="F7" s="301">
        <v>9026.85</v>
      </c>
      <c r="G7" s="301">
        <v>9026.85</v>
      </c>
      <c r="H7" s="302">
        <f t="shared" si="1"/>
        <v>-17.6288354054979</v>
      </c>
      <c r="I7" s="302">
        <f t="shared" si="2"/>
        <v>-17.6288354054979</v>
      </c>
      <c r="J7" s="52"/>
    </row>
    <row r="8" s="30" customFormat="1" ht="30" customHeight="1" spans="1:10">
      <c r="A8" s="58" t="s">
        <v>1819</v>
      </c>
      <c r="B8" s="300">
        <v>929.4994475</v>
      </c>
      <c r="C8" s="300">
        <v>929.4994475</v>
      </c>
      <c r="D8" s="301">
        <f t="shared" si="3"/>
        <v>106.4202525</v>
      </c>
      <c r="E8" s="301">
        <f t="shared" si="4"/>
        <v>106.4202525</v>
      </c>
      <c r="F8" s="301">
        <v>1035.9197</v>
      </c>
      <c r="G8" s="301">
        <v>1035.9197</v>
      </c>
      <c r="H8" s="302">
        <f t="shared" si="1"/>
        <v>11.4492001890082</v>
      </c>
      <c r="I8" s="302">
        <f t="shared" si="2"/>
        <v>11.4492001890082</v>
      </c>
      <c r="J8" s="143"/>
    </row>
    <row r="9" s="30" customFormat="1" ht="30" customHeight="1" spans="1:10">
      <c r="A9" s="58" t="s">
        <v>1820</v>
      </c>
      <c r="B9" s="300">
        <v>207287</v>
      </c>
      <c r="C9" s="300">
        <v>207287</v>
      </c>
      <c r="D9" s="301">
        <f t="shared" si="3"/>
        <v>-36812.77</v>
      </c>
      <c r="E9" s="301">
        <f t="shared" si="4"/>
        <v>-36812.77</v>
      </c>
      <c r="F9" s="301">
        <v>170474.23</v>
      </c>
      <c r="G9" s="301">
        <v>170474.23</v>
      </c>
      <c r="H9" s="302">
        <f t="shared" si="1"/>
        <v>-17.7593240290033</v>
      </c>
      <c r="I9" s="302">
        <f t="shared" si="2"/>
        <v>-17.7593240290033</v>
      </c>
      <c r="J9" s="52"/>
    </row>
    <row r="10" s="30" customFormat="1" ht="30" customHeight="1" spans="1:10">
      <c r="A10" s="58" t="s">
        <v>1821</v>
      </c>
      <c r="B10" s="300">
        <v>1000</v>
      </c>
      <c r="C10" s="300">
        <v>1000</v>
      </c>
      <c r="D10" s="301">
        <f t="shared" si="3"/>
        <v>0</v>
      </c>
      <c r="E10" s="301">
        <f t="shared" si="4"/>
        <v>0</v>
      </c>
      <c r="F10" s="301">
        <v>1000</v>
      </c>
      <c r="G10" s="301">
        <v>1000</v>
      </c>
      <c r="H10" s="302">
        <f t="shared" si="1"/>
        <v>0</v>
      </c>
      <c r="I10" s="302">
        <f t="shared" si="2"/>
        <v>0</v>
      </c>
      <c r="J10" s="52"/>
    </row>
    <row r="11" s="30" customFormat="1" ht="30" customHeight="1" spans="1:10">
      <c r="A11" s="58" t="s">
        <v>1822</v>
      </c>
      <c r="B11" s="300">
        <v>4198</v>
      </c>
      <c r="C11" s="300">
        <v>4198</v>
      </c>
      <c r="D11" s="301">
        <f t="shared" si="3"/>
        <v>-3523</v>
      </c>
      <c r="E11" s="301">
        <f t="shared" si="4"/>
        <v>-3523</v>
      </c>
      <c r="F11" s="301">
        <v>675</v>
      </c>
      <c r="G11" s="301">
        <v>675</v>
      </c>
      <c r="H11" s="302">
        <f t="shared" si="1"/>
        <v>-83.9209147212959</v>
      </c>
      <c r="I11" s="302">
        <f t="shared" si="2"/>
        <v>-83.9209147212959</v>
      </c>
      <c r="J11" s="52"/>
    </row>
    <row r="12" s="30" customFormat="1" ht="30" customHeight="1" spans="1:10">
      <c r="A12" s="58" t="s">
        <v>1823</v>
      </c>
      <c r="B12" s="300">
        <v>2000</v>
      </c>
      <c r="C12" s="300">
        <v>2000</v>
      </c>
      <c r="D12" s="301">
        <f t="shared" si="3"/>
        <v>-1675</v>
      </c>
      <c r="E12" s="301">
        <f t="shared" si="4"/>
        <v>-1675</v>
      </c>
      <c r="F12" s="301">
        <v>325</v>
      </c>
      <c r="G12" s="301">
        <v>325</v>
      </c>
      <c r="H12" s="302">
        <f t="shared" si="1"/>
        <v>-83.75</v>
      </c>
      <c r="I12" s="302">
        <f t="shared" si="2"/>
        <v>-83.75</v>
      </c>
      <c r="J12" s="52"/>
    </row>
    <row r="13" s="30" customFormat="1" ht="30" customHeight="1" spans="1:10">
      <c r="A13" s="58" t="s">
        <v>1824</v>
      </c>
      <c r="B13" s="300">
        <v>-10000</v>
      </c>
      <c r="C13" s="300">
        <v>-10000</v>
      </c>
      <c r="D13" s="301">
        <f t="shared" si="3"/>
        <v>0</v>
      </c>
      <c r="E13" s="301">
        <f t="shared" si="4"/>
        <v>0</v>
      </c>
      <c r="F13" s="300">
        <v>-10000</v>
      </c>
      <c r="G13" s="300">
        <v>-10000</v>
      </c>
      <c r="H13" s="302">
        <f t="shared" si="1"/>
        <v>0</v>
      </c>
      <c r="I13" s="302">
        <f t="shared" si="2"/>
        <v>0</v>
      </c>
      <c r="J13" s="58"/>
    </row>
    <row r="14" s="30" customFormat="1" ht="30" customHeight="1" spans="1:10">
      <c r="A14" s="58" t="s">
        <v>1825</v>
      </c>
      <c r="B14" s="300">
        <v>60</v>
      </c>
      <c r="C14" s="300">
        <v>60</v>
      </c>
      <c r="D14" s="301">
        <f t="shared" si="3"/>
        <v>18</v>
      </c>
      <c r="E14" s="301">
        <f t="shared" si="4"/>
        <v>18</v>
      </c>
      <c r="F14" s="301">
        <v>78</v>
      </c>
      <c r="G14" s="301">
        <v>78</v>
      </c>
      <c r="H14" s="302">
        <f t="shared" si="1"/>
        <v>30</v>
      </c>
      <c r="I14" s="302">
        <f t="shared" si="2"/>
        <v>30</v>
      </c>
      <c r="J14" s="52"/>
    </row>
    <row r="15" s="30" customFormat="1" ht="30" customHeight="1" spans="1:10">
      <c r="A15" s="58" t="s">
        <v>1826</v>
      </c>
      <c r="B15" s="300">
        <v>5000</v>
      </c>
      <c r="C15" s="300">
        <v>5000</v>
      </c>
      <c r="D15" s="301">
        <f t="shared" si="3"/>
        <v>13000</v>
      </c>
      <c r="E15" s="301">
        <f t="shared" si="4"/>
        <v>13000</v>
      </c>
      <c r="F15" s="301">
        <v>18000</v>
      </c>
      <c r="G15" s="301">
        <v>18000</v>
      </c>
      <c r="H15" s="302">
        <f t="shared" si="1"/>
        <v>260</v>
      </c>
      <c r="I15" s="302">
        <f t="shared" si="2"/>
        <v>260</v>
      </c>
      <c r="J15" s="52"/>
    </row>
    <row r="16" s="280" customFormat="1" ht="30" customHeight="1" spans="1:10">
      <c r="A16" s="65" t="s">
        <v>66</v>
      </c>
      <c r="B16" s="303">
        <f t="shared" ref="B16:G16" si="5">SUM(B7:B15)</f>
        <v>221433.2494475</v>
      </c>
      <c r="C16" s="303">
        <f>SUM(B7:B15)</f>
        <v>221433.2494475</v>
      </c>
      <c r="D16" s="303">
        <f t="shared" si="5"/>
        <v>-30818.2497475</v>
      </c>
      <c r="E16" s="303">
        <f t="shared" si="5"/>
        <v>-30818.2497475</v>
      </c>
      <c r="F16" s="303">
        <f t="shared" si="5"/>
        <v>190614.9997</v>
      </c>
      <c r="G16" s="303">
        <f t="shared" si="5"/>
        <v>190614.9997</v>
      </c>
      <c r="H16" s="299">
        <f t="shared" si="1"/>
        <v>-13.9176252095812</v>
      </c>
      <c r="I16" s="299">
        <f t="shared" si="2"/>
        <v>-13.9176252095812</v>
      </c>
      <c r="J16" s="48"/>
    </row>
    <row r="17" s="280" customFormat="1" ht="30" customHeight="1" spans="1:10">
      <c r="A17" s="73" t="s">
        <v>1827</v>
      </c>
      <c r="B17" s="303">
        <f t="shared" ref="B17:G17" si="6">SUM(B18:B21)</f>
        <v>0</v>
      </c>
      <c r="C17" s="303">
        <f t="shared" si="6"/>
        <v>323043</v>
      </c>
      <c r="D17" s="303">
        <f>D18+D19+D20+D21</f>
        <v>0</v>
      </c>
      <c r="E17" s="303">
        <f>E18+E19+E20+E21</f>
        <v>25101</v>
      </c>
      <c r="F17" s="303">
        <f t="shared" si="6"/>
        <v>0</v>
      </c>
      <c r="G17" s="303">
        <f t="shared" si="6"/>
        <v>348144</v>
      </c>
      <c r="H17" s="299">
        <f t="shared" si="1"/>
        <v>0</v>
      </c>
      <c r="I17" s="299">
        <f t="shared" si="2"/>
        <v>7.7701730110233</v>
      </c>
      <c r="J17" s="48"/>
    </row>
    <row r="18" s="30" customFormat="1" ht="30" customHeight="1" spans="1:10">
      <c r="A18" s="58" t="s">
        <v>1828</v>
      </c>
      <c r="B18" s="304"/>
      <c r="C18" s="301">
        <v>7342</v>
      </c>
      <c r="D18" s="301">
        <f t="shared" ref="D18:D21" si="7">+F18-B18</f>
        <v>0</v>
      </c>
      <c r="E18" s="301">
        <f t="shared" ref="E18:E21" si="8">+G18-C18</f>
        <v>0</v>
      </c>
      <c r="F18" s="301"/>
      <c r="G18" s="301">
        <v>7342</v>
      </c>
      <c r="H18" s="302">
        <f t="shared" si="1"/>
        <v>0</v>
      </c>
      <c r="I18" s="302">
        <f t="shared" si="2"/>
        <v>0</v>
      </c>
      <c r="J18" s="52"/>
    </row>
    <row r="19" s="30" customFormat="1" ht="30" customHeight="1" spans="1:10">
      <c r="A19" s="58" t="s">
        <v>1829</v>
      </c>
      <c r="B19" s="304"/>
      <c r="C19" s="301">
        <v>20701</v>
      </c>
      <c r="D19" s="301">
        <f t="shared" si="7"/>
        <v>0</v>
      </c>
      <c r="E19" s="301">
        <f t="shared" si="8"/>
        <v>1</v>
      </c>
      <c r="F19" s="301"/>
      <c r="G19" s="301">
        <v>20702</v>
      </c>
      <c r="H19" s="302">
        <f t="shared" si="1"/>
        <v>0</v>
      </c>
      <c r="I19" s="302">
        <f t="shared" si="2"/>
        <v>0.00483068450798374</v>
      </c>
      <c r="J19" s="52"/>
    </row>
    <row r="20" s="30" customFormat="1" ht="30" customHeight="1" spans="1:10">
      <c r="A20" s="58" t="s">
        <v>1830</v>
      </c>
      <c r="B20" s="304"/>
      <c r="C20" s="301">
        <v>295000</v>
      </c>
      <c r="D20" s="301">
        <f t="shared" si="7"/>
        <v>0</v>
      </c>
      <c r="E20" s="301">
        <f t="shared" si="8"/>
        <v>0</v>
      </c>
      <c r="F20" s="301"/>
      <c r="G20" s="301">
        <v>295000</v>
      </c>
      <c r="H20" s="302">
        <f t="shared" si="1"/>
        <v>0</v>
      </c>
      <c r="I20" s="302">
        <f t="shared" si="2"/>
        <v>0</v>
      </c>
      <c r="J20" s="52"/>
    </row>
    <row r="21" s="30" customFormat="1" ht="30" customHeight="1" spans="1:10">
      <c r="A21" s="58" t="s">
        <v>1831</v>
      </c>
      <c r="B21" s="301"/>
      <c r="C21" s="301"/>
      <c r="D21" s="301">
        <f t="shared" si="7"/>
        <v>0</v>
      </c>
      <c r="E21" s="301">
        <f t="shared" si="8"/>
        <v>25100</v>
      </c>
      <c r="F21" s="301"/>
      <c r="G21" s="301">
        <v>25100</v>
      </c>
      <c r="H21" s="302">
        <f t="shared" si="1"/>
        <v>0</v>
      </c>
      <c r="I21" s="302">
        <f t="shared" si="2"/>
        <v>100</v>
      </c>
      <c r="J21" s="52"/>
    </row>
    <row r="22" s="280" customFormat="1" ht="30" customHeight="1" spans="1:10">
      <c r="A22" s="65" t="s">
        <v>1832</v>
      </c>
      <c r="B22" s="303">
        <f t="shared" ref="B22:G22" si="9">B16+B17</f>
        <v>221433.2494475</v>
      </c>
      <c r="C22" s="303">
        <f t="shared" si="9"/>
        <v>544476.2494475</v>
      </c>
      <c r="D22" s="303">
        <f t="shared" si="9"/>
        <v>-30818.2497475</v>
      </c>
      <c r="E22" s="303">
        <f t="shared" si="9"/>
        <v>-5717.24974749999</v>
      </c>
      <c r="F22" s="303">
        <f t="shared" si="9"/>
        <v>190614.9997</v>
      </c>
      <c r="G22" s="303">
        <f t="shared" si="9"/>
        <v>538758.9997</v>
      </c>
      <c r="H22" s="299">
        <f t="shared" si="1"/>
        <v>-13.9176252095812</v>
      </c>
      <c r="I22" s="299">
        <f t="shared" si="2"/>
        <v>-1.05004575558648</v>
      </c>
      <c r="J22" s="48"/>
    </row>
  </sheetData>
  <mergeCells count="7">
    <mergeCell ref="A2:J2"/>
    <mergeCell ref="B4:C4"/>
    <mergeCell ref="D4:E4"/>
    <mergeCell ref="F4:G4"/>
    <mergeCell ref="H4:I4"/>
    <mergeCell ref="A4:A5"/>
    <mergeCell ref="J4:J5"/>
  </mergeCells>
  <printOptions horizontalCentered="1"/>
  <pageMargins left="0.393055555555556" right="0.393055555555556" top="0.590277777777778" bottom="0.590277777777778" header="0.196527777777778" footer="0.196527777777778"/>
  <pageSetup paperSize="9" scale="80" fitToHeight="0" orientation="landscape"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1"/>
  <sheetViews>
    <sheetView workbookViewId="0">
      <pane ySplit="5" topLeftCell="A6" activePane="bottomLeft" state="frozen"/>
      <selection/>
      <selection pane="bottomLeft" activeCell="A3" sqref="A3"/>
    </sheetView>
  </sheetViews>
  <sheetFormatPr defaultColWidth="9" defaultRowHeight="13.5"/>
  <cols>
    <col min="1" max="1" width="8.625" style="238" customWidth="1"/>
    <col min="2" max="2" width="15.625" style="238" customWidth="1"/>
    <col min="3" max="3" width="15.625" style="239" customWidth="1"/>
    <col min="4" max="4" width="30.625" style="240" customWidth="1"/>
    <col min="5" max="5" width="15.625" style="25" customWidth="1"/>
    <col min="6" max="6" width="15.625" style="241" customWidth="1"/>
    <col min="7" max="7" width="12.625" style="241" hidden="1" customWidth="1"/>
    <col min="8" max="9" width="15.625" style="241" customWidth="1"/>
    <col min="10" max="10" width="15.625" style="90" customWidth="1"/>
    <col min="11" max="11" width="65.625" style="242" customWidth="1"/>
    <col min="12" max="16384" width="9" style="85"/>
  </cols>
  <sheetData>
    <row r="1" ht="20" customHeight="1" spans="1:1">
      <c r="A1" s="238" t="s">
        <v>1833</v>
      </c>
    </row>
    <row r="2" ht="30" customHeight="1" spans="1:11">
      <c r="A2" s="13" t="s">
        <v>1834</v>
      </c>
      <c r="B2" s="13"/>
      <c r="C2" s="13"/>
      <c r="D2" s="13"/>
      <c r="E2" s="243"/>
      <c r="F2" s="244"/>
      <c r="G2" s="244"/>
      <c r="H2" s="244"/>
      <c r="I2" s="244"/>
      <c r="J2" s="13"/>
      <c r="K2" s="267"/>
    </row>
    <row r="3" ht="20" customHeight="1" spans="6:11">
      <c r="F3" s="245" t="s">
        <v>1835</v>
      </c>
      <c r="G3" s="245"/>
      <c r="H3" s="245"/>
      <c r="I3" s="245"/>
      <c r="J3" s="268"/>
      <c r="K3" s="269"/>
    </row>
    <row r="4" s="235" customFormat="1" ht="25" customHeight="1" spans="1:11">
      <c r="A4" s="129" t="s">
        <v>553</v>
      </c>
      <c r="B4" s="129" t="s">
        <v>1836</v>
      </c>
      <c r="C4" s="129" t="s">
        <v>1837</v>
      </c>
      <c r="D4" s="129" t="s">
        <v>1838</v>
      </c>
      <c r="E4" s="129" t="s">
        <v>1839</v>
      </c>
      <c r="F4" s="108" t="s">
        <v>1840</v>
      </c>
      <c r="G4" s="108" t="s">
        <v>1841</v>
      </c>
      <c r="H4" s="108" t="s">
        <v>1842</v>
      </c>
      <c r="I4" s="108" t="s">
        <v>26</v>
      </c>
      <c r="J4" s="129" t="s">
        <v>1843</v>
      </c>
      <c r="K4" s="129" t="s">
        <v>28</v>
      </c>
    </row>
    <row r="5" s="235" customFormat="1" ht="25" customHeight="1" spans="1:11">
      <c r="A5" s="129"/>
      <c r="B5" s="129"/>
      <c r="C5" s="129"/>
      <c r="D5" s="129"/>
      <c r="E5" s="129"/>
      <c r="F5" s="112"/>
      <c r="G5" s="112"/>
      <c r="H5" s="112"/>
      <c r="I5" s="112"/>
      <c r="J5" s="129"/>
      <c r="K5" s="129"/>
    </row>
    <row r="6" s="236" customFormat="1" ht="40" customHeight="1" spans="1:11">
      <c r="A6" s="246">
        <v>1</v>
      </c>
      <c r="B6" s="246" t="s">
        <v>1844</v>
      </c>
      <c r="C6" s="246" t="s">
        <v>1845</v>
      </c>
      <c r="D6" s="246" t="s">
        <v>1846</v>
      </c>
      <c r="E6" s="247">
        <v>39.19</v>
      </c>
      <c r="F6" s="248">
        <v>9350</v>
      </c>
      <c r="G6" s="248">
        <v>0</v>
      </c>
      <c r="H6" s="248">
        <f>I6-F6</f>
        <v>10650</v>
      </c>
      <c r="I6" s="250">
        <v>20000</v>
      </c>
      <c r="J6" s="270" t="s">
        <v>1847</v>
      </c>
      <c r="K6" s="271" t="s">
        <v>1848</v>
      </c>
    </row>
    <row r="7" s="236" customFormat="1" ht="40" customHeight="1" spans="1:11">
      <c r="A7" s="246">
        <v>2</v>
      </c>
      <c r="B7" s="246" t="s">
        <v>1844</v>
      </c>
      <c r="C7" s="246" t="s">
        <v>1845</v>
      </c>
      <c r="D7" s="246" t="s">
        <v>1849</v>
      </c>
      <c r="E7" s="247">
        <v>181.96</v>
      </c>
      <c r="F7" s="248">
        <v>47150</v>
      </c>
      <c r="G7" s="248">
        <v>0</v>
      </c>
      <c r="H7" s="248">
        <v>0</v>
      </c>
      <c r="I7" s="250">
        <v>47150</v>
      </c>
      <c r="J7" s="270" t="s">
        <v>1847</v>
      </c>
      <c r="K7" s="271" t="s">
        <v>1850</v>
      </c>
    </row>
    <row r="8" s="236" customFormat="1" ht="40" customHeight="1" spans="1:11">
      <c r="A8" s="246">
        <v>3</v>
      </c>
      <c r="B8" s="246" t="s">
        <v>1844</v>
      </c>
      <c r="C8" s="246" t="s">
        <v>1851</v>
      </c>
      <c r="D8" s="246" t="s">
        <v>1852</v>
      </c>
      <c r="E8" s="247">
        <v>13.46</v>
      </c>
      <c r="F8" s="248">
        <v>6056</v>
      </c>
      <c r="G8" s="249">
        <v>0</v>
      </c>
      <c r="H8" s="249">
        <v>-6056</v>
      </c>
      <c r="I8" s="250">
        <v>0</v>
      </c>
      <c r="J8" s="270" t="s">
        <v>1847</v>
      </c>
      <c r="K8" s="271" t="s">
        <v>1853</v>
      </c>
    </row>
    <row r="9" s="236" customFormat="1" ht="40" customHeight="1" spans="1:11">
      <c r="A9" s="246">
        <v>4</v>
      </c>
      <c r="B9" s="246" t="s">
        <v>1844</v>
      </c>
      <c r="C9" s="246" t="s">
        <v>1845</v>
      </c>
      <c r="D9" s="246" t="s">
        <v>1854</v>
      </c>
      <c r="E9" s="247">
        <v>96.76</v>
      </c>
      <c r="F9" s="250">
        <v>27650</v>
      </c>
      <c r="G9" s="250">
        <v>0</v>
      </c>
      <c r="H9" s="250">
        <v>-27650</v>
      </c>
      <c r="I9" s="250">
        <f t="shared" ref="I9:I14" si="0">F9+H9</f>
        <v>0</v>
      </c>
      <c r="J9" s="246" t="s">
        <v>1847</v>
      </c>
      <c r="K9" s="271" t="s">
        <v>1855</v>
      </c>
    </row>
    <row r="10" s="236" customFormat="1" ht="40" customHeight="1" spans="1:11">
      <c r="A10" s="251" t="s">
        <v>1856</v>
      </c>
      <c r="B10" s="251"/>
      <c r="C10" s="251"/>
      <c r="D10" s="251"/>
      <c r="E10" s="252">
        <f t="shared" ref="E10:G10" si="1">SUM(E6:E9)</f>
        <v>331.37</v>
      </c>
      <c r="F10" s="253">
        <f t="shared" si="1"/>
        <v>90206</v>
      </c>
      <c r="G10" s="254">
        <f t="shared" si="1"/>
        <v>0</v>
      </c>
      <c r="H10" s="253">
        <v>-23056</v>
      </c>
      <c r="I10" s="253">
        <v>67150</v>
      </c>
      <c r="J10" s="272"/>
      <c r="K10" s="272"/>
    </row>
    <row r="11" s="236" customFormat="1" ht="40" customHeight="1" spans="1:11">
      <c r="A11" s="246">
        <v>5</v>
      </c>
      <c r="B11" s="246" t="s">
        <v>1857</v>
      </c>
      <c r="C11" s="246" t="s">
        <v>1845</v>
      </c>
      <c r="D11" s="246" t="s">
        <v>1858</v>
      </c>
      <c r="E11" s="247">
        <v>73.46</v>
      </c>
      <c r="F11" s="250">
        <v>21150</v>
      </c>
      <c r="G11" s="250">
        <v>0</v>
      </c>
      <c r="H11" s="250"/>
      <c r="I11" s="250">
        <f t="shared" si="0"/>
        <v>21150</v>
      </c>
      <c r="J11" s="246" t="s">
        <v>1847</v>
      </c>
      <c r="K11" s="271" t="s">
        <v>1859</v>
      </c>
    </row>
    <row r="12" s="236" customFormat="1" ht="40" customHeight="1" spans="1:11">
      <c r="A12" s="246">
        <v>6</v>
      </c>
      <c r="B12" s="246" t="s">
        <v>1857</v>
      </c>
      <c r="C12" s="246" t="s">
        <v>1845</v>
      </c>
      <c r="D12" s="246" t="s">
        <v>1860</v>
      </c>
      <c r="E12" s="247">
        <v>78.79</v>
      </c>
      <c r="F12" s="250">
        <v>14343</v>
      </c>
      <c r="G12" s="250">
        <v>14342.5</v>
      </c>
      <c r="H12" s="250">
        <v>14342</v>
      </c>
      <c r="I12" s="250">
        <f t="shared" si="0"/>
        <v>28685</v>
      </c>
      <c r="J12" s="246" t="s">
        <v>1847</v>
      </c>
      <c r="K12" s="271" t="s">
        <v>1861</v>
      </c>
    </row>
    <row r="13" s="85" customFormat="1" ht="40" customHeight="1" spans="1:11">
      <c r="A13" s="246">
        <v>7</v>
      </c>
      <c r="B13" s="246" t="s">
        <v>1857</v>
      </c>
      <c r="C13" s="246" t="s">
        <v>1845</v>
      </c>
      <c r="D13" s="246" t="s">
        <v>1862</v>
      </c>
      <c r="E13" s="247">
        <v>62.74</v>
      </c>
      <c r="F13" s="250">
        <v>12800</v>
      </c>
      <c r="G13" s="250">
        <v>0</v>
      </c>
      <c r="H13" s="250">
        <v>-12800</v>
      </c>
      <c r="I13" s="250">
        <f t="shared" si="0"/>
        <v>0</v>
      </c>
      <c r="J13" s="246" t="s">
        <v>1847</v>
      </c>
      <c r="K13" s="271" t="s">
        <v>1863</v>
      </c>
    </row>
    <row r="14" s="85" customFormat="1" ht="40" customHeight="1" spans="1:11">
      <c r="A14" s="246">
        <v>8</v>
      </c>
      <c r="B14" s="246" t="s">
        <v>1857</v>
      </c>
      <c r="C14" s="246" t="s">
        <v>1864</v>
      </c>
      <c r="D14" s="246" t="s">
        <v>1865</v>
      </c>
      <c r="E14" s="247">
        <f>157-E15</f>
        <v>130.56</v>
      </c>
      <c r="F14" s="250">
        <f>42200-F15</f>
        <v>34779.2554</v>
      </c>
      <c r="G14" s="250">
        <v>0</v>
      </c>
      <c r="H14" s="250">
        <f>-8695-84-69</f>
        <v>-8848</v>
      </c>
      <c r="I14" s="250">
        <f t="shared" si="0"/>
        <v>25931.2554</v>
      </c>
      <c r="J14" s="246" t="s">
        <v>1847</v>
      </c>
      <c r="K14" s="271" t="s">
        <v>1866</v>
      </c>
    </row>
    <row r="15" s="85" customFormat="1" ht="40" customHeight="1" spans="1:11">
      <c r="A15" s="246">
        <v>9</v>
      </c>
      <c r="B15" s="246" t="s">
        <v>1857</v>
      </c>
      <c r="C15" s="246" t="s">
        <v>1864</v>
      </c>
      <c r="D15" s="246" t="s">
        <v>1867</v>
      </c>
      <c r="E15" s="247">
        <v>26.44</v>
      </c>
      <c r="F15" s="250">
        <v>7420.7446</v>
      </c>
      <c r="G15" s="250">
        <v>7420.7446</v>
      </c>
      <c r="H15" s="250">
        <v>0</v>
      </c>
      <c r="I15" s="250">
        <v>7420.7446</v>
      </c>
      <c r="J15" s="246" t="s">
        <v>1847</v>
      </c>
      <c r="K15" s="271" t="s">
        <v>1868</v>
      </c>
    </row>
    <row r="16" s="85" customFormat="1" ht="40" customHeight="1" spans="1:11">
      <c r="A16" s="246">
        <v>10</v>
      </c>
      <c r="B16" s="246" t="s">
        <v>1857</v>
      </c>
      <c r="C16" s="246" t="s">
        <v>1869</v>
      </c>
      <c r="D16" s="246" t="s">
        <v>1870</v>
      </c>
      <c r="E16" s="247">
        <v>8.08</v>
      </c>
      <c r="F16" s="250">
        <v>2029</v>
      </c>
      <c r="G16" s="250">
        <v>0</v>
      </c>
      <c r="H16" s="250">
        <v>0</v>
      </c>
      <c r="I16" s="250">
        <f t="shared" ref="I16:I34" si="2">F16+H16</f>
        <v>2029</v>
      </c>
      <c r="J16" s="246" t="s">
        <v>1847</v>
      </c>
      <c r="K16" s="271" t="s">
        <v>1871</v>
      </c>
    </row>
    <row r="17" s="85" customFormat="1" ht="40" customHeight="1" spans="1:11">
      <c r="A17" s="246">
        <v>11</v>
      </c>
      <c r="B17" s="246" t="s">
        <v>1857</v>
      </c>
      <c r="C17" s="246" t="s">
        <v>1869</v>
      </c>
      <c r="D17" s="246" t="s">
        <v>1872</v>
      </c>
      <c r="E17" s="247">
        <v>16.59</v>
      </c>
      <c r="F17" s="250">
        <v>3318</v>
      </c>
      <c r="G17" s="250">
        <v>0</v>
      </c>
      <c r="H17" s="250">
        <v>-3318</v>
      </c>
      <c r="I17" s="250">
        <f t="shared" si="2"/>
        <v>0</v>
      </c>
      <c r="J17" s="246" t="s">
        <v>1847</v>
      </c>
      <c r="K17" s="271" t="s">
        <v>1873</v>
      </c>
    </row>
    <row r="18" s="85" customFormat="1" ht="40" customHeight="1" spans="1:11">
      <c r="A18" s="246">
        <v>12</v>
      </c>
      <c r="B18" s="246" t="s">
        <v>1857</v>
      </c>
      <c r="C18" s="246" t="s">
        <v>1869</v>
      </c>
      <c r="D18" s="246" t="s">
        <v>1874</v>
      </c>
      <c r="E18" s="247">
        <v>30.1</v>
      </c>
      <c r="F18" s="250">
        <v>4515</v>
      </c>
      <c r="G18" s="250">
        <v>0</v>
      </c>
      <c r="H18" s="250">
        <v>-4515</v>
      </c>
      <c r="I18" s="250">
        <f t="shared" si="2"/>
        <v>0</v>
      </c>
      <c r="J18" s="246" t="s">
        <v>1847</v>
      </c>
      <c r="K18" s="271" t="s">
        <v>1875</v>
      </c>
    </row>
    <row r="19" s="85" customFormat="1" ht="40" customHeight="1" spans="1:11">
      <c r="A19" s="246">
        <v>13</v>
      </c>
      <c r="B19" s="246" t="s">
        <v>1857</v>
      </c>
      <c r="C19" s="246" t="s">
        <v>1876</v>
      </c>
      <c r="D19" s="246" t="s">
        <v>1877</v>
      </c>
      <c r="E19" s="247">
        <v>5</v>
      </c>
      <c r="F19" s="250">
        <v>500</v>
      </c>
      <c r="G19" s="250">
        <v>0</v>
      </c>
      <c r="H19" s="250">
        <v>-500</v>
      </c>
      <c r="I19" s="250">
        <f t="shared" si="2"/>
        <v>0</v>
      </c>
      <c r="J19" s="246" t="s">
        <v>1847</v>
      </c>
      <c r="K19" s="271" t="s">
        <v>1878</v>
      </c>
    </row>
    <row r="20" s="85" customFormat="1" ht="40" customHeight="1" spans="1:11">
      <c r="A20" s="246">
        <v>14</v>
      </c>
      <c r="B20" s="246" t="s">
        <v>1879</v>
      </c>
      <c r="C20" s="246" t="s">
        <v>1876</v>
      </c>
      <c r="D20" s="246" t="s">
        <v>1880</v>
      </c>
      <c r="E20" s="247">
        <v>34.624</v>
      </c>
      <c r="F20" s="250">
        <v>2100</v>
      </c>
      <c r="G20" s="250">
        <v>0</v>
      </c>
      <c r="H20" s="250">
        <v>-2100</v>
      </c>
      <c r="I20" s="250">
        <f t="shared" si="2"/>
        <v>0</v>
      </c>
      <c r="J20" s="246" t="s">
        <v>1847</v>
      </c>
      <c r="K20" s="271" t="s">
        <v>1881</v>
      </c>
    </row>
    <row r="21" s="85" customFormat="1" ht="40" customHeight="1" spans="1:11">
      <c r="A21" s="246">
        <v>15</v>
      </c>
      <c r="B21" s="246" t="s">
        <v>1879</v>
      </c>
      <c r="C21" s="246" t="s">
        <v>1876</v>
      </c>
      <c r="D21" s="246" t="s">
        <v>1882</v>
      </c>
      <c r="E21" s="247">
        <v>37.98</v>
      </c>
      <c r="F21" s="250">
        <v>2500</v>
      </c>
      <c r="G21" s="250">
        <v>0</v>
      </c>
      <c r="H21" s="250">
        <v>0</v>
      </c>
      <c r="I21" s="250">
        <f t="shared" si="2"/>
        <v>2500</v>
      </c>
      <c r="J21" s="246" t="s">
        <v>1847</v>
      </c>
      <c r="K21" s="271" t="s">
        <v>1883</v>
      </c>
    </row>
    <row r="22" s="85" customFormat="1" ht="40" customHeight="1" spans="1:11">
      <c r="A22" s="246">
        <v>16</v>
      </c>
      <c r="B22" s="246" t="s">
        <v>1879</v>
      </c>
      <c r="C22" s="246" t="s">
        <v>1876</v>
      </c>
      <c r="D22" s="246" t="s">
        <v>1884</v>
      </c>
      <c r="E22" s="247">
        <v>11.67</v>
      </c>
      <c r="F22" s="250">
        <v>700</v>
      </c>
      <c r="G22" s="250">
        <v>0</v>
      </c>
      <c r="H22" s="250">
        <v>-700</v>
      </c>
      <c r="I22" s="250">
        <f t="shared" si="2"/>
        <v>0</v>
      </c>
      <c r="J22" s="246" t="s">
        <v>1847</v>
      </c>
      <c r="K22" s="271" t="s">
        <v>1885</v>
      </c>
    </row>
    <row r="23" s="85" customFormat="1" ht="40" customHeight="1" spans="1:11">
      <c r="A23" s="246">
        <v>17</v>
      </c>
      <c r="B23" s="246" t="s">
        <v>1879</v>
      </c>
      <c r="C23" s="246" t="s">
        <v>1876</v>
      </c>
      <c r="D23" s="246" t="s">
        <v>1886</v>
      </c>
      <c r="E23" s="247">
        <v>15.8</v>
      </c>
      <c r="F23" s="250">
        <v>948</v>
      </c>
      <c r="G23" s="250">
        <v>0</v>
      </c>
      <c r="H23" s="250">
        <v>-948</v>
      </c>
      <c r="I23" s="250">
        <f t="shared" si="2"/>
        <v>0</v>
      </c>
      <c r="J23" s="246" t="s">
        <v>1847</v>
      </c>
      <c r="K23" s="271" t="s">
        <v>1887</v>
      </c>
    </row>
    <row r="24" s="85" customFormat="1" ht="40" customHeight="1" spans="1:11">
      <c r="A24" s="246">
        <v>18</v>
      </c>
      <c r="B24" s="246" t="s">
        <v>1879</v>
      </c>
      <c r="C24" s="246" t="s">
        <v>1876</v>
      </c>
      <c r="D24" s="246" t="s">
        <v>1888</v>
      </c>
      <c r="E24" s="247">
        <v>33.596</v>
      </c>
      <c r="F24" s="250">
        <v>5278</v>
      </c>
      <c r="G24" s="250">
        <v>0</v>
      </c>
      <c r="H24" s="250">
        <v>-3708</v>
      </c>
      <c r="I24" s="250">
        <f t="shared" si="2"/>
        <v>1570</v>
      </c>
      <c r="J24" s="246" t="s">
        <v>1847</v>
      </c>
      <c r="K24" s="271" t="s">
        <v>1889</v>
      </c>
    </row>
    <row r="25" s="85" customFormat="1" ht="40" customHeight="1" spans="1:11">
      <c r="A25" s="246">
        <v>19</v>
      </c>
      <c r="B25" s="246" t="s">
        <v>1857</v>
      </c>
      <c r="C25" s="246" t="s">
        <v>1876</v>
      </c>
      <c r="D25" s="246" t="s">
        <v>1890</v>
      </c>
      <c r="E25" s="247">
        <v>19.3</v>
      </c>
      <c r="F25" s="250">
        <v>3088</v>
      </c>
      <c r="G25" s="250">
        <v>0</v>
      </c>
      <c r="H25" s="250">
        <v>-3088</v>
      </c>
      <c r="I25" s="250">
        <f t="shared" si="2"/>
        <v>0</v>
      </c>
      <c r="J25" s="246" t="s">
        <v>1847</v>
      </c>
      <c r="K25" s="271" t="s">
        <v>1891</v>
      </c>
    </row>
    <row r="26" s="85" customFormat="1" ht="40" customHeight="1" spans="1:11">
      <c r="A26" s="246">
        <v>20</v>
      </c>
      <c r="B26" s="246" t="s">
        <v>1879</v>
      </c>
      <c r="C26" s="246" t="s">
        <v>1876</v>
      </c>
      <c r="D26" s="246" t="s">
        <v>1892</v>
      </c>
      <c r="E26" s="247">
        <v>16.992</v>
      </c>
      <c r="F26" s="250">
        <v>5100</v>
      </c>
      <c r="G26" s="250">
        <v>0</v>
      </c>
      <c r="H26" s="250">
        <v>-3950</v>
      </c>
      <c r="I26" s="250">
        <f t="shared" si="2"/>
        <v>1150</v>
      </c>
      <c r="J26" s="246" t="s">
        <v>1847</v>
      </c>
      <c r="K26" s="271" t="s">
        <v>1893</v>
      </c>
    </row>
    <row r="27" s="85" customFormat="1" ht="40" customHeight="1" spans="1:11">
      <c r="A27" s="246">
        <v>21</v>
      </c>
      <c r="B27" s="246" t="s">
        <v>1879</v>
      </c>
      <c r="C27" s="246" t="s">
        <v>1876</v>
      </c>
      <c r="D27" s="246" t="s">
        <v>1894</v>
      </c>
      <c r="E27" s="247">
        <v>16.008</v>
      </c>
      <c r="F27" s="250">
        <v>0</v>
      </c>
      <c r="G27" s="250">
        <v>0</v>
      </c>
      <c r="H27" s="250">
        <v>1070</v>
      </c>
      <c r="I27" s="250">
        <f t="shared" si="2"/>
        <v>1070</v>
      </c>
      <c r="J27" s="246" t="s">
        <v>1847</v>
      </c>
      <c r="K27" s="271" t="s">
        <v>1893</v>
      </c>
    </row>
    <row r="28" s="85" customFormat="1" ht="40" customHeight="1" spans="1:11">
      <c r="A28" s="246">
        <v>22</v>
      </c>
      <c r="B28" s="246" t="s">
        <v>1879</v>
      </c>
      <c r="C28" s="246" t="s">
        <v>1876</v>
      </c>
      <c r="D28" s="246" t="s">
        <v>1895</v>
      </c>
      <c r="E28" s="247">
        <v>281.514</v>
      </c>
      <c r="F28" s="250">
        <v>8400</v>
      </c>
      <c r="G28" s="250">
        <v>0</v>
      </c>
      <c r="H28" s="250"/>
      <c r="I28" s="250">
        <f t="shared" si="2"/>
        <v>8400</v>
      </c>
      <c r="J28" s="246" t="s">
        <v>1847</v>
      </c>
      <c r="K28" s="271" t="s">
        <v>1896</v>
      </c>
    </row>
    <row r="29" s="85" customFormat="1" ht="40" customHeight="1" spans="1:11">
      <c r="A29" s="246">
        <v>23</v>
      </c>
      <c r="B29" s="246" t="s">
        <v>1879</v>
      </c>
      <c r="C29" s="246" t="s">
        <v>1876</v>
      </c>
      <c r="D29" s="246" t="s">
        <v>1897</v>
      </c>
      <c r="E29" s="247">
        <v>145.261</v>
      </c>
      <c r="F29" s="250">
        <v>0</v>
      </c>
      <c r="G29" s="250">
        <v>0</v>
      </c>
      <c r="H29" s="250">
        <v>9006</v>
      </c>
      <c r="I29" s="250">
        <f t="shared" si="2"/>
        <v>9006</v>
      </c>
      <c r="J29" s="246" t="s">
        <v>1847</v>
      </c>
      <c r="K29" s="271" t="s">
        <v>1898</v>
      </c>
    </row>
    <row r="30" s="85" customFormat="1" ht="40" customHeight="1" spans="1:11">
      <c r="A30" s="246">
        <v>24</v>
      </c>
      <c r="B30" s="246" t="s">
        <v>1879</v>
      </c>
      <c r="C30" s="246" t="s">
        <v>1899</v>
      </c>
      <c r="D30" s="246" t="s">
        <v>1900</v>
      </c>
      <c r="E30" s="247">
        <v>30</v>
      </c>
      <c r="F30" s="250">
        <v>0</v>
      </c>
      <c r="G30" s="250">
        <v>0</v>
      </c>
      <c r="H30" s="250">
        <v>1350</v>
      </c>
      <c r="I30" s="250">
        <f t="shared" si="2"/>
        <v>1350</v>
      </c>
      <c r="J30" s="246" t="s">
        <v>1901</v>
      </c>
      <c r="K30" s="271" t="s">
        <v>1902</v>
      </c>
    </row>
    <row r="31" s="85" customFormat="1" ht="40" customHeight="1" spans="1:11">
      <c r="A31" s="246">
        <v>25</v>
      </c>
      <c r="B31" s="246" t="s">
        <v>1903</v>
      </c>
      <c r="C31" s="246" t="s">
        <v>1876</v>
      </c>
      <c r="D31" s="246" t="s">
        <v>1904</v>
      </c>
      <c r="E31" s="247">
        <v>95.455</v>
      </c>
      <c r="F31" s="250">
        <v>0</v>
      </c>
      <c r="G31" s="250">
        <v>0</v>
      </c>
      <c r="H31" s="250">
        <v>3125</v>
      </c>
      <c r="I31" s="250">
        <f t="shared" si="2"/>
        <v>3125</v>
      </c>
      <c r="J31" s="246" t="s">
        <v>1847</v>
      </c>
      <c r="K31" s="271" t="s">
        <v>1905</v>
      </c>
    </row>
    <row r="32" s="85" customFormat="1" ht="40" customHeight="1" spans="1:11">
      <c r="A32" s="246">
        <v>26</v>
      </c>
      <c r="B32" s="246" t="s">
        <v>1903</v>
      </c>
      <c r="C32" s="246" t="s">
        <v>1906</v>
      </c>
      <c r="D32" s="246"/>
      <c r="E32" s="247"/>
      <c r="F32" s="250">
        <v>6198</v>
      </c>
      <c r="G32" s="250">
        <v>730.6517</v>
      </c>
      <c r="H32" s="250">
        <v>-5198</v>
      </c>
      <c r="I32" s="250">
        <f t="shared" si="2"/>
        <v>1000</v>
      </c>
      <c r="J32" s="246" t="s">
        <v>1907</v>
      </c>
      <c r="K32" s="271"/>
    </row>
    <row r="33" s="85" customFormat="1" ht="40" customHeight="1" spans="1:11">
      <c r="A33" s="246">
        <v>27</v>
      </c>
      <c r="B33" s="246" t="s">
        <v>1903</v>
      </c>
      <c r="C33" s="246" t="s">
        <v>1908</v>
      </c>
      <c r="D33" s="246"/>
      <c r="E33" s="247"/>
      <c r="F33" s="250">
        <v>1000</v>
      </c>
      <c r="G33" s="250">
        <v>466.092</v>
      </c>
      <c r="H33" s="250">
        <v>0</v>
      </c>
      <c r="I33" s="250">
        <f t="shared" si="2"/>
        <v>1000</v>
      </c>
      <c r="J33" s="246" t="s">
        <v>1909</v>
      </c>
      <c r="K33" s="271" t="s">
        <v>1910</v>
      </c>
    </row>
    <row r="34" s="85" customFormat="1" ht="40" customHeight="1" spans="1:11">
      <c r="A34" s="246">
        <v>28</v>
      </c>
      <c r="B34" s="246" t="s">
        <v>1911</v>
      </c>
      <c r="C34" s="246" t="s">
        <v>1912</v>
      </c>
      <c r="D34" s="246"/>
      <c r="E34" s="247"/>
      <c r="F34" s="250">
        <v>-10000</v>
      </c>
      <c r="G34" s="250">
        <v>-577.2984</v>
      </c>
      <c r="H34" s="250"/>
      <c r="I34" s="250">
        <f t="shared" si="2"/>
        <v>-10000</v>
      </c>
      <c r="J34" s="246"/>
      <c r="K34" s="271" t="s">
        <v>1913</v>
      </c>
    </row>
    <row r="35" s="236" customFormat="1" ht="40" customHeight="1" spans="1:11">
      <c r="A35" s="251" t="s">
        <v>1914</v>
      </c>
      <c r="B35" s="251"/>
      <c r="C35" s="251"/>
      <c r="D35" s="251"/>
      <c r="E35" s="252">
        <f t="shared" ref="E35:I35" si="3">SUM(E11:E34)</f>
        <v>1169.96</v>
      </c>
      <c r="F35" s="253">
        <f t="shared" si="3"/>
        <v>126167</v>
      </c>
      <c r="G35" s="254">
        <f t="shared" si="3"/>
        <v>22382.6899</v>
      </c>
      <c r="H35" s="253">
        <f t="shared" si="3"/>
        <v>-20780</v>
      </c>
      <c r="I35" s="253">
        <f t="shared" si="3"/>
        <v>105387</v>
      </c>
      <c r="J35" s="272"/>
      <c r="K35" s="272"/>
    </row>
    <row r="36" s="237" customFormat="1" ht="40" customHeight="1" spans="1:11">
      <c r="A36" s="255" t="s">
        <v>1915</v>
      </c>
      <c r="B36" s="255"/>
      <c r="C36" s="255"/>
      <c r="D36" s="255"/>
      <c r="E36" s="256">
        <f t="shared" ref="E36:I36" si="4">E10+E35</f>
        <v>1501.33</v>
      </c>
      <c r="F36" s="257">
        <f t="shared" si="4"/>
        <v>216373</v>
      </c>
      <c r="G36" s="257">
        <f t="shared" si="4"/>
        <v>22382.6899</v>
      </c>
      <c r="H36" s="258">
        <f t="shared" si="4"/>
        <v>-43836</v>
      </c>
      <c r="I36" s="257">
        <f t="shared" si="4"/>
        <v>172537</v>
      </c>
      <c r="J36" s="273"/>
      <c r="K36" s="274"/>
    </row>
    <row r="37" s="90" customFormat="1" ht="40" customHeight="1" spans="1:11">
      <c r="A37" s="15" t="s">
        <v>1916</v>
      </c>
      <c r="B37" s="15"/>
      <c r="C37" s="15"/>
      <c r="D37" s="15"/>
      <c r="E37" s="75"/>
      <c r="F37" s="259">
        <v>5000</v>
      </c>
      <c r="G37" s="260">
        <v>15937.7561</v>
      </c>
      <c r="H37" s="260">
        <v>13000</v>
      </c>
      <c r="I37" s="259">
        <f>F37+H37</f>
        <v>18000</v>
      </c>
      <c r="J37" s="275"/>
      <c r="K37" s="276"/>
    </row>
    <row r="38" s="90" customFormat="1" ht="40" customHeight="1" spans="1:11">
      <c r="A38" s="255" t="s">
        <v>1917</v>
      </c>
      <c r="B38" s="255"/>
      <c r="C38" s="255"/>
      <c r="D38" s="255"/>
      <c r="E38" s="261"/>
      <c r="F38" s="259">
        <v>60</v>
      </c>
      <c r="G38" s="260">
        <v>77.924318</v>
      </c>
      <c r="H38" s="260">
        <v>18</v>
      </c>
      <c r="I38" s="259">
        <f>F38+H38</f>
        <v>78</v>
      </c>
      <c r="J38" s="275"/>
      <c r="K38" s="277"/>
    </row>
    <row r="39" ht="40" customHeight="1" spans="1:11">
      <c r="A39" s="255" t="s">
        <v>1918</v>
      </c>
      <c r="B39" s="255"/>
      <c r="C39" s="255"/>
      <c r="D39" s="255"/>
      <c r="E39" s="262"/>
      <c r="F39" s="259">
        <f t="shared" ref="F39:I39" si="5">SUM(F36:F38)</f>
        <v>221433</v>
      </c>
      <c r="G39" s="259">
        <f t="shared" si="5"/>
        <v>38398.370318</v>
      </c>
      <c r="H39" s="259">
        <f t="shared" si="5"/>
        <v>-30818</v>
      </c>
      <c r="I39" s="259">
        <f t="shared" si="5"/>
        <v>190615</v>
      </c>
      <c r="J39" s="275"/>
      <c r="K39" s="278"/>
    </row>
    <row r="40" ht="40" customHeight="1" spans="1:11">
      <c r="A40" s="255" t="s">
        <v>1919</v>
      </c>
      <c r="B40" s="255"/>
      <c r="C40" s="255"/>
      <c r="D40" s="255"/>
      <c r="E40" s="263"/>
      <c r="F40" s="257">
        <f t="shared" ref="F40:I40" si="6">F35+F38+F37</f>
        <v>131227</v>
      </c>
      <c r="G40" s="257">
        <f t="shared" si="6"/>
        <v>38398.370318</v>
      </c>
      <c r="H40" s="257">
        <f t="shared" si="6"/>
        <v>-7762</v>
      </c>
      <c r="I40" s="257">
        <f t="shared" si="6"/>
        <v>123465</v>
      </c>
      <c r="J40" s="273"/>
      <c r="K40" s="274"/>
    </row>
    <row r="41" spans="1:4">
      <c r="A41" s="264"/>
      <c r="B41" s="264"/>
      <c r="C41" s="265"/>
      <c r="D41" s="266"/>
    </row>
  </sheetData>
  <mergeCells count="23">
    <mergeCell ref="A2:K2"/>
    <mergeCell ref="F3:K3"/>
    <mergeCell ref="A10:D10"/>
    <mergeCell ref="C32:D32"/>
    <mergeCell ref="C33:D33"/>
    <mergeCell ref="C34:D34"/>
    <mergeCell ref="A35:D35"/>
    <mergeCell ref="A36:D36"/>
    <mergeCell ref="A37:D37"/>
    <mergeCell ref="A38:D38"/>
    <mergeCell ref="A39:D39"/>
    <mergeCell ref="A40:D40"/>
    <mergeCell ref="A4:A5"/>
    <mergeCell ref="B4:B5"/>
    <mergeCell ref="C4:C5"/>
    <mergeCell ref="D4:D5"/>
    <mergeCell ref="E4:E5"/>
    <mergeCell ref="F4:F5"/>
    <mergeCell ref="G4:G5"/>
    <mergeCell ref="H4:H5"/>
    <mergeCell ref="I4:I5"/>
    <mergeCell ref="J4:J5"/>
    <mergeCell ref="K4:K5"/>
  </mergeCells>
  <printOptions horizontalCentered="1"/>
  <pageMargins left="0.393055555555556" right="0.393055555555556" top="0.590277777777778" bottom="0.590277777777778" header="0.196527777777778" footer="0.196527777777778"/>
  <pageSetup paperSize="9" scale="94" fitToHeight="0" orientation="landscape"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XFD112"/>
  <sheetViews>
    <sheetView zoomScale="115" zoomScaleNormal="115" workbookViewId="0">
      <pane ySplit="5" topLeftCell="A6" activePane="bottomLeft" state="frozen"/>
      <selection/>
      <selection pane="bottomLeft" activeCell="A3" sqref="A3"/>
    </sheetView>
  </sheetViews>
  <sheetFormatPr defaultColWidth="9" defaultRowHeight="23.1" customHeight="1"/>
  <cols>
    <col min="1" max="1" width="8" style="173" customWidth="1"/>
    <col min="2" max="2" width="6" style="174" hidden="1" customWidth="1"/>
    <col min="3" max="3" width="38.625" style="8" customWidth="1"/>
    <col min="4" max="7" width="9.375" style="175" customWidth="1"/>
    <col min="8" max="10" width="10.125" style="176" hidden="1" customWidth="1"/>
    <col min="11" max="12" width="9.375" style="176" hidden="1" customWidth="1"/>
    <col min="13" max="14" width="9.375" style="175" customWidth="1"/>
    <col min="15" max="16" width="9.375" style="176" hidden="1" customWidth="1"/>
    <col min="17" max="18" width="9.375" style="175" customWidth="1"/>
    <col min="19" max="19" width="7.375" style="177" customWidth="1"/>
    <col min="20" max="20" width="15.75" style="30" customWidth="1"/>
    <col min="21" max="21" width="10.5" style="30" customWidth="1"/>
    <col min="22" max="16384" width="9" style="30"/>
  </cols>
  <sheetData>
    <row r="1" s="165" customFormat="1" ht="20" customHeight="1" spans="1:16384">
      <c r="A1" s="10" t="s">
        <v>1920</v>
      </c>
      <c r="B1" s="178"/>
      <c r="C1" s="178"/>
      <c r="D1" s="179"/>
      <c r="E1" s="179"/>
      <c r="F1" s="179"/>
      <c r="G1" s="179"/>
      <c r="H1" s="180"/>
      <c r="I1" s="180"/>
      <c r="M1" s="179"/>
      <c r="N1" s="179"/>
      <c r="Q1" s="179"/>
      <c r="R1" s="179"/>
      <c r="S1" s="9"/>
      <c r="XFC1" s="222"/>
      <c r="XFD1" s="222"/>
    </row>
    <row r="2" s="166" customFormat="1" ht="30" customHeight="1" spans="1:20">
      <c r="A2" s="181" t="s">
        <v>1921</v>
      </c>
      <c r="B2" s="181"/>
      <c r="C2" s="181"/>
      <c r="D2" s="182"/>
      <c r="E2" s="182"/>
      <c r="F2" s="182"/>
      <c r="G2" s="182"/>
      <c r="H2" s="183"/>
      <c r="I2" s="183"/>
      <c r="J2" s="183"/>
      <c r="K2" s="183"/>
      <c r="L2" s="183"/>
      <c r="M2" s="182"/>
      <c r="N2" s="182"/>
      <c r="O2" s="183"/>
      <c r="P2" s="183"/>
      <c r="Q2" s="182"/>
      <c r="R2" s="182"/>
      <c r="S2" s="211"/>
      <c r="T2" s="181"/>
    </row>
    <row r="3" s="166" customFormat="1" ht="20" customHeight="1" spans="1:20">
      <c r="A3" s="184"/>
      <c r="B3" s="184"/>
      <c r="C3" s="184"/>
      <c r="D3" s="185"/>
      <c r="E3" s="185"/>
      <c r="F3" s="185"/>
      <c r="G3" s="185"/>
      <c r="H3" s="186"/>
      <c r="I3" s="186"/>
      <c r="J3" s="186"/>
      <c r="K3" s="186"/>
      <c r="L3" s="186"/>
      <c r="M3" s="185"/>
      <c r="N3" s="209"/>
      <c r="O3" s="210"/>
      <c r="P3" s="210"/>
      <c r="Q3" s="209"/>
      <c r="R3" s="209"/>
      <c r="S3" s="212"/>
      <c r="T3" s="213" t="s">
        <v>22</v>
      </c>
    </row>
    <row r="4" s="167" customFormat="1" ht="30" customHeight="1" spans="1:20">
      <c r="A4" s="187" t="s">
        <v>1922</v>
      </c>
      <c r="B4" s="188"/>
      <c r="C4" s="189" t="s">
        <v>1923</v>
      </c>
      <c r="D4" s="190" t="s">
        <v>24</v>
      </c>
      <c r="E4" s="190"/>
      <c r="F4" s="191"/>
      <c r="G4" s="190" t="s">
        <v>25</v>
      </c>
      <c r="H4" s="192"/>
      <c r="I4" s="192"/>
      <c r="J4" s="192"/>
      <c r="K4" s="192"/>
      <c r="L4" s="192"/>
      <c r="M4" s="190"/>
      <c r="N4" s="190" t="s">
        <v>26</v>
      </c>
      <c r="O4" s="192"/>
      <c r="P4" s="192"/>
      <c r="Q4" s="190"/>
      <c r="R4" s="190"/>
      <c r="S4" s="214" t="s">
        <v>27</v>
      </c>
      <c r="T4" s="189" t="s">
        <v>28</v>
      </c>
    </row>
    <row r="5" s="167" customFormat="1" ht="30" customHeight="1" spans="1:20">
      <c r="A5" s="187"/>
      <c r="B5" s="188"/>
      <c r="C5" s="189"/>
      <c r="D5" s="190" t="s">
        <v>82</v>
      </c>
      <c r="E5" s="190" t="s">
        <v>83</v>
      </c>
      <c r="F5" s="190" t="s">
        <v>84</v>
      </c>
      <c r="G5" s="190" t="s">
        <v>1924</v>
      </c>
      <c r="H5" s="192" t="s">
        <v>1925</v>
      </c>
      <c r="I5" s="192" t="s">
        <v>86</v>
      </c>
      <c r="J5" s="192" t="s">
        <v>1926</v>
      </c>
      <c r="K5" s="192" t="s">
        <v>1927</v>
      </c>
      <c r="L5" s="192" t="s">
        <v>1928</v>
      </c>
      <c r="M5" s="190" t="s">
        <v>83</v>
      </c>
      <c r="N5" s="190" t="s">
        <v>82</v>
      </c>
      <c r="O5" s="192" t="s">
        <v>1929</v>
      </c>
      <c r="P5" s="192" t="s">
        <v>1930</v>
      </c>
      <c r="Q5" s="190" t="s">
        <v>83</v>
      </c>
      <c r="R5" s="190" t="s">
        <v>84</v>
      </c>
      <c r="S5" s="214"/>
      <c r="T5" s="189"/>
    </row>
    <row r="6" s="168" customFormat="1" hidden="1" customHeight="1" spans="1:20">
      <c r="A6" s="193" t="s">
        <v>1931</v>
      </c>
      <c r="B6" s="194"/>
      <c r="C6" s="193" t="s">
        <v>1932</v>
      </c>
      <c r="D6" s="195"/>
      <c r="E6" s="195"/>
      <c r="F6" s="195"/>
      <c r="G6" s="195"/>
      <c r="H6" s="195"/>
      <c r="I6" s="195"/>
      <c r="J6" s="195"/>
      <c r="K6" s="195"/>
      <c r="L6" s="195"/>
      <c r="M6" s="195"/>
      <c r="N6" s="195">
        <f t="shared" ref="N6:N20" si="0">D6+G6+H6+I6+J6+K6</f>
        <v>0</v>
      </c>
      <c r="O6" s="195"/>
      <c r="P6" s="195"/>
      <c r="Q6" s="195"/>
      <c r="R6" s="195"/>
      <c r="S6" s="215">
        <f t="shared" ref="S6:S69" si="1">IF(F6=0,IF(R6=0,0,100),100*(R6/F6-1))</f>
        <v>0</v>
      </c>
      <c r="T6" s="216" t="s">
        <v>1933</v>
      </c>
    </row>
    <row r="7" s="168" customFormat="1" hidden="1" customHeight="1" spans="1:20">
      <c r="A7" s="193" t="s">
        <v>1934</v>
      </c>
      <c r="B7" s="194"/>
      <c r="C7" s="193" t="s">
        <v>1935</v>
      </c>
      <c r="D7" s="195"/>
      <c r="E7" s="195"/>
      <c r="F7" s="195"/>
      <c r="G7" s="195"/>
      <c r="H7" s="195"/>
      <c r="I7" s="195"/>
      <c r="J7" s="195"/>
      <c r="K7" s="195"/>
      <c r="L7" s="195"/>
      <c r="M7" s="195"/>
      <c r="N7" s="195">
        <f t="shared" si="0"/>
        <v>0</v>
      </c>
      <c r="O7" s="195"/>
      <c r="P7" s="195"/>
      <c r="Q7" s="195"/>
      <c r="R7" s="195"/>
      <c r="S7" s="215">
        <f t="shared" si="1"/>
        <v>0</v>
      </c>
      <c r="T7" s="216" t="s">
        <v>1933</v>
      </c>
    </row>
    <row r="8" s="168" customFormat="1" hidden="1" customHeight="1" spans="1:20">
      <c r="A8" s="193" t="s">
        <v>1936</v>
      </c>
      <c r="B8" s="194"/>
      <c r="C8" s="193" t="s">
        <v>1937</v>
      </c>
      <c r="D8" s="195"/>
      <c r="E8" s="195"/>
      <c r="F8" s="195"/>
      <c r="G8" s="195"/>
      <c r="H8" s="195"/>
      <c r="I8" s="195"/>
      <c r="J8" s="195"/>
      <c r="K8" s="195"/>
      <c r="L8" s="195"/>
      <c r="M8" s="195"/>
      <c r="N8" s="195">
        <f t="shared" si="0"/>
        <v>0</v>
      </c>
      <c r="O8" s="195"/>
      <c r="P8" s="195"/>
      <c r="Q8" s="195"/>
      <c r="R8" s="195"/>
      <c r="S8" s="215">
        <f t="shared" si="1"/>
        <v>0</v>
      </c>
      <c r="T8" s="216" t="s">
        <v>1933</v>
      </c>
    </row>
    <row r="9" s="168" customFormat="1" hidden="1" customHeight="1" spans="1:20">
      <c r="A9" s="193" t="s">
        <v>1938</v>
      </c>
      <c r="B9" s="194"/>
      <c r="C9" s="193" t="s">
        <v>1939</v>
      </c>
      <c r="D9" s="195"/>
      <c r="E9" s="195"/>
      <c r="F9" s="195"/>
      <c r="G9" s="195"/>
      <c r="H9" s="195"/>
      <c r="I9" s="195"/>
      <c r="J9" s="195"/>
      <c r="K9" s="195"/>
      <c r="L9" s="195"/>
      <c r="M9" s="195"/>
      <c r="N9" s="195">
        <f t="shared" si="0"/>
        <v>0</v>
      </c>
      <c r="O9" s="195"/>
      <c r="P9" s="195"/>
      <c r="Q9" s="195"/>
      <c r="R9" s="195"/>
      <c r="S9" s="215">
        <f t="shared" si="1"/>
        <v>0</v>
      </c>
      <c r="T9" s="216" t="s">
        <v>1933</v>
      </c>
    </row>
    <row r="10" s="169" customFormat="1" customHeight="1" spans="1:20">
      <c r="A10" s="196" t="s">
        <v>1940</v>
      </c>
      <c r="B10" s="197"/>
      <c r="C10" s="198" t="s">
        <v>1941</v>
      </c>
      <c r="D10" s="199"/>
      <c r="E10" s="199"/>
      <c r="F10" s="199">
        <f t="shared" ref="F10:F37" si="2">D10+E10</f>
        <v>0</v>
      </c>
      <c r="G10" s="199"/>
      <c r="H10" s="200"/>
      <c r="I10" s="200"/>
      <c r="J10" s="200"/>
      <c r="K10" s="200"/>
      <c r="L10" s="200"/>
      <c r="M10" s="199">
        <f>Q10-E10</f>
        <v>3</v>
      </c>
      <c r="N10" s="199">
        <f t="shared" si="0"/>
        <v>0</v>
      </c>
      <c r="O10" s="200"/>
      <c r="P10" s="200"/>
      <c r="Q10" s="199">
        <f>+Q11</f>
        <v>3</v>
      </c>
      <c r="R10" s="199">
        <f t="shared" ref="R10:R73" si="3">N10+Q10</f>
        <v>3</v>
      </c>
      <c r="S10" s="217">
        <f t="shared" si="1"/>
        <v>100</v>
      </c>
      <c r="T10" s="218"/>
    </row>
    <row r="11" s="169" customFormat="1" customHeight="1" spans="1:20">
      <c r="A11" s="196" t="s">
        <v>1942</v>
      </c>
      <c r="B11" s="197"/>
      <c r="C11" s="198" t="s">
        <v>1943</v>
      </c>
      <c r="D11" s="199"/>
      <c r="E11" s="199"/>
      <c r="F11" s="199">
        <f t="shared" si="2"/>
        <v>0</v>
      </c>
      <c r="G11" s="199"/>
      <c r="H11" s="200"/>
      <c r="I11" s="200"/>
      <c r="J11" s="200"/>
      <c r="K11" s="200"/>
      <c r="L11" s="200"/>
      <c r="M11" s="199">
        <f>Q11-E11</f>
        <v>3</v>
      </c>
      <c r="N11" s="199">
        <f t="shared" si="0"/>
        <v>0</v>
      </c>
      <c r="O11" s="200"/>
      <c r="P11" s="200"/>
      <c r="Q11" s="199">
        <f>+Q12</f>
        <v>3</v>
      </c>
      <c r="R11" s="199">
        <f t="shared" si="3"/>
        <v>3</v>
      </c>
      <c r="S11" s="217">
        <f t="shared" si="1"/>
        <v>100</v>
      </c>
      <c r="T11" s="218"/>
    </row>
    <row r="12" s="169" customFormat="1" customHeight="1" spans="1:20">
      <c r="A12" s="196" t="s">
        <v>1944</v>
      </c>
      <c r="B12" s="197"/>
      <c r="C12" s="198" t="s">
        <v>1945</v>
      </c>
      <c r="D12" s="199"/>
      <c r="E12" s="199"/>
      <c r="F12" s="199">
        <f t="shared" si="2"/>
        <v>0</v>
      </c>
      <c r="G12" s="199"/>
      <c r="H12" s="200"/>
      <c r="I12" s="200"/>
      <c r="J12" s="200"/>
      <c r="K12" s="200"/>
      <c r="L12" s="200"/>
      <c r="M12" s="199">
        <f>Q12-E12</f>
        <v>3</v>
      </c>
      <c r="N12" s="199">
        <f t="shared" si="0"/>
        <v>0</v>
      </c>
      <c r="O12" s="200"/>
      <c r="P12" s="200"/>
      <c r="Q12" s="199">
        <v>3</v>
      </c>
      <c r="R12" s="199">
        <f t="shared" si="3"/>
        <v>3</v>
      </c>
      <c r="S12" s="217">
        <f t="shared" si="1"/>
        <v>100</v>
      </c>
      <c r="T12" s="218"/>
    </row>
    <row r="13" s="170" customFormat="1" hidden="1" customHeight="1" spans="1:20">
      <c r="A13" s="193" t="s">
        <v>1946</v>
      </c>
      <c r="B13" s="201"/>
      <c r="C13" s="202" t="s">
        <v>1947</v>
      </c>
      <c r="D13" s="195">
        <f>D14</f>
        <v>0</v>
      </c>
      <c r="E13" s="195"/>
      <c r="F13" s="195">
        <f t="shared" si="2"/>
        <v>0</v>
      </c>
      <c r="G13" s="195"/>
      <c r="H13" s="195"/>
      <c r="I13" s="195"/>
      <c r="J13" s="195"/>
      <c r="K13" s="195"/>
      <c r="L13" s="195"/>
      <c r="M13" s="195"/>
      <c r="N13" s="195">
        <f t="shared" si="0"/>
        <v>0</v>
      </c>
      <c r="O13" s="195"/>
      <c r="P13" s="195"/>
      <c r="Q13" s="195"/>
      <c r="R13" s="195">
        <f t="shared" si="3"/>
        <v>0</v>
      </c>
      <c r="S13" s="215">
        <f t="shared" si="1"/>
        <v>0</v>
      </c>
      <c r="T13" s="216" t="s">
        <v>1933</v>
      </c>
    </row>
    <row r="14" s="170" customFormat="1" hidden="1" customHeight="1" spans="1:20">
      <c r="A14" s="193">
        <v>2079901</v>
      </c>
      <c r="B14" s="201"/>
      <c r="C14" s="202" t="s">
        <v>1948</v>
      </c>
      <c r="D14" s="195"/>
      <c r="E14" s="195"/>
      <c r="F14" s="195">
        <f t="shared" si="2"/>
        <v>0</v>
      </c>
      <c r="G14" s="195"/>
      <c r="H14" s="195"/>
      <c r="I14" s="195"/>
      <c r="J14" s="195"/>
      <c r="K14" s="195"/>
      <c r="L14" s="195"/>
      <c r="M14" s="195"/>
      <c r="N14" s="195">
        <f t="shared" si="0"/>
        <v>0</v>
      </c>
      <c r="O14" s="195"/>
      <c r="P14" s="195"/>
      <c r="Q14" s="195"/>
      <c r="R14" s="195">
        <f t="shared" si="3"/>
        <v>0</v>
      </c>
      <c r="S14" s="215">
        <f t="shared" si="1"/>
        <v>0</v>
      </c>
      <c r="T14" s="216" t="s">
        <v>1933</v>
      </c>
    </row>
    <row r="15" s="170" customFormat="1" hidden="1" customHeight="1" spans="1:20">
      <c r="A15" s="193" t="s">
        <v>1949</v>
      </c>
      <c r="B15" s="201"/>
      <c r="C15" s="202" t="s">
        <v>1950</v>
      </c>
      <c r="D15" s="195"/>
      <c r="E15" s="195"/>
      <c r="F15" s="195">
        <f t="shared" si="2"/>
        <v>0</v>
      </c>
      <c r="G15" s="195"/>
      <c r="H15" s="195"/>
      <c r="I15" s="195"/>
      <c r="J15" s="195"/>
      <c r="K15" s="195"/>
      <c r="L15" s="195"/>
      <c r="M15" s="195"/>
      <c r="N15" s="195">
        <f t="shared" si="0"/>
        <v>0</v>
      </c>
      <c r="O15" s="195"/>
      <c r="P15" s="195"/>
      <c r="Q15" s="195"/>
      <c r="R15" s="195">
        <f t="shared" si="3"/>
        <v>0</v>
      </c>
      <c r="S15" s="215">
        <f t="shared" si="1"/>
        <v>0</v>
      </c>
      <c r="T15" s="216" t="s">
        <v>1933</v>
      </c>
    </row>
    <row r="16" s="170" customFormat="1" hidden="1" customHeight="1" spans="1:20">
      <c r="A16" s="193" t="s">
        <v>1951</v>
      </c>
      <c r="B16" s="201"/>
      <c r="C16" s="202" t="s">
        <v>1952</v>
      </c>
      <c r="D16" s="195"/>
      <c r="E16" s="195"/>
      <c r="F16" s="195">
        <f t="shared" si="2"/>
        <v>0</v>
      </c>
      <c r="G16" s="195"/>
      <c r="H16" s="195"/>
      <c r="I16" s="195"/>
      <c r="J16" s="195"/>
      <c r="K16" s="195"/>
      <c r="L16" s="195"/>
      <c r="M16" s="195"/>
      <c r="N16" s="195">
        <f t="shared" si="0"/>
        <v>0</v>
      </c>
      <c r="O16" s="195"/>
      <c r="P16" s="195"/>
      <c r="Q16" s="195"/>
      <c r="R16" s="195">
        <f t="shared" si="3"/>
        <v>0</v>
      </c>
      <c r="S16" s="215">
        <f t="shared" si="1"/>
        <v>0</v>
      </c>
      <c r="T16" s="216" t="s">
        <v>1933</v>
      </c>
    </row>
    <row r="17" s="170" customFormat="1" hidden="1" customHeight="1" spans="1:20">
      <c r="A17" s="193">
        <v>2081107</v>
      </c>
      <c r="B17" s="201"/>
      <c r="C17" s="202" t="s">
        <v>1953</v>
      </c>
      <c r="D17" s="195"/>
      <c r="E17" s="195"/>
      <c r="F17" s="195">
        <f t="shared" si="2"/>
        <v>0</v>
      </c>
      <c r="G17" s="195"/>
      <c r="H17" s="195"/>
      <c r="I17" s="195"/>
      <c r="J17" s="195"/>
      <c r="K17" s="195"/>
      <c r="L17" s="195"/>
      <c r="M17" s="195"/>
      <c r="N17" s="195">
        <f t="shared" si="0"/>
        <v>0</v>
      </c>
      <c r="O17" s="195"/>
      <c r="P17" s="195"/>
      <c r="Q17" s="195"/>
      <c r="R17" s="195">
        <f t="shared" si="3"/>
        <v>0</v>
      </c>
      <c r="S17" s="215">
        <f t="shared" si="1"/>
        <v>0</v>
      </c>
      <c r="T17" s="216" t="s">
        <v>1933</v>
      </c>
    </row>
    <row r="18" s="170" customFormat="1" hidden="1" customHeight="1" spans="1:20">
      <c r="A18" s="193">
        <v>2081199</v>
      </c>
      <c r="B18" s="201"/>
      <c r="C18" s="202" t="s">
        <v>1954</v>
      </c>
      <c r="D18" s="195"/>
      <c r="E18" s="195"/>
      <c r="F18" s="195">
        <f t="shared" si="2"/>
        <v>0</v>
      </c>
      <c r="G18" s="195"/>
      <c r="H18" s="195"/>
      <c r="I18" s="195"/>
      <c r="J18" s="195"/>
      <c r="K18" s="195"/>
      <c r="L18" s="195"/>
      <c r="M18" s="195"/>
      <c r="N18" s="195">
        <f t="shared" si="0"/>
        <v>0</v>
      </c>
      <c r="O18" s="195"/>
      <c r="P18" s="195"/>
      <c r="Q18" s="195"/>
      <c r="R18" s="195">
        <f t="shared" si="3"/>
        <v>0</v>
      </c>
      <c r="S18" s="215">
        <f t="shared" si="1"/>
        <v>0</v>
      </c>
      <c r="T18" s="216" t="s">
        <v>1933</v>
      </c>
    </row>
    <row r="19" s="170" customFormat="1" hidden="1" customHeight="1" spans="1:20">
      <c r="A19" s="193" t="s">
        <v>1955</v>
      </c>
      <c r="B19" s="201"/>
      <c r="C19" s="202" t="s">
        <v>1956</v>
      </c>
      <c r="D19" s="195"/>
      <c r="E19" s="195"/>
      <c r="F19" s="195">
        <f t="shared" si="2"/>
        <v>0</v>
      </c>
      <c r="G19" s="195"/>
      <c r="H19" s="195"/>
      <c r="I19" s="195"/>
      <c r="J19" s="195"/>
      <c r="K19" s="195"/>
      <c r="L19" s="195"/>
      <c r="M19" s="195"/>
      <c r="N19" s="195">
        <f t="shared" si="0"/>
        <v>0</v>
      </c>
      <c r="O19" s="195"/>
      <c r="P19" s="195"/>
      <c r="Q19" s="195"/>
      <c r="R19" s="195">
        <f t="shared" si="3"/>
        <v>0</v>
      </c>
      <c r="S19" s="215">
        <f t="shared" si="1"/>
        <v>0</v>
      </c>
      <c r="T19" s="216" t="s">
        <v>1933</v>
      </c>
    </row>
    <row r="20" s="170" customFormat="1" hidden="1" customHeight="1" spans="1:20">
      <c r="A20" s="193">
        <v>2086099</v>
      </c>
      <c r="B20" s="201"/>
      <c r="C20" s="202" t="s">
        <v>1957</v>
      </c>
      <c r="D20" s="195"/>
      <c r="E20" s="195"/>
      <c r="F20" s="195">
        <f t="shared" si="2"/>
        <v>0</v>
      </c>
      <c r="G20" s="195"/>
      <c r="H20" s="195"/>
      <c r="I20" s="195"/>
      <c r="J20" s="195"/>
      <c r="K20" s="195"/>
      <c r="L20" s="195"/>
      <c r="M20" s="195"/>
      <c r="N20" s="195">
        <f t="shared" si="0"/>
        <v>0</v>
      </c>
      <c r="O20" s="195"/>
      <c r="P20" s="195"/>
      <c r="Q20" s="195"/>
      <c r="R20" s="195">
        <f t="shared" si="3"/>
        <v>0</v>
      </c>
      <c r="S20" s="215">
        <f t="shared" si="1"/>
        <v>0</v>
      </c>
      <c r="T20" s="216" t="s">
        <v>1933</v>
      </c>
    </row>
    <row r="21" s="169" customFormat="1" customHeight="1" spans="1:20">
      <c r="A21" s="196" t="s">
        <v>1958</v>
      </c>
      <c r="B21" s="197"/>
      <c r="C21" s="198" t="s">
        <v>1959</v>
      </c>
      <c r="D21" s="199">
        <f>D22+D24+D38+D42+D46+D47+D50</f>
        <v>107419.61</v>
      </c>
      <c r="E21" s="199">
        <f>E22+E24+E38+E42+E46+E47+E50</f>
        <v>7238.5</v>
      </c>
      <c r="F21" s="199">
        <f t="shared" si="2"/>
        <v>114658.11</v>
      </c>
      <c r="G21" s="199">
        <f t="shared" ref="G21:L21" si="4">N21-D21</f>
        <v>-28293.167</v>
      </c>
      <c r="H21" s="200">
        <f t="shared" si="4"/>
        <v>65488.943</v>
      </c>
      <c r="I21" s="200">
        <f t="shared" si="4"/>
        <v>-108259.11</v>
      </c>
      <c r="J21" s="200">
        <f t="shared" si="4"/>
        <v>34964.167</v>
      </c>
      <c r="K21" s="200">
        <f t="shared" si="4"/>
        <v>20308.5</v>
      </c>
      <c r="L21" s="200">
        <f t="shared" si="4"/>
        <v>108233.938935345</v>
      </c>
      <c r="M21" s="199">
        <f t="shared" ref="M21:M78" si="5">Q21-E21</f>
        <v>-567.5</v>
      </c>
      <c r="N21" s="199">
        <f t="shared" ref="N21:N78" si="6">O21+P21</f>
        <v>79126.443</v>
      </c>
      <c r="O21" s="200">
        <f>O22+O24+O38+O42+O46+O47+O50</f>
        <v>72727.443</v>
      </c>
      <c r="P21" s="200">
        <f>P22+P24+P38+P42+P46+P47+P50</f>
        <v>6399</v>
      </c>
      <c r="Q21" s="199">
        <f>+Q22+Q24+Q38+Q42+Q46+Q47+Q50</f>
        <v>6671</v>
      </c>
      <c r="R21" s="199">
        <f t="shared" si="3"/>
        <v>85797.443</v>
      </c>
      <c r="S21" s="217">
        <f t="shared" si="1"/>
        <v>-25.1710646547375</v>
      </c>
      <c r="T21" s="219"/>
    </row>
    <row r="22" s="170" customFormat="1" hidden="1" customHeight="1" spans="1:20">
      <c r="A22" s="193" t="s">
        <v>1960</v>
      </c>
      <c r="B22" s="201"/>
      <c r="C22" s="202" t="s">
        <v>1961</v>
      </c>
      <c r="D22" s="195"/>
      <c r="E22" s="195"/>
      <c r="F22" s="195">
        <f t="shared" si="2"/>
        <v>0</v>
      </c>
      <c r="G22" s="195">
        <f t="shared" ref="G22:L22" si="7">N22-D22</f>
        <v>0</v>
      </c>
      <c r="H22" s="195">
        <f t="shared" si="7"/>
        <v>0</v>
      </c>
      <c r="I22" s="195">
        <f t="shared" si="7"/>
        <v>0</v>
      </c>
      <c r="J22" s="195">
        <f t="shared" si="7"/>
        <v>0</v>
      </c>
      <c r="K22" s="195">
        <f t="shared" si="7"/>
        <v>0</v>
      </c>
      <c r="L22" s="195">
        <f t="shared" si="7"/>
        <v>0</v>
      </c>
      <c r="M22" s="195">
        <f t="shared" si="5"/>
        <v>0</v>
      </c>
      <c r="N22" s="195">
        <f t="shared" si="6"/>
        <v>0</v>
      </c>
      <c r="O22" s="195"/>
      <c r="P22" s="195"/>
      <c r="Q22" s="195"/>
      <c r="R22" s="195">
        <f t="shared" si="3"/>
        <v>0</v>
      </c>
      <c r="S22" s="215">
        <f t="shared" si="1"/>
        <v>0</v>
      </c>
      <c r="T22" s="216" t="s">
        <v>1933</v>
      </c>
    </row>
    <row r="23" s="170" customFormat="1" hidden="1" customHeight="1" spans="1:20">
      <c r="A23" s="193">
        <v>2120705</v>
      </c>
      <c r="B23" s="201"/>
      <c r="C23" s="202" t="s">
        <v>1962</v>
      </c>
      <c r="D23" s="195"/>
      <c r="E23" s="195"/>
      <c r="F23" s="195">
        <f t="shared" si="2"/>
        <v>0</v>
      </c>
      <c r="G23" s="195">
        <f t="shared" ref="G23:L23" si="8">N23-D23</f>
        <v>0</v>
      </c>
      <c r="H23" s="195">
        <f t="shared" si="8"/>
        <v>0</v>
      </c>
      <c r="I23" s="195">
        <f t="shared" si="8"/>
        <v>0</v>
      </c>
      <c r="J23" s="195">
        <f t="shared" si="8"/>
        <v>0</v>
      </c>
      <c r="K23" s="195">
        <f t="shared" si="8"/>
        <v>0</v>
      </c>
      <c r="L23" s="195">
        <f t="shared" si="8"/>
        <v>0</v>
      </c>
      <c r="M23" s="195">
        <f t="shared" si="5"/>
        <v>0</v>
      </c>
      <c r="N23" s="195">
        <f t="shared" si="6"/>
        <v>0</v>
      </c>
      <c r="O23" s="195"/>
      <c r="P23" s="195"/>
      <c r="Q23" s="195"/>
      <c r="R23" s="195">
        <f t="shared" si="3"/>
        <v>0</v>
      </c>
      <c r="S23" s="215">
        <f t="shared" si="1"/>
        <v>0</v>
      </c>
      <c r="T23" s="216" t="s">
        <v>1933</v>
      </c>
    </row>
    <row r="24" s="169" customFormat="1" customHeight="1" spans="1:20">
      <c r="A24" s="196" t="s">
        <v>1963</v>
      </c>
      <c r="B24" s="197"/>
      <c r="C24" s="198" t="s">
        <v>1964</v>
      </c>
      <c r="D24" s="199">
        <f>SUM(D25:D37)</f>
        <v>93382.27</v>
      </c>
      <c r="E24" s="199">
        <f>SUM(E25:E37)</f>
        <v>7238.5</v>
      </c>
      <c r="F24" s="199">
        <f t="shared" si="2"/>
        <v>100620.77</v>
      </c>
      <c r="G24" s="199">
        <f t="shared" ref="G24:L24" si="9">N24-D24</f>
        <v>-24420.867</v>
      </c>
      <c r="H24" s="200">
        <f t="shared" si="9"/>
        <v>55323.903</v>
      </c>
      <c r="I24" s="200">
        <f t="shared" si="9"/>
        <v>-94221.77</v>
      </c>
      <c r="J24" s="200">
        <f t="shared" si="9"/>
        <v>31091.867</v>
      </c>
      <c r="K24" s="200">
        <f t="shared" si="9"/>
        <v>20308.5</v>
      </c>
      <c r="L24" s="200">
        <f t="shared" si="9"/>
        <v>94196.9357962864</v>
      </c>
      <c r="M24" s="199">
        <f t="shared" si="5"/>
        <v>-567.5</v>
      </c>
      <c r="N24" s="199">
        <f t="shared" si="6"/>
        <v>68961.403</v>
      </c>
      <c r="O24" s="200">
        <f>SUM(O25:O37)</f>
        <v>62562.403</v>
      </c>
      <c r="P24" s="200">
        <f>SUM(P25:P37)</f>
        <v>6399</v>
      </c>
      <c r="Q24" s="199">
        <f>+Q25+Q26+Q27+Q28+Q29+Q30+Q31+Q32+Q33+Q34+Q35+Q37</f>
        <v>6671</v>
      </c>
      <c r="R24" s="199">
        <f t="shared" si="3"/>
        <v>75632.403</v>
      </c>
      <c r="S24" s="217">
        <f t="shared" si="1"/>
        <v>-24.834203713607</v>
      </c>
      <c r="T24" s="220"/>
    </row>
    <row r="25" s="169" customFormat="1" ht="21" customHeight="1" spans="1:20">
      <c r="A25" s="196">
        <v>2120801</v>
      </c>
      <c r="B25" s="197"/>
      <c r="C25" s="203" t="s">
        <v>1965</v>
      </c>
      <c r="D25" s="204">
        <v>10041.99</v>
      </c>
      <c r="E25" s="205"/>
      <c r="F25" s="199">
        <f t="shared" si="2"/>
        <v>10041.99</v>
      </c>
      <c r="G25" s="199">
        <f t="shared" ref="G25:L25" si="10">N25-D25</f>
        <v>-1952.69</v>
      </c>
      <c r="H25" s="200">
        <f t="shared" si="10"/>
        <v>6967.3</v>
      </c>
      <c r="I25" s="200">
        <f t="shared" si="10"/>
        <v>-8919.99</v>
      </c>
      <c r="J25" s="200">
        <f t="shared" si="10"/>
        <v>1952.69</v>
      </c>
      <c r="K25" s="200">
        <f t="shared" si="10"/>
        <v>1122</v>
      </c>
      <c r="L25" s="200">
        <f t="shared" si="10"/>
        <v>8900.54475060222</v>
      </c>
      <c r="M25" s="199">
        <f t="shared" si="5"/>
        <v>0</v>
      </c>
      <c r="N25" s="199">
        <f t="shared" si="6"/>
        <v>8089.3</v>
      </c>
      <c r="O25" s="200">
        <v>6967.3</v>
      </c>
      <c r="P25" s="200">
        <v>1122</v>
      </c>
      <c r="Q25" s="199"/>
      <c r="R25" s="199">
        <f t="shared" si="3"/>
        <v>8089.3</v>
      </c>
      <c r="S25" s="217">
        <f t="shared" si="1"/>
        <v>-19.4452493977787</v>
      </c>
      <c r="T25" s="219"/>
    </row>
    <row r="26" s="169" customFormat="1" customHeight="1" spans="1:20">
      <c r="A26" s="196">
        <v>2120802</v>
      </c>
      <c r="B26" s="197"/>
      <c r="C26" s="203" t="s">
        <v>1966</v>
      </c>
      <c r="D26" s="204">
        <v>27949.96</v>
      </c>
      <c r="E26" s="205"/>
      <c r="F26" s="199">
        <f t="shared" si="2"/>
        <v>27949.96</v>
      </c>
      <c r="G26" s="199">
        <f t="shared" ref="G26:L26" si="11">N26-D26</f>
        <v>-15046.441</v>
      </c>
      <c r="H26" s="200">
        <f t="shared" si="11"/>
        <v>12903.519</v>
      </c>
      <c r="I26" s="200">
        <f t="shared" si="11"/>
        <v>-27949.96</v>
      </c>
      <c r="J26" s="200">
        <f t="shared" si="11"/>
        <v>15046.441</v>
      </c>
      <c r="K26" s="200">
        <f t="shared" si="11"/>
        <v>0</v>
      </c>
      <c r="L26" s="200">
        <f t="shared" si="11"/>
        <v>27896.1265025639</v>
      </c>
      <c r="M26" s="199">
        <f t="shared" si="5"/>
        <v>0</v>
      </c>
      <c r="N26" s="199">
        <f t="shared" si="6"/>
        <v>12903.519</v>
      </c>
      <c r="O26" s="200">
        <v>12903.519</v>
      </c>
      <c r="P26" s="200"/>
      <c r="Q26" s="199"/>
      <c r="R26" s="199">
        <f t="shared" si="3"/>
        <v>12903.519</v>
      </c>
      <c r="S26" s="217">
        <f t="shared" si="1"/>
        <v>-53.8334974361323</v>
      </c>
      <c r="T26" s="219"/>
    </row>
    <row r="27" s="169" customFormat="1" customHeight="1" spans="1:20">
      <c r="A27" s="196">
        <v>2120803</v>
      </c>
      <c r="B27" s="197"/>
      <c r="C27" s="198" t="s">
        <v>1967</v>
      </c>
      <c r="D27" s="204">
        <v>24948.29</v>
      </c>
      <c r="E27" s="205"/>
      <c r="F27" s="199">
        <f t="shared" si="2"/>
        <v>24948.29</v>
      </c>
      <c r="G27" s="199">
        <f t="shared" ref="G27:L27" si="12">N27-D27</f>
        <v>-2152.87</v>
      </c>
      <c r="H27" s="200">
        <f t="shared" si="12"/>
        <v>22295.42</v>
      </c>
      <c r="I27" s="200">
        <f t="shared" si="12"/>
        <v>-24448.29</v>
      </c>
      <c r="J27" s="200">
        <f t="shared" si="12"/>
        <v>2152.87</v>
      </c>
      <c r="K27" s="200">
        <f t="shared" si="12"/>
        <v>500</v>
      </c>
      <c r="L27" s="200">
        <f t="shared" si="12"/>
        <v>24439.6606710961</v>
      </c>
      <c r="M27" s="199">
        <f t="shared" si="5"/>
        <v>0</v>
      </c>
      <c r="N27" s="199">
        <f t="shared" si="6"/>
        <v>22795.42</v>
      </c>
      <c r="O27" s="200">
        <f>11391.42+10904</f>
        <v>22295.42</v>
      </c>
      <c r="P27" s="200">
        <v>500</v>
      </c>
      <c r="Q27" s="199"/>
      <c r="R27" s="199">
        <f t="shared" si="3"/>
        <v>22795.42</v>
      </c>
      <c r="S27" s="217">
        <f t="shared" si="1"/>
        <v>-8.62932890390484</v>
      </c>
      <c r="T27" s="219"/>
    </row>
    <row r="28" s="169" customFormat="1" customHeight="1" spans="1:20">
      <c r="A28" s="196" t="s">
        <v>1968</v>
      </c>
      <c r="B28" s="197"/>
      <c r="C28" s="203" t="s">
        <v>1969</v>
      </c>
      <c r="D28" s="204">
        <v>3487.6</v>
      </c>
      <c r="E28" s="204">
        <v>2137.5</v>
      </c>
      <c r="F28" s="199">
        <f t="shared" si="2"/>
        <v>5625.1</v>
      </c>
      <c r="G28" s="199">
        <f t="shared" ref="G28:L28" si="13">N28-D28</f>
        <v>2405.57</v>
      </c>
      <c r="H28" s="200">
        <f t="shared" si="13"/>
        <v>1316.67</v>
      </c>
      <c r="I28" s="200">
        <f t="shared" si="13"/>
        <v>-3186.1</v>
      </c>
      <c r="J28" s="200">
        <f t="shared" si="13"/>
        <v>-835.57</v>
      </c>
      <c r="K28" s="200">
        <f t="shared" si="13"/>
        <v>6146.5</v>
      </c>
      <c r="L28" s="200">
        <f t="shared" si="13"/>
        <v>3218.77621908944</v>
      </c>
      <c r="M28" s="199">
        <f t="shared" si="5"/>
        <v>-567.5</v>
      </c>
      <c r="N28" s="199">
        <f t="shared" si="6"/>
        <v>5893.17</v>
      </c>
      <c r="O28" s="200">
        <v>3454.17</v>
      </c>
      <c r="P28" s="200">
        <v>2439</v>
      </c>
      <c r="Q28" s="199">
        <v>1570</v>
      </c>
      <c r="R28" s="199">
        <f t="shared" si="3"/>
        <v>7463.17</v>
      </c>
      <c r="S28" s="217">
        <f t="shared" si="1"/>
        <v>32.6762190894384</v>
      </c>
      <c r="T28" s="219"/>
    </row>
    <row r="29" s="170" customFormat="1" hidden="1" customHeight="1" spans="1:20">
      <c r="A29" s="193">
        <v>2120805</v>
      </c>
      <c r="B29" s="201"/>
      <c r="C29" s="202" t="s">
        <v>1970</v>
      </c>
      <c r="D29" s="206"/>
      <c r="E29" s="207"/>
      <c r="F29" s="195">
        <f t="shared" si="2"/>
        <v>0</v>
      </c>
      <c r="G29" s="195">
        <f t="shared" ref="G29:L29" si="14">N29-D29</f>
        <v>0</v>
      </c>
      <c r="H29" s="195">
        <f t="shared" si="14"/>
        <v>0</v>
      </c>
      <c r="I29" s="195">
        <f t="shared" si="14"/>
        <v>0</v>
      </c>
      <c r="J29" s="195">
        <f t="shared" si="14"/>
        <v>0</v>
      </c>
      <c r="K29" s="195">
        <f t="shared" si="14"/>
        <v>0</v>
      </c>
      <c r="L29" s="195">
        <f t="shared" si="14"/>
        <v>0</v>
      </c>
      <c r="M29" s="195">
        <f t="shared" si="5"/>
        <v>0</v>
      </c>
      <c r="N29" s="195">
        <f t="shared" si="6"/>
        <v>0</v>
      </c>
      <c r="O29" s="195"/>
      <c r="P29" s="195"/>
      <c r="Q29" s="195"/>
      <c r="R29" s="195">
        <f t="shared" si="3"/>
        <v>0</v>
      </c>
      <c r="S29" s="215">
        <f t="shared" si="1"/>
        <v>0</v>
      </c>
      <c r="T29" s="216" t="s">
        <v>1933</v>
      </c>
    </row>
    <row r="30" s="169" customFormat="1" customHeight="1" spans="1:20">
      <c r="A30" s="196">
        <v>2120806</v>
      </c>
      <c r="B30" s="197"/>
      <c r="C30" s="203" t="s">
        <v>1971</v>
      </c>
      <c r="D30" s="204">
        <v>1923.24</v>
      </c>
      <c r="E30" s="205"/>
      <c r="F30" s="199">
        <f t="shared" si="2"/>
        <v>1923.24</v>
      </c>
      <c r="G30" s="199">
        <f t="shared" ref="G30:L30" si="15">N30-D30</f>
        <v>-257.996</v>
      </c>
      <c r="H30" s="200">
        <f t="shared" si="15"/>
        <v>1665.244</v>
      </c>
      <c r="I30" s="200">
        <f t="shared" si="15"/>
        <v>-1923.24</v>
      </c>
      <c r="J30" s="200">
        <f t="shared" si="15"/>
        <v>257.996</v>
      </c>
      <c r="K30" s="200">
        <f t="shared" si="15"/>
        <v>0</v>
      </c>
      <c r="L30" s="200">
        <f t="shared" si="15"/>
        <v>1909.8253455627</v>
      </c>
      <c r="M30" s="199">
        <f t="shared" si="5"/>
        <v>0</v>
      </c>
      <c r="N30" s="199">
        <f t="shared" si="6"/>
        <v>1665.244</v>
      </c>
      <c r="O30" s="200">
        <v>1665.244</v>
      </c>
      <c r="P30" s="200"/>
      <c r="Q30" s="199"/>
      <c r="R30" s="199">
        <f t="shared" si="3"/>
        <v>1665.244</v>
      </c>
      <c r="S30" s="217">
        <f t="shared" si="1"/>
        <v>-13.4146544373037</v>
      </c>
      <c r="T30" s="219"/>
    </row>
    <row r="31" s="170" customFormat="1" hidden="1" customHeight="1" spans="1:20">
      <c r="A31" s="193">
        <v>2120807</v>
      </c>
      <c r="B31" s="201"/>
      <c r="C31" s="208" t="s">
        <v>1972</v>
      </c>
      <c r="D31" s="207"/>
      <c r="E31" s="207"/>
      <c r="F31" s="195">
        <f t="shared" si="2"/>
        <v>0</v>
      </c>
      <c r="G31" s="195">
        <f t="shared" ref="G31:L31" si="16">N31-D31</f>
        <v>0</v>
      </c>
      <c r="H31" s="195">
        <f t="shared" si="16"/>
        <v>0</v>
      </c>
      <c r="I31" s="195">
        <f t="shared" si="16"/>
        <v>0</v>
      </c>
      <c r="J31" s="195">
        <f t="shared" si="16"/>
        <v>0</v>
      </c>
      <c r="K31" s="195">
        <f t="shared" si="16"/>
        <v>0</v>
      </c>
      <c r="L31" s="195">
        <f t="shared" si="16"/>
        <v>0</v>
      </c>
      <c r="M31" s="195">
        <f t="shared" si="5"/>
        <v>0</v>
      </c>
      <c r="N31" s="195">
        <f t="shared" si="6"/>
        <v>0</v>
      </c>
      <c r="O31" s="195"/>
      <c r="P31" s="195"/>
      <c r="Q31" s="195"/>
      <c r="R31" s="195">
        <f t="shared" si="3"/>
        <v>0</v>
      </c>
      <c r="S31" s="215">
        <f t="shared" si="1"/>
        <v>0</v>
      </c>
      <c r="T31" s="216" t="s">
        <v>1933</v>
      </c>
    </row>
    <row r="32" s="170" customFormat="1" hidden="1" customHeight="1" spans="1:20">
      <c r="A32" s="193">
        <v>2120808</v>
      </c>
      <c r="B32" s="201"/>
      <c r="C32" s="202" t="s">
        <v>1973</v>
      </c>
      <c r="D32" s="207"/>
      <c r="E32" s="207"/>
      <c r="F32" s="195">
        <f t="shared" si="2"/>
        <v>0</v>
      </c>
      <c r="G32" s="195">
        <f t="shared" ref="G32:L32" si="17">N32-D32</f>
        <v>0</v>
      </c>
      <c r="H32" s="195">
        <f t="shared" si="17"/>
        <v>0</v>
      </c>
      <c r="I32" s="195">
        <f t="shared" si="17"/>
        <v>0</v>
      </c>
      <c r="J32" s="195">
        <f t="shared" si="17"/>
        <v>0</v>
      </c>
      <c r="K32" s="195">
        <f t="shared" si="17"/>
        <v>0</v>
      </c>
      <c r="L32" s="195">
        <f t="shared" si="17"/>
        <v>0</v>
      </c>
      <c r="M32" s="195">
        <f t="shared" si="5"/>
        <v>0</v>
      </c>
      <c r="N32" s="195">
        <f t="shared" si="6"/>
        <v>0</v>
      </c>
      <c r="O32" s="195"/>
      <c r="P32" s="195"/>
      <c r="Q32" s="195"/>
      <c r="R32" s="195">
        <f t="shared" si="3"/>
        <v>0</v>
      </c>
      <c r="S32" s="215">
        <f t="shared" si="1"/>
        <v>0</v>
      </c>
      <c r="T32" s="216" t="s">
        <v>1933</v>
      </c>
    </row>
    <row r="33" s="170" customFormat="1" hidden="1" customHeight="1" spans="1:20">
      <c r="A33" s="193" t="s">
        <v>1974</v>
      </c>
      <c r="B33" s="201"/>
      <c r="C33" s="202" t="s">
        <v>1975</v>
      </c>
      <c r="D33" s="207"/>
      <c r="E33" s="207"/>
      <c r="F33" s="195">
        <f t="shared" si="2"/>
        <v>0</v>
      </c>
      <c r="G33" s="195">
        <f t="shared" ref="G33:L33" si="18">N33-D33</f>
        <v>0</v>
      </c>
      <c r="H33" s="195">
        <f t="shared" si="18"/>
        <v>0</v>
      </c>
      <c r="I33" s="195">
        <f t="shared" si="18"/>
        <v>0</v>
      </c>
      <c r="J33" s="195">
        <f t="shared" si="18"/>
        <v>0</v>
      </c>
      <c r="K33" s="195">
        <f t="shared" si="18"/>
        <v>0</v>
      </c>
      <c r="L33" s="195">
        <f t="shared" si="18"/>
        <v>0</v>
      </c>
      <c r="M33" s="195">
        <f t="shared" si="5"/>
        <v>0</v>
      </c>
      <c r="N33" s="195">
        <f t="shared" si="6"/>
        <v>0</v>
      </c>
      <c r="O33" s="195"/>
      <c r="P33" s="195"/>
      <c r="Q33" s="195"/>
      <c r="R33" s="195">
        <f t="shared" si="3"/>
        <v>0</v>
      </c>
      <c r="S33" s="215">
        <f t="shared" si="1"/>
        <v>0</v>
      </c>
      <c r="T33" s="216" t="s">
        <v>1933</v>
      </c>
    </row>
    <row r="34" s="169" customFormat="1" customHeight="1" spans="1:20">
      <c r="A34" s="196">
        <v>2120811</v>
      </c>
      <c r="B34" s="197"/>
      <c r="C34" s="198" t="s">
        <v>1976</v>
      </c>
      <c r="D34" s="204">
        <v>162.02</v>
      </c>
      <c r="E34" s="205"/>
      <c r="F34" s="199">
        <f t="shared" si="2"/>
        <v>162.02</v>
      </c>
      <c r="G34" s="199">
        <f t="shared" ref="G34:L34" si="19">N34-D34</f>
        <v>30</v>
      </c>
      <c r="H34" s="200">
        <f t="shared" si="19"/>
        <v>192.02</v>
      </c>
      <c r="I34" s="200">
        <f t="shared" si="19"/>
        <v>-162.02</v>
      </c>
      <c r="J34" s="200">
        <f t="shared" si="19"/>
        <v>-30</v>
      </c>
      <c r="K34" s="200">
        <f t="shared" si="19"/>
        <v>0</v>
      </c>
      <c r="L34" s="200">
        <f t="shared" si="19"/>
        <v>180.536232563881</v>
      </c>
      <c r="M34" s="199">
        <f t="shared" si="5"/>
        <v>0</v>
      </c>
      <c r="N34" s="199">
        <f t="shared" si="6"/>
        <v>192.02</v>
      </c>
      <c r="O34" s="200">
        <v>192.02</v>
      </c>
      <c r="P34" s="200"/>
      <c r="Q34" s="199"/>
      <c r="R34" s="199">
        <f t="shared" si="3"/>
        <v>192.02</v>
      </c>
      <c r="S34" s="217">
        <f t="shared" si="1"/>
        <v>18.516232563881</v>
      </c>
      <c r="T34" s="219"/>
    </row>
    <row r="35" s="170" customFormat="1" hidden="1" customHeight="1" spans="1:20">
      <c r="A35" s="193">
        <v>2120812</v>
      </c>
      <c r="B35" s="201"/>
      <c r="C35" s="202" t="s">
        <v>1977</v>
      </c>
      <c r="D35" s="207"/>
      <c r="E35" s="207"/>
      <c r="F35" s="195">
        <f t="shared" si="2"/>
        <v>0</v>
      </c>
      <c r="G35" s="195">
        <f t="shared" ref="G35:L35" si="20">N35-D35</f>
        <v>0</v>
      </c>
      <c r="H35" s="195">
        <f t="shared" si="20"/>
        <v>0</v>
      </c>
      <c r="I35" s="195">
        <f t="shared" si="20"/>
        <v>0</v>
      </c>
      <c r="J35" s="195">
        <f t="shared" si="20"/>
        <v>0</v>
      </c>
      <c r="K35" s="195">
        <f t="shared" si="20"/>
        <v>0</v>
      </c>
      <c r="L35" s="195">
        <f t="shared" si="20"/>
        <v>0</v>
      </c>
      <c r="M35" s="195">
        <f t="shared" si="5"/>
        <v>0</v>
      </c>
      <c r="N35" s="195">
        <f t="shared" si="6"/>
        <v>0</v>
      </c>
      <c r="O35" s="195"/>
      <c r="P35" s="195"/>
      <c r="Q35" s="195"/>
      <c r="R35" s="195">
        <f t="shared" si="3"/>
        <v>0</v>
      </c>
      <c r="S35" s="215">
        <f t="shared" si="1"/>
        <v>0</v>
      </c>
      <c r="T35" s="216" t="s">
        <v>1933</v>
      </c>
    </row>
    <row r="36" s="169" customFormat="1" customHeight="1" spans="1:20">
      <c r="A36" s="196" t="s">
        <v>1978</v>
      </c>
      <c r="B36" s="197"/>
      <c r="C36" s="198" t="s">
        <v>1979</v>
      </c>
      <c r="D36" s="205">
        <v>2246</v>
      </c>
      <c r="E36" s="205"/>
      <c r="F36" s="199">
        <f t="shared" si="2"/>
        <v>2246</v>
      </c>
      <c r="G36" s="199">
        <f t="shared" ref="G36:L36" si="21">N36-D36</f>
        <v>-2246</v>
      </c>
      <c r="H36" s="200">
        <f t="shared" si="21"/>
        <v>0</v>
      </c>
      <c r="I36" s="200">
        <f t="shared" si="21"/>
        <v>-2246</v>
      </c>
      <c r="J36" s="200">
        <f t="shared" si="21"/>
        <v>2246</v>
      </c>
      <c r="K36" s="200">
        <f t="shared" si="21"/>
        <v>0</v>
      </c>
      <c r="L36" s="200">
        <f t="shared" si="21"/>
        <v>2146</v>
      </c>
      <c r="M36" s="199">
        <f t="shared" si="5"/>
        <v>0</v>
      </c>
      <c r="N36" s="199">
        <f t="shared" si="6"/>
        <v>0</v>
      </c>
      <c r="O36" s="200"/>
      <c r="P36" s="200"/>
      <c r="Q36" s="199"/>
      <c r="R36" s="199">
        <f t="shared" si="3"/>
        <v>0</v>
      </c>
      <c r="S36" s="217">
        <f t="shared" si="1"/>
        <v>-100</v>
      </c>
      <c r="T36" s="219"/>
    </row>
    <row r="37" s="169" customFormat="1" customHeight="1" spans="1:20">
      <c r="A37" s="196">
        <v>2120899</v>
      </c>
      <c r="B37" s="197"/>
      <c r="C37" s="198" t="s">
        <v>1980</v>
      </c>
      <c r="D37" s="204">
        <v>22623.17</v>
      </c>
      <c r="E37" s="204">
        <v>5101</v>
      </c>
      <c r="F37" s="199">
        <f t="shared" si="2"/>
        <v>27724.17</v>
      </c>
      <c r="G37" s="199">
        <f t="shared" ref="G37:L37" si="22">N37-D37</f>
        <v>-5200.44</v>
      </c>
      <c r="H37" s="200">
        <f t="shared" si="22"/>
        <v>9983.73</v>
      </c>
      <c r="I37" s="200">
        <f t="shared" si="22"/>
        <v>-25386.17</v>
      </c>
      <c r="J37" s="200">
        <f t="shared" si="22"/>
        <v>10301.44</v>
      </c>
      <c r="K37" s="200">
        <f t="shared" si="22"/>
        <v>12540</v>
      </c>
      <c r="L37" s="200">
        <f t="shared" si="22"/>
        <v>25367.4122157273</v>
      </c>
      <c r="M37" s="199">
        <f t="shared" si="5"/>
        <v>0</v>
      </c>
      <c r="N37" s="199">
        <f t="shared" si="6"/>
        <v>17422.73</v>
      </c>
      <c r="O37" s="200">
        <v>15084.73</v>
      </c>
      <c r="P37" s="200">
        <v>2338</v>
      </c>
      <c r="Q37" s="199">
        <v>5101</v>
      </c>
      <c r="R37" s="199">
        <f t="shared" si="3"/>
        <v>22523.73</v>
      </c>
      <c r="S37" s="217">
        <f t="shared" si="1"/>
        <v>-18.7577842727122</v>
      </c>
      <c r="T37" s="219"/>
    </row>
    <row r="38" s="170" customFormat="1" hidden="1" customHeight="1" spans="1:20">
      <c r="A38" s="193" t="s">
        <v>1981</v>
      </c>
      <c r="B38" s="201"/>
      <c r="C38" s="202" t="s">
        <v>1982</v>
      </c>
      <c r="D38" s="195"/>
      <c r="E38" s="195"/>
      <c r="F38" s="195">
        <f t="shared" ref="F37:F46" si="23">D38+E38</f>
        <v>0</v>
      </c>
      <c r="G38" s="195">
        <f t="shared" ref="G38:L38" si="24">N38-D38</f>
        <v>0</v>
      </c>
      <c r="H38" s="195">
        <f t="shared" si="24"/>
        <v>0</v>
      </c>
      <c r="I38" s="195">
        <f t="shared" si="24"/>
        <v>0</v>
      </c>
      <c r="J38" s="195">
        <f t="shared" si="24"/>
        <v>0</v>
      </c>
      <c r="K38" s="195">
        <f t="shared" si="24"/>
        <v>0</v>
      </c>
      <c r="L38" s="195">
        <f t="shared" si="24"/>
        <v>0</v>
      </c>
      <c r="M38" s="195">
        <f t="shared" si="5"/>
        <v>0</v>
      </c>
      <c r="N38" s="195">
        <f t="shared" si="6"/>
        <v>0</v>
      </c>
      <c r="O38" s="195"/>
      <c r="P38" s="195"/>
      <c r="Q38" s="195"/>
      <c r="R38" s="195">
        <f t="shared" si="3"/>
        <v>0</v>
      </c>
      <c r="S38" s="215">
        <f t="shared" si="1"/>
        <v>0</v>
      </c>
      <c r="T38" s="216" t="s">
        <v>1933</v>
      </c>
    </row>
    <row r="39" s="170" customFormat="1" hidden="1" customHeight="1" spans="1:20">
      <c r="A39" s="193" t="s">
        <v>1983</v>
      </c>
      <c r="B39" s="201"/>
      <c r="C39" s="202" t="s">
        <v>1984</v>
      </c>
      <c r="D39" s="207"/>
      <c r="E39" s="207"/>
      <c r="F39" s="195">
        <f t="shared" si="23"/>
        <v>0</v>
      </c>
      <c r="G39" s="195">
        <f t="shared" ref="G39:L39" si="25">N39-D39</f>
        <v>0</v>
      </c>
      <c r="H39" s="195">
        <f t="shared" si="25"/>
        <v>0</v>
      </c>
      <c r="I39" s="195">
        <f t="shared" si="25"/>
        <v>0</v>
      </c>
      <c r="J39" s="195">
        <f t="shared" si="25"/>
        <v>0</v>
      </c>
      <c r="K39" s="195">
        <f t="shared" si="25"/>
        <v>0</v>
      </c>
      <c r="L39" s="195">
        <f t="shared" si="25"/>
        <v>0</v>
      </c>
      <c r="M39" s="195">
        <f t="shared" si="5"/>
        <v>0</v>
      </c>
      <c r="N39" s="195">
        <f t="shared" si="6"/>
        <v>0</v>
      </c>
      <c r="O39" s="195"/>
      <c r="P39" s="195"/>
      <c r="Q39" s="195"/>
      <c r="R39" s="195">
        <f t="shared" si="3"/>
        <v>0</v>
      </c>
      <c r="S39" s="215">
        <f t="shared" si="1"/>
        <v>0</v>
      </c>
      <c r="T39" s="216" t="s">
        <v>1933</v>
      </c>
    </row>
    <row r="40" s="170" customFormat="1" hidden="1" customHeight="1" spans="1:20">
      <c r="A40" s="193" t="s">
        <v>1985</v>
      </c>
      <c r="B40" s="201"/>
      <c r="C40" s="202" t="s">
        <v>1986</v>
      </c>
      <c r="D40" s="207"/>
      <c r="E40" s="207"/>
      <c r="F40" s="195">
        <f t="shared" si="23"/>
        <v>0</v>
      </c>
      <c r="G40" s="195">
        <f t="shared" ref="G40:L40" si="26">N40-D40</f>
        <v>0</v>
      </c>
      <c r="H40" s="195">
        <f t="shared" si="26"/>
        <v>0</v>
      </c>
      <c r="I40" s="195">
        <f t="shared" si="26"/>
        <v>0</v>
      </c>
      <c r="J40" s="195">
        <f t="shared" si="26"/>
        <v>0</v>
      </c>
      <c r="K40" s="195">
        <f t="shared" si="26"/>
        <v>0</v>
      </c>
      <c r="L40" s="195">
        <f t="shared" si="26"/>
        <v>0</v>
      </c>
      <c r="M40" s="195">
        <f t="shared" si="5"/>
        <v>0</v>
      </c>
      <c r="N40" s="195">
        <f t="shared" si="6"/>
        <v>0</v>
      </c>
      <c r="O40" s="195"/>
      <c r="P40" s="195"/>
      <c r="Q40" s="195"/>
      <c r="R40" s="195">
        <f t="shared" si="3"/>
        <v>0</v>
      </c>
      <c r="S40" s="215">
        <f t="shared" si="1"/>
        <v>0</v>
      </c>
      <c r="T40" s="216" t="s">
        <v>1933</v>
      </c>
    </row>
    <row r="41" s="170" customFormat="1" hidden="1" customHeight="1" spans="1:20">
      <c r="A41" s="193">
        <v>2120999</v>
      </c>
      <c r="B41" s="201"/>
      <c r="C41" s="202" t="s">
        <v>1987</v>
      </c>
      <c r="D41" s="207"/>
      <c r="E41" s="207"/>
      <c r="F41" s="195">
        <f t="shared" si="23"/>
        <v>0</v>
      </c>
      <c r="G41" s="195">
        <f t="shared" ref="G41:L41" si="27">N41-D41</f>
        <v>0</v>
      </c>
      <c r="H41" s="195">
        <f t="shared" si="27"/>
        <v>0</v>
      </c>
      <c r="I41" s="195">
        <f t="shared" si="27"/>
        <v>0</v>
      </c>
      <c r="J41" s="195">
        <f t="shared" si="27"/>
        <v>0</v>
      </c>
      <c r="K41" s="195">
        <f t="shared" si="27"/>
        <v>0</v>
      </c>
      <c r="L41" s="195">
        <f t="shared" si="27"/>
        <v>0</v>
      </c>
      <c r="M41" s="195">
        <f t="shared" si="5"/>
        <v>0</v>
      </c>
      <c r="N41" s="195">
        <f t="shared" si="6"/>
        <v>0</v>
      </c>
      <c r="O41" s="195"/>
      <c r="P41" s="195"/>
      <c r="Q41" s="195"/>
      <c r="R41" s="195">
        <f t="shared" si="3"/>
        <v>0</v>
      </c>
      <c r="S41" s="215">
        <f t="shared" si="1"/>
        <v>0</v>
      </c>
      <c r="T41" s="216" t="s">
        <v>1933</v>
      </c>
    </row>
    <row r="42" s="170" customFormat="1" hidden="1" customHeight="1" spans="1:20">
      <c r="A42" s="193" t="s">
        <v>1988</v>
      </c>
      <c r="B42" s="201"/>
      <c r="C42" s="202" t="s">
        <v>1989</v>
      </c>
      <c r="D42" s="206"/>
      <c r="E42" s="195"/>
      <c r="F42" s="195">
        <f t="shared" si="23"/>
        <v>0</v>
      </c>
      <c r="G42" s="195">
        <f t="shared" ref="G42:L42" si="28">N42-D42</f>
        <v>0</v>
      </c>
      <c r="H42" s="195">
        <f t="shared" si="28"/>
        <v>0</v>
      </c>
      <c r="I42" s="195">
        <f t="shared" si="28"/>
        <v>0</v>
      </c>
      <c r="J42" s="195">
        <f t="shared" si="28"/>
        <v>0</v>
      </c>
      <c r="K42" s="195">
        <f t="shared" si="28"/>
        <v>0</v>
      </c>
      <c r="L42" s="195">
        <f t="shared" si="28"/>
        <v>0</v>
      </c>
      <c r="M42" s="195">
        <f t="shared" si="5"/>
        <v>0</v>
      </c>
      <c r="N42" s="195">
        <f t="shared" si="6"/>
        <v>0</v>
      </c>
      <c r="O42" s="195"/>
      <c r="P42" s="195"/>
      <c r="Q42" s="195"/>
      <c r="R42" s="195">
        <f t="shared" si="3"/>
        <v>0</v>
      </c>
      <c r="S42" s="215">
        <f t="shared" si="1"/>
        <v>0</v>
      </c>
      <c r="T42" s="216" t="s">
        <v>1933</v>
      </c>
    </row>
    <row r="43" s="170" customFormat="1" hidden="1" customHeight="1" spans="1:20">
      <c r="A43" s="193">
        <v>2121001</v>
      </c>
      <c r="B43" s="201"/>
      <c r="C43" s="202" t="s">
        <v>1990</v>
      </c>
      <c r="D43" s="207"/>
      <c r="E43" s="207"/>
      <c r="F43" s="195">
        <f t="shared" si="23"/>
        <v>0</v>
      </c>
      <c r="G43" s="195">
        <f t="shared" ref="G43:L43" si="29">N43-D43</f>
        <v>0</v>
      </c>
      <c r="H43" s="195">
        <f t="shared" si="29"/>
        <v>0</v>
      </c>
      <c r="I43" s="195">
        <f t="shared" si="29"/>
        <v>0</v>
      </c>
      <c r="J43" s="195">
        <f t="shared" si="29"/>
        <v>0</v>
      </c>
      <c r="K43" s="195">
        <f t="shared" si="29"/>
        <v>0</v>
      </c>
      <c r="L43" s="195">
        <f t="shared" si="29"/>
        <v>0</v>
      </c>
      <c r="M43" s="195">
        <f t="shared" si="5"/>
        <v>0</v>
      </c>
      <c r="N43" s="195">
        <f t="shared" si="6"/>
        <v>0</v>
      </c>
      <c r="O43" s="195"/>
      <c r="P43" s="195"/>
      <c r="Q43" s="195"/>
      <c r="R43" s="195">
        <f t="shared" si="3"/>
        <v>0</v>
      </c>
      <c r="S43" s="215">
        <f t="shared" si="1"/>
        <v>0</v>
      </c>
      <c r="T43" s="216" t="s">
        <v>1933</v>
      </c>
    </row>
    <row r="44" s="170" customFormat="1" hidden="1" customHeight="1" spans="1:20">
      <c r="A44" s="193">
        <v>2121002</v>
      </c>
      <c r="B44" s="201"/>
      <c r="C44" s="202" t="s">
        <v>1991</v>
      </c>
      <c r="D44" s="206"/>
      <c r="E44" s="207"/>
      <c r="F44" s="195">
        <f t="shared" si="23"/>
        <v>0</v>
      </c>
      <c r="G44" s="195">
        <f t="shared" ref="G44:L44" si="30">N44-D44</f>
        <v>0</v>
      </c>
      <c r="H44" s="195">
        <f t="shared" si="30"/>
        <v>0</v>
      </c>
      <c r="I44" s="195">
        <f t="shared" si="30"/>
        <v>0</v>
      </c>
      <c r="J44" s="195">
        <f t="shared" si="30"/>
        <v>0</v>
      </c>
      <c r="K44" s="195">
        <f t="shared" si="30"/>
        <v>0</v>
      </c>
      <c r="L44" s="195">
        <f t="shared" si="30"/>
        <v>0</v>
      </c>
      <c r="M44" s="195">
        <f t="shared" si="5"/>
        <v>0</v>
      </c>
      <c r="N44" s="195">
        <f t="shared" si="6"/>
        <v>0</v>
      </c>
      <c r="O44" s="195"/>
      <c r="P44" s="195"/>
      <c r="Q44" s="195"/>
      <c r="R44" s="195">
        <f t="shared" si="3"/>
        <v>0</v>
      </c>
      <c r="S44" s="215">
        <f t="shared" si="1"/>
        <v>0</v>
      </c>
      <c r="T44" s="216" t="s">
        <v>1933</v>
      </c>
    </row>
    <row r="45" s="170" customFormat="1" hidden="1" customHeight="1" spans="1:20">
      <c r="A45" s="193">
        <v>2121099</v>
      </c>
      <c r="B45" s="201"/>
      <c r="C45" s="202" t="s">
        <v>1992</v>
      </c>
      <c r="D45" s="207"/>
      <c r="E45" s="207"/>
      <c r="F45" s="195">
        <f t="shared" si="23"/>
        <v>0</v>
      </c>
      <c r="G45" s="195">
        <f t="shared" ref="G45:L45" si="31">N45-D45</f>
        <v>0</v>
      </c>
      <c r="H45" s="195">
        <f t="shared" si="31"/>
        <v>0</v>
      </c>
      <c r="I45" s="195">
        <f t="shared" si="31"/>
        <v>0</v>
      </c>
      <c r="J45" s="195">
        <f t="shared" si="31"/>
        <v>0</v>
      </c>
      <c r="K45" s="195">
        <f t="shared" si="31"/>
        <v>0</v>
      </c>
      <c r="L45" s="195">
        <f t="shared" si="31"/>
        <v>0</v>
      </c>
      <c r="M45" s="195">
        <f t="shared" si="5"/>
        <v>0</v>
      </c>
      <c r="N45" s="195">
        <f t="shared" si="6"/>
        <v>0</v>
      </c>
      <c r="O45" s="195"/>
      <c r="P45" s="195"/>
      <c r="Q45" s="195"/>
      <c r="R45" s="195">
        <f t="shared" si="3"/>
        <v>0</v>
      </c>
      <c r="S45" s="215">
        <f t="shared" si="1"/>
        <v>0</v>
      </c>
      <c r="T45" s="216" t="s">
        <v>1933</v>
      </c>
    </row>
    <row r="46" s="169" customFormat="1" customHeight="1" spans="1:20">
      <c r="A46" s="196" t="s">
        <v>1993</v>
      </c>
      <c r="B46" s="197"/>
      <c r="C46" s="198" t="s">
        <v>1994</v>
      </c>
      <c r="D46" s="204">
        <v>3135.04</v>
      </c>
      <c r="E46" s="205"/>
      <c r="F46" s="199">
        <f t="shared" si="23"/>
        <v>3135.04</v>
      </c>
      <c r="G46" s="199">
        <f t="shared" ref="G46:L46" si="32">N46-D46</f>
        <v>-2915.96</v>
      </c>
      <c r="H46" s="200">
        <f t="shared" si="32"/>
        <v>219.08</v>
      </c>
      <c r="I46" s="200">
        <f t="shared" si="32"/>
        <v>-3135.04</v>
      </c>
      <c r="J46" s="200">
        <f t="shared" si="32"/>
        <v>2915.96</v>
      </c>
      <c r="K46" s="200">
        <f t="shared" si="32"/>
        <v>0</v>
      </c>
      <c r="L46" s="200">
        <f t="shared" si="32"/>
        <v>3042.02810860467</v>
      </c>
      <c r="M46" s="199">
        <f t="shared" si="5"/>
        <v>0</v>
      </c>
      <c r="N46" s="199">
        <f t="shared" si="6"/>
        <v>219.08</v>
      </c>
      <c r="O46" s="200">
        <v>219.08</v>
      </c>
      <c r="P46" s="200"/>
      <c r="Q46" s="199"/>
      <c r="R46" s="199">
        <f t="shared" si="3"/>
        <v>219.08</v>
      </c>
      <c r="S46" s="217">
        <f t="shared" si="1"/>
        <v>-93.0118913953251</v>
      </c>
      <c r="T46" s="219"/>
    </row>
    <row r="47" s="170" customFormat="1" hidden="1" customHeight="1" spans="1:20">
      <c r="A47" s="193" t="s">
        <v>1995</v>
      </c>
      <c r="B47" s="201"/>
      <c r="C47" s="202" t="s">
        <v>1996</v>
      </c>
      <c r="D47" s="207"/>
      <c r="E47" s="195"/>
      <c r="F47" s="195">
        <f t="shared" ref="F47:F53" si="33">D47+E47</f>
        <v>0</v>
      </c>
      <c r="G47" s="195">
        <f t="shared" ref="G47:L47" si="34">N47-D47</f>
        <v>0</v>
      </c>
      <c r="H47" s="195">
        <f t="shared" si="34"/>
        <v>0</v>
      </c>
      <c r="I47" s="195">
        <f t="shared" si="34"/>
        <v>0</v>
      </c>
      <c r="J47" s="195">
        <f t="shared" si="34"/>
        <v>0</v>
      </c>
      <c r="K47" s="195">
        <f t="shared" si="34"/>
        <v>0</v>
      </c>
      <c r="L47" s="195">
        <f t="shared" si="34"/>
        <v>0</v>
      </c>
      <c r="M47" s="195">
        <f t="shared" si="5"/>
        <v>0</v>
      </c>
      <c r="N47" s="195">
        <f t="shared" si="6"/>
        <v>0</v>
      </c>
      <c r="O47" s="195"/>
      <c r="P47" s="195"/>
      <c r="Q47" s="195"/>
      <c r="R47" s="195">
        <f t="shared" si="3"/>
        <v>0</v>
      </c>
      <c r="S47" s="215">
        <f t="shared" si="1"/>
        <v>0</v>
      </c>
      <c r="T47" s="216" t="s">
        <v>1933</v>
      </c>
    </row>
    <row r="48" s="170" customFormat="1" hidden="1" customHeight="1" spans="1:20">
      <c r="A48" s="193">
        <v>2121202</v>
      </c>
      <c r="B48" s="201"/>
      <c r="C48" s="202" t="s">
        <v>1997</v>
      </c>
      <c r="D48" s="207"/>
      <c r="E48" s="207"/>
      <c r="F48" s="195">
        <f t="shared" si="33"/>
        <v>0</v>
      </c>
      <c r="G48" s="195">
        <f t="shared" ref="G48:L48" si="35">N48-D48</f>
        <v>0</v>
      </c>
      <c r="H48" s="195">
        <f t="shared" si="35"/>
        <v>0</v>
      </c>
      <c r="I48" s="195">
        <f t="shared" si="35"/>
        <v>0</v>
      </c>
      <c r="J48" s="195">
        <f t="shared" si="35"/>
        <v>0</v>
      </c>
      <c r="K48" s="195">
        <f t="shared" si="35"/>
        <v>0</v>
      </c>
      <c r="L48" s="195">
        <f t="shared" si="35"/>
        <v>0</v>
      </c>
      <c r="M48" s="195">
        <f t="shared" si="5"/>
        <v>0</v>
      </c>
      <c r="N48" s="195">
        <f t="shared" si="6"/>
        <v>0</v>
      </c>
      <c r="O48" s="195"/>
      <c r="P48" s="195"/>
      <c r="Q48" s="195"/>
      <c r="R48" s="195">
        <f t="shared" si="3"/>
        <v>0</v>
      </c>
      <c r="S48" s="215">
        <f t="shared" si="1"/>
        <v>0</v>
      </c>
      <c r="T48" s="216" t="s">
        <v>1933</v>
      </c>
    </row>
    <row r="49" s="170" customFormat="1" hidden="1" customHeight="1" spans="1:20">
      <c r="A49" s="193">
        <v>2121203</v>
      </c>
      <c r="B49" s="201"/>
      <c r="C49" s="202" t="s">
        <v>1998</v>
      </c>
      <c r="D49" s="207"/>
      <c r="E49" s="195"/>
      <c r="F49" s="195">
        <f t="shared" si="33"/>
        <v>0</v>
      </c>
      <c r="G49" s="195">
        <f t="shared" ref="G49:L49" si="36">N49-D49</f>
        <v>0</v>
      </c>
      <c r="H49" s="195">
        <f t="shared" si="36"/>
        <v>0</v>
      </c>
      <c r="I49" s="195">
        <f t="shared" si="36"/>
        <v>0</v>
      </c>
      <c r="J49" s="195">
        <f t="shared" si="36"/>
        <v>0</v>
      </c>
      <c r="K49" s="195">
        <f t="shared" si="36"/>
        <v>0</v>
      </c>
      <c r="L49" s="195">
        <f t="shared" si="36"/>
        <v>0</v>
      </c>
      <c r="M49" s="195">
        <f t="shared" si="5"/>
        <v>0</v>
      </c>
      <c r="N49" s="195">
        <f t="shared" si="6"/>
        <v>0</v>
      </c>
      <c r="O49" s="195"/>
      <c r="P49" s="195"/>
      <c r="Q49" s="195"/>
      <c r="R49" s="195">
        <f t="shared" si="3"/>
        <v>0</v>
      </c>
      <c r="S49" s="215">
        <f t="shared" si="1"/>
        <v>0</v>
      </c>
      <c r="T49" s="216" t="s">
        <v>1933</v>
      </c>
    </row>
    <row r="50" s="169" customFormat="1" customHeight="1" spans="1:20">
      <c r="A50" s="196" t="s">
        <v>1999</v>
      </c>
      <c r="B50" s="197"/>
      <c r="C50" s="198" t="s">
        <v>2000</v>
      </c>
      <c r="D50" s="204">
        <v>10902.3</v>
      </c>
      <c r="E50" s="199"/>
      <c r="F50" s="199">
        <f t="shared" si="33"/>
        <v>10902.3</v>
      </c>
      <c r="G50" s="199">
        <f t="shared" ref="G50:L50" si="37">N50-D50</f>
        <v>-956.34</v>
      </c>
      <c r="H50" s="200">
        <f t="shared" si="37"/>
        <v>9945.96</v>
      </c>
      <c r="I50" s="200">
        <f t="shared" si="37"/>
        <v>-10902.3</v>
      </c>
      <c r="J50" s="200">
        <f t="shared" si="37"/>
        <v>956.34</v>
      </c>
      <c r="K50" s="200">
        <f t="shared" si="37"/>
        <v>0</v>
      </c>
      <c r="L50" s="200">
        <f t="shared" si="37"/>
        <v>10893.5280894857</v>
      </c>
      <c r="M50" s="199">
        <f t="shared" si="5"/>
        <v>0</v>
      </c>
      <c r="N50" s="199">
        <f t="shared" si="6"/>
        <v>9945.96</v>
      </c>
      <c r="O50" s="200">
        <f>O51+O52+O53</f>
        <v>9945.96</v>
      </c>
      <c r="P50" s="200"/>
      <c r="Q50" s="199"/>
      <c r="R50" s="199">
        <f t="shared" si="3"/>
        <v>9945.96</v>
      </c>
      <c r="S50" s="217">
        <f t="shared" si="1"/>
        <v>-8.77191051429516</v>
      </c>
      <c r="T50" s="219"/>
    </row>
    <row r="51" s="169" customFormat="1" customHeight="1" spans="1:23">
      <c r="A51" s="196" t="s">
        <v>2001</v>
      </c>
      <c r="B51" s="197"/>
      <c r="C51" s="198" t="s">
        <v>1984</v>
      </c>
      <c r="D51" s="204">
        <v>4280.3</v>
      </c>
      <c r="E51" s="205"/>
      <c r="F51" s="199">
        <f t="shared" si="33"/>
        <v>4280.3</v>
      </c>
      <c r="G51" s="199">
        <f t="shared" ref="G51:L51" si="38">N51-D51</f>
        <v>-3568.3</v>
      </c>
      <c r="H51" s="200">
        <f t="shared" si="38"/>
        <v>712</v>
      </c>
      <c r="I51" s="200">
        <f t="shared" si="38"/>
        <v>-4280.3</v>
      </c>
      <c r="J51" s="200">
        <f t="shared" si="38"/>
        <v>3568.3</v>
      </c>
      <c r="K51" s="200">
        <f t="shared" si="38"/>
        <v>0</v>
      </c>
      <c r="L51" s="200">
        <f t="shared" si="38"/>
        <v>4196.93434805972</v>
      </c>
      <c r="M51" s="199">
        <f t="shared" si="5"/>
        <v>0</v>
      </c>
      <c r="N51" s="199">
        <f t="shared" si="6"/>
        <v>712</v>
      </c>
      <c r="O51" s="200">
        <v>712</v>
      </c>
      <c r="P51" s="200"/>
      <c r="Q51" s="199"/>
      <c r="R51" s="199">
        <f t="shared" si="3"/>
        <v>712</v>
      </c>
      <c r="S51" s="217">
        <f t="shared" si="1"/>
        <v>-83.3656519402846</v>
      </c>
      <c r="T51" s="219"/>
      <c r="W51" s="169" t="s">
        <v>2002</v>
      </c>
    </row>
    <row r="52" s="169" customFormat="1" customHeight="1" spans="1:20">
      <c r="A52" s="196" t="s">
        <v>2003</v>
      </c>
      <c r="B52" s="197"/>
      <c r="C52" s="198" t="s">
        <v>2004</v>
      </c>
      <c r="D52" s="204">
        <v>6053</v>
      </c>
      <c r="E52" s="205"/>
      <c r="F52" s="199">
        <f t="shared" si="33"/>
        <v>6053</v>
      </c>
      <c r="G52" s="199">
        <f t="shared" ref="G52:L52" si="39">N52-D52</f>
        <v>2664.96</v>
      </c>
      <c r="H52" s="200">
        <f t="shared" si="39"/>
        <v>8717.96</v>
      </c>
      <c r="I52" s="200">
        <f t="shared" si="39"/>
        <v>-6053</v>
      </c>
      <c r="J52" s="200">
        <f t="shared" si="39"/>
        <v>-2664.96</v>
      </c>
      <c r="K52" s="200">
        <f t="shared" si="39"/>
        <v>0</v>
      </c>
      <c r="L52" s="200">
        <f t="shared" si="39"/>
        <v>6097.02709400297</v>
      </c>
      <c r="M52" s="199">
        <f t="shared" si="5"/>
        <v>0</v>
      </c>
      <c r="N52" s="199">
        <f t="shared" si="6"/>
        <v>8717.96</v>
      </c>
      <c r="O52" s="200">
        <f>2664.96+6053</f>
        <v>8717.96</v>
      </c>
      <c r="P52" s="200"/>
      <c r="Q52" s="199"/>
      <c r="R52" s="199">
        <f t="shared" si="3"/>
        <v>8717.96</v>
      </c>
      <c r="S52" s="217">
        <f t="shared" si="1"/>
        <v>44.0270940029737</v>
      </c>
      <c r="T52" s="219"/>
    </row>
    <row r="53" s="169" customFormat="1" customHeight="1" spans="1:20">
      <c r="A53" s="196">
        <v>2121399</v>
      </c>
      <c r="B53" s="197"/>
      <c r="C53" s="198" t="s">
        <v>2005</v>
      </c>
      <c r="D53" s="204">
        <v>569</v>
      </c>
      <c r="E53" s="205"/>
      <c r="F53" s="199">
        <f t="shared" si="33"/>
        <v>569</v>
      </c>
      <c r="G53" s="199">
        <f t="shared" ref="G53:L53" si="40">N53-D53</f>
        <v>-53</v>
      </c>
      <c r="H53" s="200">
        <f t="shared" si="40"/>
        <v>516</v>
      </c>
      <c r="I53" s="200">
        <f t="shared" si="40"/>
        <v>-569</v>
      </c>
      <c r="J53" s="200">
        <f t="shared" si="40"/>
        <v>53</v>
      </c>
      <c r="K53" s="200">
        <f t="shared" si="40"/>
        <v>0</v>
      </c>
      <c r="L53" s="200">
        <f t="shared" si="40"/>
        <v>559.685413005272</v>
      </c>
      <c r="M53" s="199">
        <f t="shared" si="5"/>
        <v>0</v>
      </c>
      <c r="N53" s="199">
        <f t="shared" si="6"/>
        <v>516</v>
      </c>
      <c r="O53" s="200">
        <v>516</v>
      </c>
      <c r="P53" s="200"/>
      <c r="Q53" s="199"/>
      <c r="R53" s="199">
        <f t="shared" si="3"/>
        <v>516</v>
      </c>
      <c r="S53" s="217">
        <f t="shared" si="1"/>
        <v>-9.31458699472759</v>
      </c>
      <c r="T53" s="219"/>
    </row>
    <row r="54" s="170" customFormat="1" hidden="1" customHeight="1" spans="1:43">
      <c r="A54" s="193" t="s">
        <v>2006</v>
      </c>
      <c r="B54" s="201"/>
      <c r="C54" s="202" t="s">
        <v>2007</v>
      </c>
      <c r="D54" s="195"/>
      <c r="E54" s="195"/>
      <c r="F54" s="195">
        <f t="shared" ref="F54:F76" si="41">D54+E54</f>
        <v>0</v>
      </c>
      <c r="G54" s="195">
        <f t="shared" ref="G54:L54" si="42">N54-D54</f>
        <v>0</v>
      </c>
      <c r="H54" s="195">
        <f t="shared" si="42"/>
        <v>0</v>
      </c>
      <c r="I54" s="195">
        <f t="shared" si="42"/>
        <v>0</v>
      </c>
      <c r="J54" s="195">
        <f t="shared" si="42"/>
        <v>0</v>
      </c>
      <c r="K54" s="195">
        <f t="shared" si="42"/>
        <v>0</v>
      </c>
      <c r="L54" s="195">
        <f t="shared" si="42"/>
        <v>0</v>
      </c>
      <c r="M54" s="195">
        <f t="shared" si="5"/>
        <v>0</v>
      </c>
      <c r="N54" s="195">
        <f t="shared" si="6"/>
        <v>0</v>
      </c>
      <c r="O54" s="195"/>
      <c r="P54" s="195"/>
      <c r="Q54" s="195"/>
      <c r="R54" s="195">
        <f t="shared" si="3"/>
        <v>0</v>
      </c>
      <c r="S54" s="215">
        <f t="shared" si="1"/>
        <v>0</v>
      </c>
      <c r="T54" s="216" t="s">
        <v>1933</v>
      </c>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row>
    <row r="55" s="170" customFormat="1" hidden="1" customHeight="1" spans="1:43">
      <c r="A55" s="193" t="s">
        <v>2008</v>
      </c>
      <c r="B55" s="201"/>
      <c r="C55" s="202" t="s">
        <v>2009</v>
      </c>
      <c r="D55" s="195"/>
      <c r="E55" s="195"/>
      <c r="F55" s="195">
        <f t="shared" si="41"/>
        <v>0</v>
      </c>
      <c r="G55" s="195">
        <f t="shared" ref="G55:L55" si="43">N55-D55</f>
        <v>0</v>
      </c>
      <c r="H55" s="195">
        <f t="shared" si="43"/>
        <v>0</v>
      </c>
      <c r="I55" s="195">
        <f t="shared" si="43"/>
        <v>0</v>
      </c>
      <c r="J55" s="195">
        <f t="shared" si="43"/>
        <v>0</v>
      </c>
      <c r="K55" s="195">
        <f t="shared" si="43"/>
        <v>0</v>
      </c>
      <c r="L55" s="195">
        <f t="shared" si="43"/>
        <v>0</v>
      </c>
      <c r="M55" s="195">
        <f t="shared" si="5"/>
        <v>0</v>
      </c>
      <c r="N55" s="195">
        <f t="shared" si="6"/>
        <v>0</v>
      </c>
      <c r="O55" s="195"/>
      <c r="P55" s="195"/>
      <c r="Q55" s="195"/>
      <c r="R55" s="195">
        <f t="shared" si="3"/>
        <v>0</v>
      </c>
      <c r="S55" s="215">
        <f t="shared" si="1"/>
        <v>0</v>
      </c>
      <c r="T55" s="216" t="s">
        <v>1933</v>
      </c>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row>
    <row r="56" s="170" customFormat="1" hidden="1" customHeight="1" spans="1:43">
      <c r="A56" s="193">
        <v>2136203</v>
      </c>
      <c r="B56" s="201"/>
      <c r="C56" s="202" t="s">
        <v>2010</v>
      </c>
      <c r="D56" s="195"/>
      <c r="E56" s="195"/>
      <c r="F56" s="195">
        <f t="shared" si="41"/>
        <v>0</v>
      </c>
      <c r="G56" s="195">
        <f t="shared" ref="G56:L56" si="44">N56-D56</f>
        <v>0</v>
      </c>
      <c r="H56" s="195">
        <f t="shared" si="44"/>
        <v>0</v>
      </c>
      <c r="I56" s="195">
        <f t="shared" si="44"/>
        <v>0</v>
      </c>
      <c r="J56" s="195">
        <f t="shared" si="44"/>
        <v>0</v>
      </c>
      <c r="K56" s="195">
        <f t="shared" si="44"/>
        <v>0</v>
      </c>
      <c r="L56" s="195">
        <f t="shared" si="44"/>
        <v>0</v>
      </c>
      <c r="M56" s="195">
        <f t="shared" si="5"/>
        <v>0</v>
      </c>
      <c r="N56" s="195">
        <f t="shared" si="6"/>
        <v>0</v>
      </c>
      <c r="O56" s="195"/>
      <c r="P56" s="195"/>
      <c r="Q56" s="195"/>
      <c r="R56" s="195">
        <f t="shared" si="3"/>
        <v>0</v>
      </c>
      <c r="S56" s="215">
        <f t="shared" si="1"/>
        <v>0</v>
      </c>
      <c r="T56" s="216" t="s">
        <v>1933</v>
      </c>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row>
    <row r="57" s="170" customFormat="1" hidden="1" customHeight="1" spans="1:43">
      <c r="A57" s="193">
        <v>2136299</v>
      </c>
      <c r="B57" s="201"/>
      <c r="C57" s="202" t="s">
        <v>2011</v>
      </c>
      <c r="D57" s="195"/>
      <c r="E57" s="195"/>
      <c r="F57" s="195">
        <f t="shared" si="41"/>
        <v>0</v>
      </c>
      <c r="G57" s="195">
        <f t="shared" ref="G57:L57" si="45">N57-D57</f>
        <v>0</v>
      </c>
      <c r="H57" s="195">
        <f t="shared" si="45"/>
        <v>0</v>
      </c>
      <c r="I57" s="195">
        <f t="shared" si="45"/>
        <v>0</v>
      </c>
      <c r="J57" s="195">
        <f t="shared" si="45"/>
        <v>0</v>
      </c>
      <c r="K57" s="195">
        <f t="shared" si="45"/>
        <v>0</v>
      </c>
      <c r="L57" s="195">
        <f t="shared" si="45"/>
        <v>0</v>
      </c>
      <c r="M57" s="195">
        <f t="shared" si="5"/>
        <v>0</v>
      </c>
      <c r="N57" s="195">
        <f t="shared" si="6"/>
        <v>0</v>
      </c>
      <c r="O57" s="195"/>
      <c r="P57" s="195"/>
      <c r="Q57" s="195"/>
      <c r="R57" s="195">
        <f t="shared" si="3"/>
        <v>0</v>
      </c>
      <c r="S57" s="215">
        <f t="shared" si="1"/>
        <v>0</v>
      </c>
      <c r="T57" s="216" t="s">
        <v>1933</v>
      </c>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row>
    <row r="58" s="170" customFormat="1" hidden="1" customHeight="1" spans="1:43">
      <c r="A58" s="193" t="s">
        <v>2012</v>
      </c>
      <c r="B58" s="201"/>
      <c r="C58" s="202" t="s">
        <v>2013</v>
      </c>
      <c r="D58" s="195"/>
      <c r="E58" s="195"/>
      <c r="F58" s="195">
        <f t="shared" si="41"/>
        <v>0</v>
      </c>
      <c r="G58" s="195">
        <f t="shared" ref="G58:L58" si="46">N58-D58</f>
        <v>0</v>
      </c>
      <c r="H58" s="195">
        <f t="shared" si="46"/>
        <v>0</v>
      </c>
      <c r="I58" s="195">
        <f t="shared" si="46"/>
        <v>0</v>
      </c>
      <c r="J58" s="195">
        <f t="shared" si="46"/>
        <v>0</v>
      </c>
      <c r="K58" s="195">
        <f t="shared" si="46"/>
        <v>0</v>
      </c>
      <c r="L58" s="195">
        <f t="shared" si="46"/>
        <v>0</v>
      </c>
      <c r="M58" s="195">
        <f t="shared" si="5"/>
        <v>0</v>
      </c>
      <c r="N58" s="195">
        <f t="shared" si="6"/>
        <v>0</v>
      </c>
      <c r="O58" s="195"/>
      <c r="P58" s="195"/>
      <c r="Q58" s="195"/>
      <c r="R58" s="195">
        <f t="shared" si="3"/>
        <v>0</v>
      </c>
      <c r="S58" s="215">
        <f t="shared" si="1"/>
        <v>0</v>
      </c>
      <c r="T58" s="216" t="s">
        <v>1933</v>
      </c>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row>
    <row r="59" s="170" customFormat="1" hidden="1" customHeight="1" spans="1:43">
      <c r="A59" s="193">
        <v>2136499</v>
      </c>
      <c r="B59" s="201"/>
      <c r="C59" s="202" t="s">
        <v>2014</v>
      </c>
      <c r="D59" s="195"/>
      <c r="E59" s="195"/>
      <c r="F59" s="195">
        <f t="shared" si="41"/>
        <v>0</v>
      </c>
      <c r="G59" s="195">
        <f t="shared" ref="G59:L59" si="47">N59-D59</f>
        <v>0</v>
      </c>
      <c r="H59" s="195">
        <f t="shared" si="47"/>
        <v>0</v>
      </c>
      <c r="I59" s="195">
        <f t="shared" si="47"/>
        <v>0</v>
      </c>
      <c r="J59" s="195">
        <f t="shared" si="47"/>
        <v>0</v>
      </c>
      <c r="K59" s="195">
        <f t="shared" si="47"/>
        <v>0</v>
      </c>
      <c r="L59" s="195">
        <f t="shared" si="47"/>
        <v>0</v>
      </c>
      <c r="M59" s="195">
        <f t="shared" si="5"/>
        <v>0</v>
      </c>
      <c r="N59" s="195">
        <f t="shared" si="6"/>
        <v>0</v>
      </c>
      <c r="O59" s="195"/>
      <c r="P59" s="195"/>
      <c r="Q59" s="195"/>
      <c r="R59" s="195">
        <f t="shared" si="3"/>
        <v>0</v>
      </c>
      <c r="S59" s="215">
        <f t="shared" si="1"/>
        <v>0</v>
      </c>
      <c r="T59" s="216" t="s">
        <v>1933</v>
      </c>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row>
    <row r="60" s="170" customFormat="1" hidden="1" customHeight="1" spans="1:43">
      <c r="A60" s="193" t="s">
        <v>2015</v>
      </c>
      <c r="B60" s="201"/>
      <c r="C60" s="202" t="s">
        <v>2016</v>
      </c>
      <c r="D60" s="195"/>
      <c r="E60" s="195"/>
      <c r="F60" s="195">
        <f t="shared" si="41"/>
        <v>0</v>
      </c>
      <c r="G60" s="195">
        <f t="shared" ref="G60:L60" si="48">N60-D60</f>
        <v>0</v>
      </c>
      <c r="H60" s="195">
        <f t="shared" si="48"/>
        <v>0</v>
      </c>
      <c r="I60" s="195">
        <f t="shared" si="48"/>
        <v>0</v>
      </c>
      <c r="J60" s="195">
        <f t="shared" si="48"/>
        <v>0</v>
      </c>
      <c r="K60" s="195">
        <f t="shared" si="48"/>
        <v>0</v>
      </c>
      <c r="L60" s="195">
        <f t="shared" si="48"/>
        <v>0</v>
      </c>
      <c r="M60" s="195">
        <f t="shared" si="5"/>
        <v>0</v>
      </c>
      <c r="N60" s="195">
        <f t="shared" si="6"/>
        <v>0</v>
      </c>
      <c r="O60" s="195"/>
      <c r="P60" s="195"/>
      <c r="Q60" s="195"/>
      <c r="R60" s="195">
        <f t="shared" si="3"/>
        <v>0</v>
      </c>
      <c r="S60" s="215">
        <f t="shared" si="1"/>
        <v>0</v>
      </c>
      <c r="T60" s="216" t="s">
        <v>1933</v>
      </c>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row>
    <row r="61" s="170" customFormat="1" hidden="1" customHeight="1" spans="1:43">
      <c r="A61" s="193" t="s">
        <v>2017</v>
      </c>
      <c r="B61" s="201"/>
      <c r="C61" s="202" t="s">
        <v>2018</v>
      </c>
      <c r="D61" s="195"/>
      <c r="E61" s="195"/>
      <c r="F61" s="195">
        <f t="shared" si="41"/>
        <v>0</v>
      </c>
      <c r="G61" s="195">
        <f t="shared" ref="G61:L61" si="49">N61-D61</f>
        <v>0</v>
      </c>
      <c r="H61" s="195">
        <f t="shared" si="49"/>
        <v>0</v>
      </c>
      <c r="I61" s="195">
        <f t="shared" si="49"/>
        <v>0</v>
      </c>
      <c r="J61" s="195">
        <f t="shared" si="49"/>
        <v>0</v>
      </c>
      <c r="K61" s="195">
        <f t="shared" si="49"/>
        <v>0</v>
      </c>
      <c r="L61" s="195">
        <f t="shared" si="49"/>
        <v>0</v>
      </c>
      <c r="M61" s="195">
        <f t="shared" si="5"/>
        <v>0</v>
      </c>
      <c r="N61" s="195">
        <f t="shared" si="6"/>
        <v>0</v>
      </c>
      <c r="O61" s="195"/>
      <c r="P61" s="195"/>
      <c r="Q61" s="195"/>
      <c r="R61" s="195">
        <f t="shared" si="3"/>
        <v>0</v>
      </c>
      <c r="S61" s="215">
        <f t="shared" si="1"/>
        <v>0</v>
      </c>
      <c r="T61" s="216" t="s">
        <v>1933</v>
      </c>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row>
    <row r="62" s="170" customFormat="1" hidden="1" customHeight="1" spans="1:43">
      <c r="A62" s="193" t="s">
        <v>2019</v>
      </c>
      <c r="B62" s="201"/>
      <c r="C62" s="202"/>
      <c r="D62" s="195"/>
      <c r="E62" s="195"/>
      <c r="F62" s="195">
        <f t="shared" si="41"/>
        <v>0</v>
      </c>
      <c r="G62" s="195">
        <f t="shared" ref="G62:L62" si="50">N62-D62</f>
        <v>0</v>
      </c>
      <c r="H62" s="195">
        <f t="shared" si="50"/>
        <v>0</v>
      </c>
      <c r="I62" s="195">
        <f t="shared" si="50"/>
        <v>0</v>
      </c>
      <c r="J62" s="195">
        <f t="shared" si="50"/>
        <v>0</v>
      </c>
      <c r="K62" s="195">
        <f t="shared" si="50"/>
        <v>0</v>
      </c>
      <c r="L62" s="195">
        <f t="shared" si="50"/>
        <v>0</v>
      </c>
      <c r="M62" s="195">
        <f t="shared" si="5"/>
        <v>0</v>
      </c>
      <c r="N62" s="195">
        <f t="shared" si="6"/>
        <v>0</v>
      </c>
      <c r="O62" s="195"/>
      <c r="P62" s="195"/>
      <c r="Q62" s="195"/>
      <c r="R62" s="195">
        <f t="shared" si="3"/>
        <v>0</v>
      </c>
      <c r="S62" s="215">
        <f t="shared" si="1"/>
        <v>0</v>
      </c>
      <c r="T62" s="216" t="s">
        <v>1933</v>
      </c>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row>
    <row r="63" s="170" customFormat="1" hidden="1" customHeight="1" spans="1:43">
      <c r="A63" s="193" t="s">
        <v>2020</v>
      </c>
      <c r="B63" s="201"/>
      <c r="C63" s="202"/>
      <c r="D63" s="195"/>
      <c r="E63" s="195"/>
      <c r="F63" s="195">
        <f t="shared" si="41"/>
        <v>0</v>
      </c>
      <c r="G63" s="195">
        <f t="shared" ref="G63:L63" si="51">N63-D63</f>
        <v>0</v>
      </c>
      <c r="H63" s="195">
        <f t="shared" si="51"/>
        <v>0</v>
      </c>
      <c r="I63" s="195">
        <f t="shared" si="51"/>
        <v>0</v>
      </c>
      <c r="J63" s="195">
        <f t="shared" si="51"/>
        <v>0</v>
      </c>
      <c r="K63" s="195">
        <f t="shared" si="51"/>
        <v>0</v>
      </c>
      <c r="L63" s="195">
        <f t="shared" si="51"/>
        <v>0</v>
      </c>
      <c r="M63" s="195">
        <f t="shared" si="5"/>
        <v>0</v>
      </c>
      <c r="N63" s="195">
        <f t="shared" si="6"/>
        <v>0</v>
      </c>
      <c r="O63" s="195"/>
      <c r="P63" s="195"/>
      <c r="Q63" s="195"/>
      <c r="R63" s="195">
        <f t="shared" si="3"/>
        <v>0</v>
      </c>
      <c r="S63" s="215">
        <f t="shared" si="1"/>
        <v>0</v>
      </c>
      <c r="T63" s="216" t="s">
        <v>1933</v>
      </c>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row>
    <row r="64" s="170" customFormat="1" hidden="1" customHeight="1" spans="1:43">
      <c r="A64" s="193" t="s">
        <v>2021</v>
      </c>
      <c r="B64" s="201"/>
      <c r="C64" s="202" t="s">
        <v>2022</v>
      </c>
      <c r="D64" s="195"/>
      <c r="E64" s="195"/>
      <c r="F64" s="195">
        <f t="shared" si="41"/>
        <v>0</v>
      </c>
      <c r="G64" s="195">
        <f t="shared" ref="G64:L64" si="52">N64-D64</f>
        <v>0</v>
      </c>
      <c r="H64" s="195">
        <f t="shared" si="52"/>
        <v>0</v>
      </c>
      <c r="I64" s="195">
        <f t="shared" si="52"/>
        <v>0</v>
      </c>
      <c r="J64" s="195">
        <f t="shared" si="52"/>
        <v>0</v>
      </c>
      <c r="K64" s="195">
        <f t="shared" si="52"/>
        <v>0</v>
      </c>
      <c r="L64" s="195">
        <f t="shared" si="52"/>
        <v>0</v>
      </c>
      <c r="M64" s="195">
        <f t="shared" si="5"/>
        <v>0</v>
      </c>
      <c r="N64" s="195">
        <f t="shared" si="6"/>
        <v>0</v>
      </c>
      <c r="O64" s="195"/>
      <c r="P64" s="195"/>
      <c r="Q64" s="195"/>
      <c r="R64" s="195">
        <f t="shared" si="3"/>
        <v>0</v>
      </c>
      <c r="S64" s="215">
        <f t="shared" si="1"/>
        <v>0</v>
      </c>
      <c r="T64" s="216" t="s">
        <v>1933</v>
      </c>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row>
    <row r="65" s="170" customFormat="1" hidden="1" customHeight="1" spans="1:43">
      <c r="A65" s="193" t="s">
        <v>2023</v>
      </c>
      <c r="B65" s="201"/>
      <c r="C65" s="202" t="s">
        <v>2024</v>
      </c>
      <c r="D65" s="195"/>
      <c r="E65" s="195"/>
      <c r="F65" s="195">
        <f t="shared" si="41"/>
        <v>0</v>
      </c>
      <c r="G65" s="195">
        <f t="shared" ref="G65:L65" si="53">N65-D65</f>
        <v>0</v>
      </c>
      <c r="H65" s="195">
        <f t="shared" si="53"/>
        <v>0</v>
      </c>
      <c r="I65" s="195">
        <f t="shared" si="53"/>
        <v>0</v>
      </c>
      <c r="J65" s="195">
        <f t="shared" si="53"/>
        <v>0</v>
      </c>
      <c r="K65" s="195">
        <f t="shared" si="53"/>
        <v>0</v>
      </c>
      <c r="L65" s="195">
        <f t="shared" si="53"/>
        <v>0</v>
      </c>
      <c r="M65" s="195">
        <f t="shared" si="5"/>
        <v>0</v>
      </c>
      <c r="N65" s="195">
        <f t="shared" si="6"/>
        <v>0</v>
      </c>
      <c r="O65" s="195"/>
      <c r="P65" s="195"/>
      <c r="Q65" s="195"/>
      <c r="R65" s="195">
        <f t="shared" si="3"/>
        <v>0</v>
      </c>
      <c r="S65" s="215">
        <f t="shared" si="1"/>
        <v>0</v>
      </c>
      <c r="T65" s="216" t="s">
        <v>1933</v>
      </c>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row>
    <row r="66" s="170" customFormat="1" hidden="1" customHeight="1" spans="1:43">
      <c r="A66" s="193">
        <v>2140190</v>
      </c>
      <c r="B66" s="201"/>
      <c r="C66" s="202" t="s">
        <v>2025</v>
      </c>
      <c r="D66" s="195"/>
      <c r="E66" s="195"/>
      <c r="F66" s="195">
        <f t="shared" si="41"/>
        <v>0</v>
      </c>
      <c r="G66" s="195">
        <f t="shared" ref="G66:L66" si="54">N66-D66</f>
        <v>0</v>
      </c>
      <c r="H66" s="195">
        <f t="shared" si="54"/>
        <v>0</v>
      </c>
      <c r="I66" s="195">
        <f t="shared" si="54"/>
        <v>0</v>
      </c>
      <c r="J66" s="195">
        <f t="shared" si="54"/>
        <v>0</v>
      </c>
      <c r="K66" s="195">
        <f t="shared" si="54"/>
        <v>0</v>
      </c>
      <c r="L66" s="195">
        <f t="shared" si="54"/>
        <v>0</v>
      </c>
      <c r="M66" s="195">
        <f t="shared" si="5"/>
        <v>0</v>
      </c>
      <c r="N66" s="195">
        <f t="shared" si="6"/>
        <v>0</v>
      </c>
      <c r="O66" s="195"/>
      <c r="P66" s="195"/>
      <c r="Q66" s="195"/>
      <c r="R66" s="195">
        <f t="shared" si="3"/>
        <v>0</v>
      </c>
      <c r="S66" s="215">
        <f t="shared" si="1"/>
        <v>0</v>
      </c>
      <c r="T66" s="216" t="s">
        <v>1933</v>
      </c>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row>
    <row r="67" s="170" customFormat="1" hidden="1" customHeight="1" spans="1:43">
      <c r="A67" s="193" t="s">
        <v>2026</v>
      </c>
      <c r="B67" s="201"/>
      <c r="C67" s="202" t="s">
        <v>2027</v>
      </c>
      <c r="D67" s="195"/>
      <c r="E67" s="195"/>
      <c r="F67" s="195">
        <f t="shared" si="41"/>
        <v>0</v>
      </c>
      <c r="G67" s="195">
        <f t="shared" ref="G67:L67" si="55">N67-D67</f>
        <v>0</v>
      </c>
      <c r="H67" s="195">
        <f t="shared" si="55"/>
        <v>0</v>
      </c>
      <c r="I67" s="195">
        <f t="shared" si="55"/>
        <v>0</v>
      </c>
      <c r="J67" s="195">
        <f t="shared" si="55"/>
        <v>0</v>
      </c>
      <c r="K67" s="195">
        <f t="shared" si="55"/>
        <v>0</v>
      </c>
      <c r="L67" s="195">
        <f t="shared" si="55"/>
        <v>0</v>
      </c>
      <c r="M67" s="195">
        <f t="shared" si="5"/>
        <v>0</v>
      </c>
      <c r="N67" s="195">
        <f t="shared" si="6"/>
        <v>0</v>
      </c>
      <c r="O67" s="195"/>
      <c r="P67" s="195"/>
      <c r="Q67" s="195"/>
      <c r="R67" s="195">
        <f t="shared" si="3"/>
        <v>0</v>
      </c>
      <c r="S67" s="215">
        <f t="shared" si="1"/>
        <v>0</v>
      </c>
      <c r="T67" s="216" t="s">
        <v>1933</v>
      </c>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row>
    <row r="68" s="170" customFormat="1" hidden="1" customHeight="1" spans="1:43">
      <c r="A68" s="193" t="s">
        <v>2028</v>
      </c>
      <c r="B68" s="201"/>
      <c r="C68" s="202" t="s">
        <v>2029</v>
      </c>
      <c r="D68" s="195"/>
      <c r="E68" s="195"/>
      <c r="F68" s="195">
        <f t="shared" si="41"/>
        <v>0</v>
      </c>
      <c r="G68" s="195">
        <f t="shared" ref="G68:L68" si="56">N68-D68</f>
        <v>0</v>
      </c>
      <c r="H68" s="195">
        <f t="shared" si="56"/>
        <v>0</v>
      </c>
      <c r="I68" s="195">
        <f t="shared" si="56"/>
        <v>0</v>
      </c>
      <c r="J68" s="195">
        <f t="shared" si="56"/>
        <v>0</v>
      </c>
      <c r="K68" s="195">
        <f t="shared" si="56"/>
        <v>0</v>
      </c>
      <c r="L68" s="195">
        <f t="shared" si="56"/>
        <v>0</v>
      </c>
      <c r="M68" s="195">
        <f t="shared" si="5"/>
        <v>0</v>
      </c>
      <c r="N68" s="195">
        <f t="shared" si="6"/>
        <v>0</v>
      </c>
      <c r="O68" s="195"/>
      <c r="P68" s="195"/>
      <c r="Q68" s="195"/>
      <c r="R68" s="195">
        <f t="shared" si="3"/>
        <v>0</v>
      </c>
      <c r="S68" s="215">
        <f t="shared" si="1"/>
        <v>0</v>
      </c>
      <c r="T68" s="216" t="s">
        <v>1933</v>
      </c>
      <c r="U68" s="221"/>
      <c r="V68" s="221"/>
      <c r="W68" s="221"/>
      <c r="X68" s="221"/>
      <c r="Y68" s="221"/>
      <c r="Z68" s="221"/>
      <c r="AA68" s="221"/>
      <c r="AB68" s="221"/>
      <c r="AC68" s="221"/>
      <c r="AD68" s="221"/>
      <c r="AE68" s="221"/>
      <c r="AF68" s="221"/>
      <c r="AG68" s="221"/>
      <c r="AH68" s="221"/>
      <c r="AI68" s="221"/>
      <c r="AJ68" s="221"/>
      <c r="AK68" s="221"/>
      <c r="AL68" s="221"/>
      <c r="AM68" s="221"/>
      <c r="AN68" s="221"/>
      <c r="AO68" s="221"/>
      <c r="AP68" s="221"/>
      <c r="AQ68" s="221"/>
    </row>
    <row r="69" s="170" customFormat="1" hidden="1" customHeight="1" spans="1:43">
      <c r="A69" s="202" t="s">
        <v>2030</v>
      </c>
      <c r="B69" s="202"/>
      <c r="C69" s="202" t="s">
        <v>2031</v>
      </c>
      <c r="D69" s="195"/>
      <c r="E69" s="195"/>
      <c r="F69" s="195">
        <f t="shared" si="41"/>
        <v>0</v>
      </c>
      <c r="G69" s="195">
        <f t="shared" ref="G69:L69" si="57">N69-D69</f>
        <v>0</v>
      </c>
      <c r="H69" s="195">
        <f t="shared" si="57"/>
        <v>0</v>
      </c>
      <c r="I69" s="195">
        <f t="shared" si="57"/>
        <v>0</v>
      </c>
      <c r="J69" s="195">
        <f t="shared" si="57"/>
        <v>0</v>
      </c>
      <c r="K69" s="195">
        <f t="shared" si="57"/>
        <v>0</v>
      </c>
      <c r="L69" s="195">
        <f t="shared" si="57"/>
        <v>0</v>
      </c>
      <c r="M69" s="195">
        <f t="shared" si="5"/>
        <v>0</v>
      </c>
      <c r="N69" s="195">
        <f t="shared" si="6"/>
        <v>0</v>
      </c>
      <c r="O69" s="195"/>
      <c r="P69" s="195"/>
      <c r="Q69" s="195"/>
      <c r="R69" s="195">
        <f t="shared" si="3"/>
        <v>0</v>
      </c>
      <c r="S69" s="215">
        <f t="shared" si="1"/>
        <v>0</v>
      </c>
      <c r="T69" s="216" t="s">
        <v>1933</v>
      </c>
      <c r="U69" s="221"/>
      <c r="V69" s="221"/>
      <c r="W69" s="221"/>
      <c r="X69" s="221"/>
      <c r="Y69" s="221"/>
      <c r="Z69" s="221"/>
      <c r="AA69" s="221"/>
      <c r="AB69" s="221"/>
      <c r="AC69" s="221"/>
      <c r="AD69" s="221"/>
      <c r="AE69" s="221"/>
      <c r="AF69" s="221"/>
      <c r="AG69" s="221"/>
      <c r="AH69" s="221"/>
      <c r="AI69" s="221"/>
      <c r="AJ69" s="221"/>
      <c r="AK69" s="221"/>
      <c r="AL69" s="221"/>
      <c r="AM69" s="221"/>
      <c r="AN69" s="221"/>
      <c r="AO69" s="221"/>
      <c r="AP69" s="221"/>
      <c r="AQ69" s="221"/>
    </row>
    <row r="70" s="170" customFormat="1" hidden="1" customHeight="1" spans="1:43">
      <c r="A70" s="202" t="s">
        <v>2032</v>
      </c>
      <c r="B70" s="202"/>
      <c r="C70" s="202" t="s">
        <v>2033</v>
      </c>
      <c r="D70" s="195"/>
      <c r="E70" s="195"/>
      <c r="F70" s="195">
        <f t="shared" si="41"/>
        <v>0</v>
      </c>
      <c r="G70" s="195">
        <f t="shared" ref="G70:L70" si="58">N70-D70</f>
        <v>0</v>
      </c>
      <c r="H70" s="195">
        <f t="shared" si="58"/>
        <v>0</v>
      </c>
      <c r="I70" s="195">
        <f t="shared" si="58"/>
        <v>0</v>
      </c>
      <c r="J70" s="195">
        <f t="shared" si="58"/>
        <v>0</v>
      </c>
      <c r="K70" s="195">
        <f t="shared" si="58"/>
        <v>0</v>
      </c>
      <c r="L70" s="195">
        <f t="shared" si="58"/>
        <v>0</v>
      </c>
      <c r="M70" s="195">
        <f t="shared" si="5"/>
        <v>0</v>
      </c>
      <c r="N70" s="195">
        <f t="shared" si="6"/>
        <v>0</v>
      </c>
      <c r="O70" s="195"/>
      <c r="P70" s="195"/>
      <c r="Q70" s="195"/>
      <c r="R70" s="195">
        <f t="shared" si="3"/>
        <v>0</v>
      </c>
      <c r="S70" s="215">
        <f t="shared" ref="S70:S112" si="59">IF(F70=0,IF(R70=0,0,100),100*(R70/F70-1))</f>
        <v>0</v>
      </c>
      <c r="T70" s="216" t="s">
        <v>1933</v>
      </c>
      <c r="U70" s="221"/>
      <c r="V70" s="221"/>
      <c r="W70" s="221"/>
      <c r="X70" s="221"/>
      <c r="Y70" s="221"/>
      <c r="Z70" s="221"/>
      <c r="AA70" s="221"/>
      <c r="AB70" s="221"/>
      <c r="AC70" s="221"/>
      <c r="AD70" s="221"/>
      <c r="AE70" s="221"/>
      <c r="AF70" s="221"/>
      <c r="AG70" s="221"/>
      <c r="AH70" s="221"/>
      <c r="AI70" s="221"/>
      <c r="AJ70" s="221"/>
      <c r="AK70" s="221"/>
      <c r="AL70" s="221"/>
      <c r="AM70" s="221"/>
      <c r="AN70" s="221"/>
      <c r="AO70" s="221"/>
      <c r="AP70" s="221"/>
      <c r="AQ70" s="221"/>
    </row>
    <row r="71" s="170" customFormat="1" hidden="1" customHeight="1" spans="1:43">
      <c r="A71" s="202" t="s">
        <v>2034</v>
      </c>
      <c r="B71" s="202"/>
      <c r="C71" s="202" t="s">
        <v>2035</v>
      </c>
      <c r="D71" s="195"/>
      <c r="E71" s="195"/>
      <c r="F71" s="195">
        <f t="shared" si="41"/>
        <v>0</v>
      </c>
      <c r="G71" s="195">
        <f t="shared" ref="G71:L71" si="60">N71-D71</f>
        <v>0</v>
      </c>
      <c r="H71" s="195">
        <f t="shared" si="60"/>
        <v>0</v>
      </c>
      <c r="I71" s="195">
        <f t="shared" si="60"/>
        <v>0</v>
      </c>
      <c r="J71" s="195">
        <f t="shared" si="60"/>
        <v>0</v>
      </c>
      <c r="K71" s="195">
        <f t="shared" si="60"/>
        <v>0</v>
      </c>
      <c r="L71" s="195">
        <f t="shared" si="60"/>
        <v>0</v>
      </c>
      <c r="M71" s="195">
        <f t="shared" si="5"/>
        <v>0</v>
      </c>
      <c r="N71" s="195">
        <f t="shared" si="6"/>
        <v>0</v>
      </c>
      <c r="O71" s="195"/>
      <c r="P71" s="195"/>
      <c r="Q71" s="195"/>
      <c r="R71" s="195">
        <f t="shared" si="3"/>
        <v>0</v>
      </c>
      <c r="S71" s="215">
        <f t="shared" si="59"/>
        <v>0</v>
      </c>
      <c r="T71" s="216" t="s">
        <v>1933</v>
      </c>
      <c r="U71" s="221"/>
      <c r="V71" s="221"/>
      <c r="W71" s="221"/>
      <c r="X71" s="221"/>
      <c r="Y71" s="221"/>
      <c r="Z71" s="221"/>
      <c r="AA71" s="221"/>
      <c r="AB71" s="221"/>
      <c r="AC71" s="221"/>
      <c r="AD71" s="221"/>
      <c r="AE71" s="221"/>
      <c r="AF71" s="221"/>
      <c r="AG71" s="221"/>
      <c r="AH71" s="221"/>
      <c r="AI71" s="221"/>
      <c r="AJ71" s="221"/>
      <c r="AK71" s="221"/>
      <c r="AL71" s="221"/>
      <c r="AM71" s="221"/>
      <c r="AN71" s="221"/>
      <c r="AO71" s="221"/>
      <c r="AP71" s="221"/>
      <c r="AQ71" s="221"/>
    </row>
    <row r="72" s="170" customFormat="1" hidden="1" customHeight="1" spans="1:43">
      <c r="A72" s="202" t="s">
        <v>2036</v>
      </c>
      <c r="B72" s="202"/>
      <c r="C72" s="202" t="s">
        <v>2037</v>
      </c>
      <c r="D72" s="195"/>
      <c r="E72" s="195"/>
      <c r="F72" s="195">
        <f t="shared" si="41"/>
        <v>0</v>
      </c>
      <c r="G72" s="195">
        <f t="shared" ref="G72:L72" si="61">N72-D72</f>
        <v>0</v>
      </c>
      <c r="H72" s="195">
        <f t="shared" si="61"/>
        <v>0</v>
      </c>
      <c r="I72" s="195">
        <f t="shared" si="61"/>
        <v>0</v>
      </c>
      <c r="J72" s="195">
        <f t="shared" si="61"/>
        <v>0</v>
      </c>
      <c r="K72" s="195">
        <f t="shared" si="61"/>
        <v>0</v>
      </c>
      <c r="L72" s="195">
        <f t="shared" si="61"/>
        <v>0</v>
      </c>
      <c r="M72" s="195">
        <f t="shared" si="5"/>
        <v>0</v>
      </c>
      <c r="N72" s="195">
        <f t="shared" si="6"/>
        <v>0</v>
      </c>
      <c r="O72" s="195"/>
      <c r="P72" s="195"/>
      <c r="Q72" s="195"/>
      <c r="R72" s="195">
        <f t="shared" si="3"/>
        <v>0</v>
      </c>
      <c r="S72" s="215">
        <f t="shared" si="59"/>
        <v>0</v>
      </c>
      <c r="T72" s="216" t="s">
        <v>1933</v>
      </c>
      <c r="U72" s="221"/>
      <c r="V72" s="221"/>
      <c r="W72" s="221"/>
      <c r="X72" s="221"/>
      <c r="Y72" s="221"/>
      <c r="Z72" s="221"/>
      <c r="AA72" s="221"/>
      <c r="AB72" s="221"/>
      <c r="AC72" s="221"/>
      <c r="AD72" s="221"/>
      <c r="AE72" s="221"/>
      <c r="AF72" s="221"/>
      <c r="AG72" s="221"/>
      <c r="AH72" s="221"/>
      <c r="AI72" s="221"/>
      <c r="AJ72" s="221"/>
      <c r="AK72" s="221"/>
      <c r="AL72" s="221"/>
      <c r="AM72" s="221"/>
      <c r="AN72" s="221"/>
      <c r="AO72" s="221"/>
      <c r="AP72" s="221"/>
      <c r="AQ72" s="221"/>
    </row>
    <row r="73" s="170" customFormat="1" hidden="1" customHeight="1" spans="1:43">
      <c r="A73" s="202" t="s">
        <v>2038</v>
      </c>
      <c r="B73" s="202"/>
      <c r="C73" s="202" t="s">
        <v>2039</v>
      </c>
      <c r="D73" s="195"/>
      <c r="E73" s="195"/>
      <c r="F73" s="195">
        <f t="shared" si="41"/>
        <v>0</v>
      </c>
      <c r="G73" s="195">
        <f t="shared" ref="G73:L73" si="62">N73-D73</f>
        <v>0</v>
      </c>
      <c r="H73" s="195">
        <f t="shared" si="62"/>
        <v>0</v>
      </c>
      <c r="I73" s="195">
        <f t="shared" si="62"/>
        <v>0</v>
      </c>
      <c r="J73" s="195">
        <f t="shared" si="62"/>
        <v>0</v>
      </c>
      <c r="K73" s="195">
        <f t="shared" si="62"/>
        <v>0</v>
      </c>
      <c r="L73" s="195">
        <f t="shared" si="62"/>
        <v>0</v>
      </c>
      <c r="M73" s="195">
        <f t="shared" si="5"/>
        <v>0</v>
      </c>
      <c r="N73" s="195">
        <f t="shared" si="6"/>
        <v>0</v>
      </c>
      <c r="O73" s="195"/>
      <c r="P73" s="195"/>
      <c r="Q73" s="195"/>
      <c r="R73" s="195">
        <f t="shared" si="3"/>
        <v>0</v>
      </c>
      <c r="S73" s="215">
        <f t="shared" si="59"/>
        <v>0</v>
      </c>
      <c r="T73" s="216" t="s">
        <v>1933</v>
      </c>
      <c r="U73" s="221"/>
      <c r="V73" s="221"/>
      <c r="W73" s="221"/>
      <c r="X73" s="221"/>
      <c r="Y73" s="221"/>
      <c r="Z73" s="221"/>
      <c r="AA73" s="221"/>
      <c r="AB73" s="221"/>
      <c r="AC73" s="221"/>
      <c r="AD73" s="221"/>
      <c r="AE73" s="221"/>
      <c r="AF73" s="221"/>
      <c r="AG73" s="221"/>
      <c r="AH73" s="221"/>
      <c r="AI73" s="221"/>
      <c r="AJ73" s="221"/>
      <c r="AK73" s="221"/>
      <c r="AL73" s="221"/>
      <c r="AM73" s="221"/>
      <c r="AN73" s="221"/>
      <c r="AO73" s="221"/>
      <c r="AP73" s="221"/>
      <c r="AQ73" s="221"/>
    </row>
    <row r="74" s="171" customFormat="1" hidden="1" customHeight="1" spans="1:43">
      <c r="A74" s="202" t="s">
        <v>2040</v>
      </c>
      <c r="B74" s="202"/>
      <c r="C74" s="202" t="s">
        <v>478</v>
      </c>
      <c r="D74" s="195"/>
      <c r="E74" s="195"/>
      <c r="F74" s="195">
        <f t="shared" si="41"/>
        <v>0</v>
      </c>
      <c r="G74" s="195">
        <f t="shared" ref="G74:L74" si="63">N74-D74</f>
        <v>0</v>
      </c>
      <c r="H74" s="195">
        <f t="shared" si="63"/>
        <v>0</v>
      </c>
      <c r="I74" s="195">
        <f t="shared" si="63"/>
        <v>0</v>
      </c>
      <c r="J74" s="195">
        <f t="shared" si="63"/>
        <v>0</v>
      </c>
      <c r="K74" s="195">
        <f t="shared" si="63"/>
        <v>0</v>
      </c>
      <c r="L74" s="195">
        <f t="shared" si="63"/>
        <v>0</v>
      </c>
      <c r="M74" s="195">
        <f t="shared" si="5"/>
        <v>0</v>
      </c>
      <c r="N74" s="195">
        <f t="shared" si="6"/>
        <v>0</v>
      </c>
      <c r="O74" s="195"/>
      <c r="P74" s="195"/>
      <c r="Q74" s="195"/>
      <c r="R74" s="195">
        <f t="shared" ref="R74:R98" si="64">N74+Q74</f>
        <v>0</v>
      </c>
      <c r="S74" s="215">
        <f t="shared" si="59"/>
        <v>0</v>
      </c>
      <c r="T74" s="216" t="s">
        <v>1933</v>
      </c>
      <c r="U74" s="221"/>
      <c r="V74" s="221"/>
      <c r="W74" s="221"/>
      <c r="X74" s="221"/>
      <c r="Y74" s="221"/>
      <c r="Z74" s="221"/>
      <c r="AA74" s="221"/>
      <c r="AB74" s="221"/>
      <c r="AC74" s="221"/>
      <c r="AD74" s="221"/>
      <c r="AE74" s="221"/>
      <c r="AF74" s="221"/>
      <c r="AG74" s="221"/>
      <c r="AH74" s="221"/>
      <c r="AI74" s="221"/>
      <c r="AJ74" s="221"/>
      <c r="AK74" s="221"/>
      <c r="AL74" s="221"/>
      <c r="AM74" s="221"/>
      <c r="AN74" s="221"/>
      <c r="AO74" s="221"/>
      <c r="AP74" s="221"/>
      <c r="AQ74" s="221"/>
    </row>
    <row r="75" s="171" customFormat="1" hidden="1" customHeight="1" spans="1:43">
      <c r="A75" s="202" t="s">
        <v>2041</v>
      </c>
      <c r="B75" s="202"/>
      <c r="C75" s="202" t="s">
        <v>2042</v>
      </c>
      <c r="D75" s="195"/>
      <c r="E75" s="195"/>
      <c r="F75" s="195">
        <f t="shared" si="41"/>
        <v>0</v>
      </c>
      <c r="G75" s="195">
        <f t="shared" ref="G75:L75" si="65">N75-D75</f>
        <v>0</v>
      </c>
      <c r="H75" s="195">
        <f t="shared" si="65"/>
        <v>0</v>
      </c>
      <c r="I75" s="195">
        <f t="shared" si="65"/>
        <v>0</v>
      </c>
      <c r="J75" s="195">
        <f t="shared" si="65"/>
        <v>0</v>
      </c>
      <c r="K75" s="195">
        <f t="shared" si="65"/>
        <v>0</v>
      </c>
      <c r="L75" s="195">
        <f t="shared" si="65"/>
        <v>0</v>
      </c>
      <c r="M75" s="195">
        <f t="shared" si="5"/>
        <v>0</v>
      </c>
      <c r="N75" s="195">
        <f t="shared" si="6"/>
        <v>0</v>
      </c>
      <c r="O75" s="195"/>
      <c r="P75" s="195"/>
      <c r="Q75" s="195"/>
      <c r="R75" s="195">
        <f t="shared" si="64"/>
        <v>0</v>
      </c>
      <c r="S75" s="215">
        <f t="shared" si="59"/>
        <v>0</v>
      </c>
      <c r="T75" s="216" t="s">
        <v>1933</v>
      </c>
      <c r="U75" s="221"/>
      <c r="V75" s="221"/>
      <c r="W75" s="221"/>
      <c r="X75" s="221"/>
      <c r="Y75" s="221"/>
      <c r="Z75" s="221"/>
      <c r="AA75" s="221"/>
      <c r="AB75" s="221"/>
      <c r="AC75" s="221"/>
      <c r="AD75" s="221"/>
      <c r="AE75" s="221"/>
      <c r="AF75" s="221"/>
      <c r="AG75" s="221"/>
      <c r="AH75" s="221"/>
      <c r="AI75" s="221"/>
      <c r="AJ75" s="221"/>
      <c r="AK75" s="221"/>
      <c r="AL75" s="221"/>
      <c r="AM75" s="221"/>
      <c r="AN75" s="221"/>
      <c r="AO75" s="221"/>
      <c r="AP75" s="221"/>
      <c r="AQ75" s="221"/>
    </row>
    <row r="76" s="171" customFormat="1" hidden="1" customHeight="1" spans="1:43">
      <c r="A76" s="202" t="s">
        <v>2043</v>
      </c>
      <c r="B76" s="202"/>
      <c r="C76" s="202" t="s">
        <v>2044</v>
      </c>
      <c r="D76" s="195"/>
      <c r="E76" s="195"/>
      <c r="F76" s="195">
        <f t="shared" si="41"/>
        <v>0</v>
      </c>
      <c r="G76" s="195">
        <f t="shared" ref="G76:L76" si="66">N76-D76</f>
        <v>0</v>
      </c>
      <c r="H76" s="195">
        <f t="shared" si="66"/>
        <v>0</v>
      </c>
      <c r="I76" s="195">
        <f t="shared" si="66"/>
        <v>0</v>
      </c>
      <c r="J76" s="195">
        <f t="shared" si="66"/>
        <v>0</v>
      </c>
      <c r="K76" s="195">
        <f t="shared" si="66"/>
        <v>0</v>
      </c>
      <c r="L76" s="195">
        <f t="shared" si="66"/>
        <v>0</v>
      </c>
      <c r="M76" s="195">
        <f t="shared" si="5"/>
        <v>0</v>
      </c>
      <c r="N76" s="195">
        <f t="shared" si="6"/>
        <v>0</v>
      </c>
      <c r="O76" s="195"/>
      <c r="P76" s="195"/>
      <c r="Q76" s="195"/>
      <c r="R76" s="195">
        <f t="shared" si="64"/>
        <v>0</v>
      </c>
      <c r="S76" s="215">
        <f t="shared" si="59"/>
        <v>0</v>
      </c>
      <c r="T76" s="216" t="s">
        <v>1933</v>
      </c>
      <c r="U76" s="221"/>
      <c r="V76" s="221"/>
      <c r="W76" s="221"/>
      <c r="X76" s="221"/>
      <c r="Y76" s="221"/>
      <c r="Z76" s="221"/>
      <c r="AA76" s="221"/>
      <c r="AB76" s="221"/>
      <c r="AC76" s="221"/>
      <c r="AD76" s="221"/>
      <c r="AE76" s="221"/>
      <c r="AF76" s="221"/>
      <c r="AG76" s="221"/>
      <c r="AH76" s="221"/>
      <c r="AI76" s="221"/>
      <c r="AJ76" s="221"/>
      <c r="AK76" s="221"/>
      <c r="AL76" s="221"/>
      <c r="AM76" s="221"/>
      <c r="AN76" s="221"/>
      <c r="AO76" s="221"/>
      <c r="AP76" s="221"/>
      <c r="AQ76" s="221"/>
    </row>
    <row r="77" s="167" customFormat="1" customHeight="1" spans="1:43">
      <c r="A77" s="196" t="s">
        <v>2045</v>
      </c>
      <c r="B77" s="223"/>
      <c r="C77" s="196" t="s">
        <v>537</v>
      </c>
      <c r="D77" s="204">
        <f>D78+D81+D83</f>
        <v>309343.9241</v>
      </c>
      <c r="E77" s="199">
        <v>104</v>
      </c>
      <c r="F77" s="199">
        <f t="shared" ref="F77:F96" si="67">D77+E77</f>
        <v>309447.9241</v>
      </c>
      <c r="G77" s="199">
        <f t="shared" ref="G77:L77" si="68">N77-D77</f>
        <v>0.315899999986868</v>
      </c>
      <c r="H77" s="200">
        <f t="shared" si="68"/>
        <v>294961.24</v>
      </c>
      <c r="I77" s="200">
        <f t="shared" si="68"/>
        <v>-295168.9241</v>
      </c>
      <c r="J77" s="200">
        <f t="shared" si="68"/>
        <v>667.174100000013</v>
      </c>
      <c r="K77" s="200">
        <f t="shared" si="68"/>
        <v>15050.49</v>
      </c>
      <c r="L77" s="200">
        <f t="shared" si="68"/>
        <v>295169.106297344</v>
      </c>
      <c r="M77" s="199">
        <f>Q77-E77+1</f>
        <v>564.49</v>
      </c>
      <c r="N77" s="199">
        <f t="shared" si="6"/>
        <v>309344.24</v>
      </c>
      <c r="O77" s="232">
        <f>O78+O81+O83</f>
        <v>295065.24</v>
      </c>
      <c r="P77" s="232">
        <f>P78+P83+P81</f>
        <v>14279</v>
      </c>
      <c r="Q77" s="199">
        <f>+Q78+Q83+Q81</f>
        <v>667.49</v>
      </c>
      <c r="R77" s="199">
        <f t="shared" si="64"/>
        <v>310011.73</v>
      </c>
      <c r="S77" s="217">
        <f t="shared" si="59"/>
        <v>0.182197344396395</v>
      </c>
      <c r="T77" s="218"/>
      <c r="U77" s="169"/>
      <c r="V77" s="169"/>
      <c r="W77" s="169"/>
      <c r="X77" s="169"/>
      <c r="Y77" s="169"/>
      <c r="Z77" s="169"/>
      <c r="AA77" s="169"/>
      <c r="AB77" s="169"/>
      <c r="AC77" s="169"/>
      <c r="AD77" s="169"/>
      <c r="AE77" s="169"/>
      <c r="AF77" s="169"/>
      <c r="AG77" s="169"/>
      <c r="AH77" s="169"/>
      <c r="AI77" s="169"/>
      <c r="AJ77" s="169"/>
      <c r="AK77" s="169"/>
      <c r="AL77" s="169"/>
      <c r="AM77" s="169"/>
      <c r="AN77" s="169"/>
      <c r="AO77" s="169"/>
      <c r="AP77" s="169"/>
      <c r="AQ77" s="169"/>
    </row>
    <row r="78" s="167" customFormat="1" customHeight="1" spans="1:43">
      <c r="A78" s="196" t="s">
        <v>2046</v>
      </c>
      <c r="B78" s="223"/>
      <c r="C78" s="196" t="s">
        <v>2047</v>
      </c>
      <c r="D78" s="199">
        <f>D80</f>
        <v>309155.82</v>
      </c>
      <c r="E78" s="199"/>
      <c r="F78" s="199">
        <f t="shared" si="67"/>
        <v>309155.82</v>
      </c>
      <c r="G78" s="199">
        <f t="shared" ref="G78:L78" si="69">N78-D78</f>
        <v>0.179999999993015</v>
      </c>
      <c r="H78" s="200">
        <f t="shared" si="69"/>
        <v>295000</v>
      </c>
      <c r="I78" s="200">
        <f t="shared" si="69"/>
        <v>-294999.82</v>
      </c>
      <c r="J78" s="200">
        <f t="shared" si="69"/>
        <v>499.820000000007</v>
      </c>
      <c r="K78" s="200">
        <f t="shared" si="69"/>
        <v>14656</v>
      </c>
      <c r="L78" s="200">
        <f t="shared" si="69"/>
        <v>294999.981788965</v>
      </c>
      <c r="M78" s="199">
        <f t="shared" si="5"/>
        <v>500</v>
      </c>
      <c r="N78" s="199">
        <f t="shared" si="6"/>
        <v>309156</v>
      </c>
      <c r="O78" s="200">
        <v>295000</v>
      </c>
      <c r="P78" s="200">
        <f>+P80</f>
        <v>14156</v>
      </c>
      <c r="Q78" s="199">
        <f>+Q80+Q79</f>
        <v>500</v>
      </c>
      <c r="R78" s="199">
        <f t="shared" si="64"/>
        <v>309656</v>
      </c>
      <c r="S78" s="217">
        <f t="shared" si="59"/>
        <v>0.16178896454222</v>
      </c>
      <c r="T78" s="218"/>
      <c r="U78" s="169"/>
      <c r="V78" s="169"/>
      <c r="W78" s="169"/>
      <c r="X78" s="169"/>
      <c r="Y78" s="169"/>
      <c r="Z78" s="169"/>
      <c r="AA78" s="169"/>
      <c r="AB78" s="169"/>
      <c r="AC78" s="169"/>
      <c r="AD78" s="169"/>
      <c r="AE78" s="169"/>
      <c r="AF78" s="169"/>
      <c r="AG78" s="169"/>
      <c r="AH78" s="169"/>
      <c r="AI78" s="169"/>
      <c r="AJ78" s="169"/>
      <c r="AK78" s="169"/>
      <c r="AL78" s="169"/>
      <c r="AM78" s="169"/>
      <c r="AN78" s="169"/>
      <c r="AO78" s="169"/>
      <c r="AP78" s="169"/>
      <c r="AQ78" s="169"/>
    </row>
    <row r="79" s="167" customFormat="1" customHeight="1" spans="1:43">
      <c r="A79" s="196" t="s">
        <v>2048</v>
      </c>
      <c r="B79" s="223"/>
      <c r="C79" s="196" t="s">
        <v>2049</v>
      </c>
      <c r="D79" s="199"/>
      <c r="E79" s="199"/>
      <c r="F79" s="199">
        <f t="shared" si="67"/>
        <v>0</v>
      </c>
      <c r="G79" s="199"/>
      <c r="H79" s="200"/>
      <c r="I79" s="200"/>
      <c r="J79" s="200"/>
      <c r="K79" s="200"/>
      <c r="L79" s="200"/>
      <c r="M79" s="199"/>
      <c r="N79" s="199"/>
      <c r="O79" s="200"/>
      <c r="P79" s="200"/>
      <c r="Q79" s="199">
        <v>500</v>
      </c>
      <c r="R79" s="199">
        <f t="shared" si="64"/>
        <v>500</v>
      </c>
      <c r="S79" s="217">
        <f t="shared" si="59"/>
        <v>100</v>
      </c>
      <c r="T79" s="218"/>
      <c r="U79" s="169"/>
      <c r="V79" s="169"/>
      <c r="W79" s="169"/>
      <c r="X79" s="169"/>
      <c r="Y79" s="169"/>
      <c r="Z79" s="169"/>
      <c r="AA79" s="169"/>
      <c r="AB79" s="169"/>
      <c r="AC79" s="169"/>
      <c r="AD79" s="169"/>
      <c r="AE79" s="169"/>
      <c r="AF79" s="169"/>
      <c r="AG79" s="169"/>
      <c r="AH79" s="169"/>
      <c r="AI79" s="169"/>
      <c r="AJ79" s="169"/>
      <c r="AK79" s="169"/>
      <c r="AL79" s="169"/>
      <c r="AM79" s="169"/>
      <c r="AN79" s="169"/>
      <c r="AO79" s="169"/>
      <c r="AP79" s="169"/>
      <c r="AQ79" s="169"/>
    </row>
    <row r="80" s="167" customFormat="1" customHeight="1" spans="1:43">
      <c r="A80" s="196" t="s">
        <v>2050</v>
      </c>
      <c r="B80" s="223"/>
      <c r="C80" s="196" t="s">
        <v>2051</v>
      </c>
      <c r="D80" s="199">
        <f>99155.82+210000</f>
        <v>309155.82</v>
      </c>
      <c r="E80" s="199"/>
      <c r="F80" s="199">
        <f t="shared" si="67"/>
        <v>309155.82</v>
      </c>
      <c r="G80" s="199">
        <f t="shared" ref="G80:L80" si="70">N80-D80</f>
        <v>0.179999999993015</v>
      </c>
      <c r="H80" s="200">
        <f t="shared" si="70"/>
        <v>295000</v>
      </c>
      <c r="I80" s="200">
        <f t="shared" si="70"/>
        <v>-294999.82</v>
      </c>
      <c r="J80" s="200">
        <f t="shared" si="70"/>
        <v>-0.179999999993015</v>
      </c>
      <c r="K80" s="200">
        <f t="shared" si="70"/>
        <v>14156</v>
      </c>
      <c r="L80" s="200">
        <f t="shared" si="70"/>
        <v>294999.820058223</v>
      </c>
      <c r="M80" s="199">
        <f t="shared" ref="M80:M111" si="71">Q80-E80</f>
        <v>0</v>
      </c>
      <c r="N80" s="199">
        <f t="shared" ref="N80:N111" si="72">O80+P80</f>
        <v>309156</v>
      </c>
      <c r="O80" s="200">
        <v>295000</v>
      </c>
      <c r="P80" s="200">
        <v>14156</v>
      </c>
      <c r="Q80" s="199"/>
      <c r="R80" s="199">
        <f t="shared" si="64"/>
        <v>309156</v>
      </c>
      <c r="S80" s="217">
        <f t="shared" si="59"/>
        <v>5.82230669232686e-5</v>
      </c>
      <c r="T80" s="218"/>
      <c r="U80" s="169"/>
      <c r="V80" s="169"/>
      <c r="W80" s="169"/>
      <c r="X80" s="169"/>
      <c r="Y80" s="169"/>
      <c r="Z80" s="169"/>
      <c r="AA80" s="169"/>
      <c r="AB80" s="169"/>
      <c r="AC80" s="169"/>
      <c r="AD80" s="169"/>
      <c r="AE80" s="169"/>
      <c r="AF80" s="169"/>
      <c r="AG80" s="169"/>
      <c r="AH80" s="169"/>
      <c r="AI80" s="169"/>
      <c r="AJ80" s="169"/>
      <c r="AK80" s="169"/>
      <c r="AL80" s="169"/>
      <c r="AM80" s="169"/>
      <c r="AN80" s="169"/>
      <c r="AO80" s="169"/>
      <c r="AP80" s="169"/>
      <c r="AQ80" s="169"/>
    </row>
    <row r="81" s="167" customFormat="1" customHeight="1" spans="1:43">
      <c r="A81" s="196" t="s">
        <v>2052</v>
      </c>
      <c r="B81" s="223"/>
      <c r="C81" s="196" t="s">
        <v>2053</v>
      </c>
      <c r="D81" s="199">
        <v>2.9781</v>
      </c>
      <c r="E81" s="199">
        <v>9</v>
      </c>
      <c r="F81" s="199">
        <f t="shared" si="67"/>
        <v>11.9781</v>
      </c>
      <c r="G81" s="199">
        <f t="shared" ref="G81:L81" si="73">N81-D81</f>
        <v>0.0219</v>
      </c>
      <c r="H81" s="200">
        <f t="shared" si="73"/>
        <v>-9</v>
      </c>
      <c r="I81" s="200">
        <f t="shared" si="73"/>
        <v>-8.9781</v>
      </c>
      <c r="J81" s="200">
        <f t="shared" si="73"/>
        <v>8.7581</v>
      </c>
      <c r="K81" s="200">
        <f t="shared" si="73"/>
        <v>20.78</v>
      </c>
      <c r="L81" s="200">
        <f t="shared" si="73"/>
        <v>7.32424838747381</v>
      </c>
      <c r="M81" s="199">
        <f t="shared" si="71"/>
        <v>-0.220000000000001</v>
      </c>
      <c r="N81" s="199">
        <f t="shared" si="72"/>
        <v>3</v>
      </c>
      <c r="O81" s="200"/>
      <c r="P81" s="200">
        <v>3</v>
      </c>
      <c r="Q81" s="199">
        <f>+Q82</f>
        <v>8.78</v>
      </c>
      <c r="R81" s="199">
        <f t="shared" si="64"/>
        <v>11.78</v>
      </c>
      <c r="S81" s="217">
        <f t="shared" si="59"/>
        <v>-1.65385161252619</v>
      </c>
      <c r="T81" s="218"/>
      <c r="U81" s="169"/>
      <c r="V81" s="169"/>
      <c r="W81" s="169"/>
      <c r="X81" s="169"/>
      <c r="Y81" s="169"/>
      <c r="Z81" s="169"/>
      <c r="AA81" s="169"/>
      <c r="AB81" s="169"/>
      <c r="AC81" s="169"/>
      <c r="AD81" s="169"/>
      <c r="AE81" s="169"/>
      <c r="AF81" s="169"/>
      <c r="AG81" s="169"/>
      <c r="AH81" s="169"/>
      <c r="AI81" s="169"/>
      <c r="AJ81" s="169"/>
      <c r="AK81" s="169"/>
      <c r="AL81" s="169"/>
      <c r="AM81" s="169"/>
      <c r="AN81" s="169"/>
      <c r="AO81" s="169"/>
      <c r="AP81" s="169"/>
      <c r="AQ81" s="169"/>
    </row>
    <row r="82" s="167" customFormat="1" customHeight="1" spans="1:43">
      <c r="A82" s="196" t="s">
        <v>2054</v>
      </c>
      <c r="B82" s="223"/>
      <c r="C82" s="196" t="s">
        <v>2055</v>
      </c>
      <c r="D82" s="199">
        <v>2.9781</v>
      </c>
      <c r="E82" s="199">
        <v>9</v>
      </c>
      <c r="F82" s="199">
        <f t="shared" si="67"/>
        <v>11.9781</v>
      </c>
      <c r="G82" s="199">
        <f t="shared" ref="G82:L82" si="74">N82-D82</f>
        <v>0.0219</v>
      </c>
      <c r="H82" s="200">
        <f t="shared" si="74"/>
        <v>-9</v>
      </c>
      <c r="I82" s="200">
        <f t="shared" si="74"/>
        <v>-8.9781</v>
      </c>
      <c r="J82" s="200">
        <f t="shared" si="74"/>
        <v>8.7581</v>
      </c>
      <c r="K82" s="200">
        <f t="shared" si="74"/>
        <v>20.78</v>
      </c>
      <c r="L82" s="200">
        <f t="shared" si="74"/>
        <v>7.32424838747381</v>
      </c>
      <c r="M82" s="199">
        <f t="shared" si="71"/>
        <v>-0.220000000000001</v>
      </c>
      <c r="N82" s="199">
        <f t="shared" si="72"/>
        <v>3</v>
      </c>
      <c r="O82" s="200"/>
      <c r="P82" s="200">
        <v>3</v>
      </c>
      <c r="Q82" s="199">
        <v>8.78</v>
      </c>
      <c r="R82" s="199">
        <f t="shared" si="64"/>
        <v>11.78</v>
      </c>
      <c r="S82" s="217">
        <f t="shared" si="59"/>
        <v>-1.65385161252619</v>
      </c>
      <c r="T82" s="218"/>
      <c r="U82" s="169"/>
      <c r="V82" s="169"/>
      <c r="W82" s="169"/>
      <c r="X82" s="169"/>
      <c r="Y82" s="169"/>
      <c r="Z82" s="169"/>
      <c r="AA82" s="169"/>
      <c r="AB82" s="169"/>
      <c r="AC82" s="169"/>
      <c r="AD82" s="169"/>
      <c r="AE82" s="169"/>
      <c r="AF82" s="169"/>
      <c r="AG82" s="169"/>
      <c r="AH82" s="169"/>
      <c r="AI82" s="169"/>
      <c r="AJ82" s="169"/>
      <c r="AK82" s="169"/>
      <c r="AL82" s="169"/>
      <c r="AM82" s="169"/>
      <c r="AN82" s="169"/>
      <c r="AO82" s="169"/>
      <c r="AP82" s="169"/>
      <c r="AQ82" s="169"/>
    </row>
    <row r="83" s="167" customFormat="1" customHeight="1" spans="1:43">
      <c r="A83" s="196" t="s">
        <v>2056</v>
      </c>
      <c r="B83" s="188"/>
      <c r="C83" s="224" t="s">
        <v>2057</v>
      </c>
      <c r="D83" s="204">
        <v>185.126</v>
      </c>
      <c r="E83" s="199">
        <v>95</v>
      </c>
      <c r="F83" s="199">
        <f t="shared" si="67"/>
        <v>280.126</v>
      </c>
      <c r="G83" s="199">
        <f t="shared" ref="G83:L83" si="75">N83-D83</f>
        <v>0.114000000000004</v>
      </c>
      <c r="H83" s="200">
        <f t="shared" si="75"/>
        <v>-29.76</v>
      </c>
      <c r="I83" s="200">
        <f t="shared" si="75"/>
        <v>-160.126</v>
      </c>
      <c r="J83" s="200">
        <f t="shared" si="75"/>
        <v>158.596</v>
      </c>
      <c r="K83" s="200">
        <f t="shared" si="75"/>
        <v>373.71</v>
      </c>
      <c r="L83" s="200">
        <f t="shared" si="75"/>
        <v>182.910032899481</v>
      </c>
      <c r="M83" s="199">
        <f t="shared" si="71"/>
        <v>63.71</v>
      </c>
      <c r="N83" s="199">
        <f t="shared" si="72"/>
        <v>185.24</v>
      </c>
      <c r="O83" s="200">
        <f>O85+O88+O92+O93</f>
        <v>65.24</v>
      </c>
      <c r="P83" s="200">
        <f>P85+P88+P92+P93</f>
        <v>120</v>
      </c>
      <c r="Q83" s="199">
        <f>+Q84+Q85+Q86+Q87+Q88+Q89+Q90+Q91+Q92+Q93</f>
        <v>158.71</v>
      </c>
      <c r="R83" s="199">
        <f t="shared" si="64"/>
        <v>343.95</v>
      </c>
      <c r="S83" s="217">
        <f t="shared" si="59"/>
        <v>22.784032899481</v>
      </c>
      <c r="T83" s="219"/>
      <c r="U83" s="169"/>
      <c r="V83" s="169"/>
      <c r="W83" s="169"/>
      <c r="X83" s="169"/>
      <c r="Y83" s="169"/>
      <c r="Z83" s="169"/>
      <c r="AA83" s="169"/>
      <c r="AB83" s="169"/>
      <c r="AC83" s="169"/>
      <c r="AD83" s="169"/>
      <c r="AE83" s="169"/>
      <c r="AF83" s="169"/>
      <c r="AG83" s="169"/>
      <c r="AH83" s="169"/>
      <c r="AI83" s="169"/>
      <c r="AJ83" s="169"/>
      <c r="AK83" s="169"/>
      <c r="AL83" s="169"/>
      <c r="AM83" s="169"/>
      <c r="AN83" s="169"/>
      <c r="AO83" s="169"/>
      <c r="AP83" s="169"/>
      <c r="AQ83" s="169"/>
    </row>
    <row r="84" s="168" customFormat="1" hidden="1" customHeight="1" spans="1:43">
      <c r="A84" s="193" t="s">
        <v>2058</v>
      </c>
      <c r="B84" s="194"/>
      <c r="C84" s="225" t="s">
        <v>2059</v>
      </c>
      <c r="D84" s="207"/>
      <c r="E84" s="207"/>
      <c r="F84" s="195">
        <f t="shared" si="67"/>
        <v>0</v>
      </c>
      <c r="G84" s="195">
        <f t="shared" ref="G84:L84" si="76">N84-D84</f>
        <v>0</v>
      </c>
      <c r="H84" s="195">
        <f t="shared" si="76"/>
        <v>0</v>
      </c>
      <c r="I84" s="195">
        <f t="shared" si="76"/>
        <v>0</v>
      </c>
      <c r="J84" s="195">
        <f t="shared" si="76"/>
        <v>0</v>
      </c>
      <c r="K84" s="195">
        <f t="shared" si="76"/>
        <v>0</v>
      </c>
      <c r="L84" s="195">
        <f t="shared" si="76"/>
        <v>0</v>
      </c>
      <c r="M84" s="195">
        <f t="shared" si="71"/>
        <v>0</v>
      </c>
      <c r="N84" s="195">
        <f t="shared" si="72"/>
        <v>0</v>
      </c>
      <c r="O84" s="195"/>
      <c r="P84" s="195"/>
      <c r="Q84" s="195"/>
      <c r="R84" s="195">
        <f t="shared" si="64"/>
        <v>0</v>
      </c>
      <c r="S84" s="215">
        <f t="shared" si="59"/>
        <v>0</v>
      </c>
      <c r="T84" s="216" t="s">
        <v>1933</v>
      </c>
      <c r="U84" s="221"/>
      <c r="V84" s="221"/>
      <c r="W84" s="221"/>
      <c r="X84" s="221"/>
      <c r="Y84" s="221"/>
      <c r="Z84" s="221"/>
      <c r="AA84" s="221"/>
      <c r="AB84" s="221"/>
      <c r="AC84" s="221"/>
      <c r="AD84" s="221"/>
      <c r="AE84" s="221"/>
      <c r="AF84" s="221"/>
      <c r="AG84" s="221"/>
      <c r="AH84" s="221"/>
      <c r="AI84" s="221"/>
      <c r="AJ84" s="221"/>
      <c r="AK84" s="221"/>
      <c r="AL84" s="221"/>
      <c r="AM84" s="221"/>
      <c r="AN84" s="221"/>
      <c r="AO84" s="221"/>
      <c r="AP84" s="221"/>
      <c r="AQ84" s="221"/>
    </row>
    <row r="85" s="167" customFormat="1" customHeight="1" spans="1:43">
      <c r="A85" s="196" t="s">
        <v>2060</v>
      </c>
      <c r="B85" s="188"/>
      <c r="C85" s="224" t="s">
        <v>2061</v>
      </c>
      <c r="D85" s="205">
        <v>71</v>
      </c>
      <c r="E85" s="205"/>
      <c r="F85" s="199">
        <f t="shared" si="67"/>
        <v>71</v>
      </c>
      <c r="G85" s="199">
        <f t="shared" ref="G85:L85" si="77">N85-D85</f>
        <v>0</v>
      </c>
      <c r="H85" s="200">
        <f t="shared" si="77"/>
        <v>0</v>
      </c>
      <c r="I85" s="200">
        <f t="shared" si="77"/>
        <v>0</v>
      </c>
      <c r="J85" s="200">
        <f t="shared" si="77"/>
        <v>68.68</v>
      </c>
      <c r="K85" s="200">
        <f t="shared" si="77"/>
        <v>139.68</v>
      </c>
      <c r="L85" s="200">
        <f t="shared" si="77"/>
        <v>96.7323943661972</v>
      </c>
      <c r="M85" s="199">
        <f t="shared" si="71"/>
        <v>68.68</v>
      </c>
      <c r="N85" s="199">
        <f t="shared" si="72"/>
        <v>71</v>
      </c>
      <c r="O85" s="200"/>
      <c r="P85" s="200">
        <v>71</v>
      </c>
      <c r="Q85" s="199">
        <v>68.68</v>
      </c>
      <c r="R85" s="199">
        <f t="shared" si="64"/>
        <v>139.68</v>
      </c>
      <c r="S85" s="217">
        <f t="shared" si="59"/>
        <v>96.7323943661972</v>
      </c>
      <c r="T85" s="219"/>
      <c r="U85" s="169"/>
      <c r="V85" s="169"/>
      <c r="W85" s="169"/>
      <c r="X85" s="169"/>
      <c r="Y85" s="169"/>
      <c r="Z85" s="169"/>
      <c r="AA85" s="169"/>
      <c r="AB85" s="169"/>
      <c r="AC85" s="169"/>
      <c r="AD85" s="169"/>
      <c r="AE85" s="169"/>
      <c r="AF85" s="169"/>
      <c r="AG85" s="169"/>
      <c r="AH85" s="169"/>
      <c r="AI85" s="169"/>
      <c r="AJ85" s="169"/>
      <c r="AK85" s="169"/>
      <c r="AL85" s="169"/>
      <c r="AM85" s="169"/>
      <c r="AN85" s="169"/>
      <c r="AO85" s="169"/>
      <c r="AP85" s="169"/>
      <c r="AQ85" s="169"/>
    </row>
    <row r="86" s="167" customFormat="1" customHeight="1" spans="1:43">
      <c r="A86" s="196" t="s">
        <v>2062</v>
      </c>
      <c r="B86" s="188"/>
      <c r="C86" s="224" t="s">
        <v>2063</v>
      </c>
      <c r="D86" s="205"/>
      <c r="E86" s="205"/>
      <c r="F86" s="199">
        <f t="shared" si="67"/>
        <v>0</v>
      </c>
      <c r="G86" s="199">
        <f t="shared" ref="G86:L86" si="78">N86-D86</f>
        <v>0</v>
      </c>
      <c r="H86" s="200">
        <f t="shared" si="78"/>
        <v>0</v>
      </c>
      <c r="I86" s="200">
        <f t="shared" si="78"/>
        <v>0</v>
      </c>
      <c r="J86" s="200">
        <f t="shared" si="78"/>
        <v>1</v>
      </c>
      <c r="K86" s="200">
        <f t="shared" si="78"/>
        <v>1</v>
      </c>
      <c r="L86" s="200">
        <f t="shared" si="78"/>
        <v>100</v>
      </c>
      <c r="M86" s="199">
        <f t="shared" si="71"/>
        <v>1</v>
      </c>
      <c r="N86" s="199">
        <f t="shared" si="72"/>
        <v>0</v>
      </c>
      <c r="O86" s="200"/>
      <c r="P86" s="200"/>
      <c r="Q86" s="199">
        <v>1</v>
      </c>
      <c r="R86" s="199">
        <f t="shared" si="64"/>
        <v>1</v>
      </c>
      <c r="S86" s="217">
        <f t="shared" si="59"/>
        <v>100</v>
      </c>
      <c r="T86" s="219"/>
      <c r="U86" s="169"/>
      <c r="V86" s="169"/>
      <c r="W86" s="169"/>
      <c r="X86" s="169"/>
      <c r="Y86" s="169"/>
      <c r="Z86" s="169"/>
      <c r="AA86" s="169"/>
      <c r="AB86" s="169"/>
      <c r="AC86" s="169"/>
      <c r="AD86" s="169"/>
      <c r="AE86" s="169"/>
      <c r="AF86" s="169"/>
      <c r="AG86" s="169"/>
      <c r="AH86" s="169"/>
      <c r="AI86" s="169"/>
      <c r="AJ86" s="169"/>
      <c r="AK86" s="169"/>
      <c r="AL86" s="169"/>
      <c r="AM86" s="169"/>
      <c r="AN86" s="169"/>
      <c r="AO86" s="169"/>
      <c r="AP86" s="169"/>
      <c r="AQ86" s="169"/>
    </row>
    <row r="87" s="168" customFormat="1" hidden="1" customHeight="1" spans="1:43">
      <c r="A87" s="193" t="s">
        <v>2064</v>
      </c>
      <c r="B87" s="194"/>
      <c r="C87" s="225" t="s">
        <v>2065</v>
      </c>
      <c r="D87" s="207"/>
      <c r="E87" s="207"/>
      <c r="F87" s="195">
        <f t="shared" si="67"/>
        <v>0</v>
      </c>
      <c r="G87" s="195">
        <f t="shared" ref="G87:L87" si="79">N87-D87</f>
        <v>0</v>
      </c>
      <c r="H87" s="195">
        <f t="shared" si="79"/>
        <v>0</v>
      </c>
      <c r="I87" s="195">
        <f t="shared" si="79"/>
        <v>0</v>
      </c>
      <c r="J87" s="195">
        <f t="shared" si="79"/>
        <v>0</v>
      </c>
      <c r="K87" s="195">
        <f t="shared" si="79"/>
        <v>0</v>
      </c>
      <c r="L87" s="195">
        <f t="shared" si="79"/>
        <v>0</v>
      </c>
      <c r="M87" s="195">
        <f t="shared" si="71"/>
        <v>0</v>
      </c>
      <c r="N87" s="195">
        <f t="shared" si="72"/>
        <v>0</v>
      </c>
      <c r="O87" s="195"/>
      <c r="P87" s="195"/>
      <c r="Q87" s="195"/>
      <c r="R87" s="195">
        <f t="shared" si="64"/>
        <v>0</v>
      </c>
      <c r="S87" s="215">
        <f t="shared" si="59"/>
        <v>0</v>
      </c>
      <c r="T87" s="216" t="s">
        <v>1933</v>
      </c>
      <c r="U87" s="221"/>
      <c r="V87" s="221"/>
      <c r="W87" s="221"/>
      <c r="X87" s="221"/>
      <c r="Y87" s="221"/>
      <c r="Z87" s="221"/>
      <c r="AA87" s="221"/>
      <c r="AB87" s="221"/>
      <c r="AC87" s="221"/>
      <c r="AD87" s="221"/>
      <c r="AE87" s="221"/>
      <c r="AF87" s="221"/>
      <c r="AG87" s="221"/>
      <c r="AH87" s="221"/>
      <c r="AI87" s="221"/>
      <c r="AJ87" s="221"/>
      <c r="AK87" s="221"/>
      <c r="AL87" s="221"/>
      <c r="AM87" s="221"/>
      <c r="AN87" s="221"/>
      <c r="AO87" s="221"/>
      <c r="AP87" s="221"/>
      <c r="AQ87" s="221"/>
    </row>
    <row r="88" s="167" customFormat="1" customHeight="1" spans="1:43">
      <c r="A88" s="196" t="s">
        <v>2066</v>
      </c>
      <c r="B88" s="188"/>
      <c r="C88" s="224" t="s">
        <v>2067</v>
      </c>
      <c r="D88" s="205">
        <v>69.126</v>
      </c>
      <c r="E88" s="205">
        <v>95</v>
      </c>
      <c r="F88" s="199">
        <f t="shared" si="67"/>
        <v>164.126</v>
      </c>
      <c r="G88" s="199">
        <f t="shared" ref="G88:L88" si="80">N88-D88</f>
        <v>0.11399999999999</v>
      </c>
      <c r="H88" s="200">
        <f t="shared" si="80"/>
        <v>-74.76</v>
      </c>
      <c r="I88" s="200">
        <f t="shared" si="80"/>
        <v>-115.126</v>
      </c>
      <c r="J88" s="200">
        <f t="shared" si="80"/>
        <v>88.916</v>
      </c>
      <c r="K88" s="200">
        <f t="shared" si="80"/>
        <v>233.03</v>
      </c>
      <c r="L88" s="200">
        <f t="shared" si="80"/>
        <v>111.558009553636</v>
      </c>
      <c r="M88" s="199">
        <f t="shared" si="71"/>
        <v>-5.97</v>
      </c>
      <c r="N88" s="199">
        <f t="shared" si="72"/>
        <v>69.24</v>
      </c>
      <c r="O88" s="200">
        <v>20.24</v>
      </c>
      <c r="P88" s="200">
        <v>49</v>
      </c>
      <c r="Q88" s="199">
        <v>89.03</v>
      </c>
      <c r="R88" s="199">
        <f t="shared" si="64"/>
        <v>158.27</v>
      </c>
      <c r="S88" s="217">
        <f t="shared" si="59"/>
        <v>-3.56799044636439</v>
      </c>
      <c r="T88" s="219"/>
      <c r="U88" s="169"/>
      <c r="V88" s="169"/>
      <c r="W88" s="169"/>
      <c r="X88" s="169"/>
      <c r="Y88" s="169"/>
      <c r="Z88" s="169"/>
      <c r="AA88" s="169"/>
      <c r="AB88" s="169"/>
      <c r="AC88" s="169"/>
      <c r="AD88" s="169"/>
      <c r="AE88" s="169"/>
      <c r="AF88" s="169"/>
      <c r="AG88" s="169"/>
      <c r="AH88" s="169"/>
      <c r="AI88" s="169"/>
      <c r="AJ88" s="169"/>
      <c r="AK88" s="169"/>
      <c r="AL88" s="169"/>
      <c r="AM88" s="169"/>
      <c r="AN88" s="169"/>
      <c r="AO88" s="169"/>
      <c r="AP88" s="169"/>
      <c r="AQ88" s="169"/>
    </row>
    <row r="89" s="168" customFormat="1" hidden="1" customHeight="1" spans="1:43">
      <c r="A89" s="193" t="s">
        <v>2068</v>
      </c>
      <c r="B89" s="194"/>
      <c r="C89" s="225" t="s">
        <v>2069</v>
      </c>
      <c r="D89" s="207"/>
      <c r="E89" s="207"/>
      <c r="F89" s="195">
        <f t="shared" si="67"/>
        <v>0</v>
      </c>
      <c r="G89" s="195">
        <f t="shared" ref="G89:L89" si="81">N89-D89</f>
        <v>0</v>
      </c>
      <c r="H89" s="195">
        <f t="shared" si="81"/>
        <v>0</v>
      </c>
      <c r="I89" s="195">
        <f t="shared" si="81"/>
        <v>0</v>
      </c>
      <c r="J89" s="195">
        <f t="shared" si="81"/>
        <v>0</v>
      </c>
      <c r="K89" s="195">
        <f t="shared" si="81"/>
        <v>0</v>
      </c>
      <c r="L89" s="195">
        <f t="shared" si="81"/>
        <v>0</v>
      </c>
      <c r="M89" s="195">
        <f t="shared" si="71"/>
        <v>0</v>
      </c>
      <c r="N89" s="195">
        <f t="shared" si="72"/>
        <v>0</v>
      </c>
      <c r="O89" s="195"/>
      <c r="P89" s="195"/>
      <c r="Q89" s="195"/>
      <c r="R89" s="195">
        <f t="shared" si="64"/>
        <v>0</v>
      </c>
      <c r="S89" s="215">
        <f t="shared" si="59"/>
        <v>0</v>
      </c>
      <c r="T89" s="216" t="s">
        <v>1933</v>
      </c>
      <c r="U89" s="221"/>
      <c r="V89" s="221"/>
      <c r="W89" s="221"/>
      <c r="X89" s="221"/>
      <c r="Y89" s="221"/>
      <c r="Z89" s="221"/>
      <c r="AA89" s="221"/>
      <c r="AB89" s="221"/>
      <c r="AC89" s="221"/>
      <c r="AD89" s="221"/>
      <c r="AE89" s="221"/>
      <c r="AF89" s="221"/>
      <c r="AG89" s="221"/>
      <c r="AH89" s="221"/>
      <c r="AI89" s="221"/>
      <c r="AJ89" s="221"/>
      <c r="AK89" s="221"/>
      <c r="AL89" s="221"/>
      <c r="AM89" s="221"/>
      <c r="AN89" s="221"/>
      <c r="AO89" s="221"/>
      <c r="AP89" s="221"/>
      <c r="AQ89" s="221"/>
    </row>
    <row r="90" s="168" customFormat="1" hidden="1" customHeight="1" spans="1:43">
      <c r="A90" s="193" t="s">
        <v>2070</v>
      </c>
      <c r="B90" s="194"/>
      <c r="C90" s="225" t="s">
        <v>2071</v>
      </c>
      <c r="D90" s="207"/>
      <c r="E90" s="207"/>
      <c r="F90" s="195">
        <f t="shared" si="67"/>
        <v>0</v>
      </c>
      <c r="G90" s="195">
        <f t="shared" ref="G90:L90" si="82">N90-D90</f>
        <v>0</v>
      </c>
      <c r="H90" s="195">
        <f t="shared" si="82"/>
        <v>0</v>
      </c>
      <c r="I90" s="195">
        <f t="shared" si="82"/>
        <v>0</v>
      </c>
      <c r="J90" s="195">
        <f t="shared" si="82"/>
        <v>0</v>
      </c>
      <c r="K90" s="195">
        <f t="shared" si="82"/>
        <v>0</v>
      </c>
      <c r="L90" s="195">
        <f t="shared" si="82"/>
        <v>0</v>
      </c>
      <c r="M90" s="195">
        <f t="shared" si="71"/>
        <v>0</v>
      </c>
      <c r="N90" s="195">
        <f t="shared" si="72"/>
        <v>0</v>
      </c>
      <c r="O90" s="195"/>
      <c r="P90" s="195"/>
      <c r="Q90" s="195"/>
      <c r="R90" s="195">
        <f t="shared" si="64"/>
        <v>0</v>
      </c>
      <c r="S90" s="215">
        <f t="shared" si="59"/>
        <v>0</v>
      </c>
      <c r="T90" s="216" t="s">
        <v>1933</v>
      </c>
      <c r="U90" s="221"/>
      <c r="V90" s="221"/>
      <c r="W90" s="221"/>
      <c r="X90" s="221"/>
      <c r="Y90" s="221"/>
      <c r="Z90" s="221"/>
      <c r="AA90" s="221"/>
      <c r="AB90" s="221"/>
      <c r="AC90" s="221"/>
      <c r="AD90" s="221"/>
      <c r="AE90" s="221"/>
      <c r="AF90" s="221"/>
      <c r="AG90" s="221"/>
      <c r="AH90" s="221"/>
      <c r="AI90" s="221"/>
      <c r="AJ90" s="221"/>
      <c r="AK90" s="221"/>
      <c r="AL90" s="221"/>
      <c r="AM90" s="221"/>
      <c r="AN90" s="221"/>
      <c r="AO90" s="221"/>
      <c r="AP90" s="221"/>
      <c r="AQ90" s="221"/>
    </row>
    <row r="91" s="168" customFormat="1" hidden="1" customHeight="1" spans="1:43">
      <c r="A91" s="193" t="s">
        <v>2072</v>
      </c>
      <c r="B91" s="194"/>
      <c r="C91" s="225" t="s">
        <v>2073</v>
      </c>
      <c r="D91" s="207"/>
      <c r="E91" s="207"/>
      <c r="F91" s="195">
        <f t="shared" si="67"/>
        <v>0</v>
      </c>
      <c r="G91" s="195">
        <f t="shared" ref="G91:L91" si="83">N91-D91</f>
        <v>0</v>
      </c>
      <c r="H91" s="195">
        <f t="shared" si="83"/>
        <v>0</v>
      </c>
      <c r="I91" s="195">
        <f t="shared" si="83"/>
        <v>0</v>
      </c>
      <c r="J91" s="195">
        <f t="shared" si="83"/>
        <v>0</v>
      </c>
      <c r="K91" s="195">
        <f t="shared" si="83"/>
        <v>0</v>
      </c>
      <c r="L91" s="195">
        <f t="shared" si="83"/>
        <v>0</v>
      </c>
      <c r="M91" s="195">
        <f t="shared" si="71"/>
        <v>0</v>
      </c>
      <c r="N91" s="195">
        <f t="shared" si="72"/>
        <v>0</v>
      </c>
      <c r="O91" s="195"/>
      <c r="P91" s="195"/>
      <c r="Q91" s="195"/>
      <c r="R91" s="195">
        <f t="shared" si="64"/>
        <v>0</v>
      </c>
      <c r="S91" s="215">
        <f t="shared" si="59"/>
        <v>0</v>
      </c>
      <c r="T91" s="216" t="s">
        <v>1933</v>
      </c>
      <c r="U91" s="221"/>
      <c r="V91" s="221"/>
      <c r="W91" s="221"/>
      <c r="X91" s="221"/>
      <c r="Y91" s="221"/>
      <c r="Z91" s="221"/>
      <c r="AA91" s="221"/>
      <c r="AB91" s="221"/>
      <c r="AC91" s="221"/>
      <c r="AD91" s="221"/>
      <c r="AE91" s="221"/>
      <c r="AF91" s="221"/>
      <c r="AG91" s="221"/>
      <c r="AH91" s="221"/>
      <c r="AI91" s="221"/>
      <c r="AJ91" s="221"/>
      <c r="AK91" s="221"/>
      <c r="AL91" s="221"/>
      <c r="AM91" s="221"/>
      <c r="AN91" s="221"/>
      <c r="AO91" s="221"/>
      <c r="AP91" s="221"/>
      <c r="AQ91" s="221"/>
    </row>
    <row r="92" s="167" customFormat="1" customHeight="1" spans="1:43">
      <c r="A92" s="196" t="s">
        <v>2074</v>
      </c>
      <c r="B92" s="188"/>
      <c r="C92" s="224" t="s">
        <v>2075</v>
      </c>
      <c r="D92" s="205">
        <v>12</v>
      </c>
      <c r="E92" s="205"/>
      <c r="F92" s="199">
        <f t="shared" si="67"/>
        <v>12</v>
      </c>
      <c r="G92" s="199">
        <f t="shared" ref="G92:L92" si="84">N92-D92</f>
        <v>0</v>
      </c>
      <c r="H92" s="200">
        <f t="shared" si="84"/>
        <v>12</v>
      </c>
      <c r="I92" s="200">
        <f t="shared" si="84"/>
        <v>-12</v>
      </c>
      <c r="J92" s="200">
        <f t="shared" si="84"/>
        <v>0</v>
      </c>
      <c r="K92" s="200">
        <f t="shared" si="84"/>
        <v>0</v>
      </c>
      <c r="L92" s="200">
        <f t="shared" si="84"/>
        <v>12</v>
      </c>
      <c r="M92" s="199">
        <f t="shared" si="71"/>
        <v>0</v>
      </c>
      <c r="N92" s="199">
        <f t="shared" si="72"/>
        <v>12</v>
      </c>
      <c r="O92" s="200">
        <v>12</v>
      </c>
      <c r="P92" s="200"/>
      <c r="Q92" s="199"/>
      <c r="R92" s="199">
        <f t="shared" si="64"/>
        <v>12</v>
      </c>
      <c r="S92" s="217">
        <f t="shared" si="59"/>
        <v>0</v>
      </c>
      <c r="T92" s="219"/>
      <c r="U92" s="169"/>
      <c r="V92" s="169"/>
      <c r="W92" s="169"/>
      <c r="X92" s="169"/>
      <c r="Y92" s="169"/>
      <c r="Z92" s="169"/>
      <c r="AA92" s="169"/>
      <c r="AB92" s="169"/>
      <c r="AC92" s="169"/>
      <c r="AD92" s="169"/>
      <c r="AE92" s="169"/>
      <c r="AF92" s="169"/>
      <c r="AG92" s="169"/>
      <c r="AH92" s="169"/>
      <c r="AI92" s="169"/>
      <c r="AJ92" s="169"/>
      <c r="AK92" s="169"/>
      <c r="AL92" s="169"/>
      <c r="AM92" s="169"/>
      <c r="AN92" s="169"/>
      <c r="AO92" s="169"/>
      <c r="AP92" s="169"/>
      <c r="AQ92" s="169"/>
    </row>
    <row r="93" s="167" customFormat="1" customHeight="1" spans="1:43">
      <c r="A93" s="196" t="s">
        <v>2076</v>
      </c>
      <c r="B93" s="188"/>
      <c r="C93" s="224" t="s">
        <v>2077</v>
      </c>
      <c r="D93" s="204">
        <v>33</v>
      </c>
      <c r="E93" s="205"/>
      <c r="F93" s="199">
        <f t="shared" si="67"/>
        <v>33</v>
      </c>
      <c r="G93" s="199">
        <f t="shared" ref="G93:L93" si="85">N93-D93</f>
        <v>0</v>
      </c>
      <c r="H93" s="200">
        <f t="shared" si="85"/>
        <v>33</v>
      </c>
      <c r="I93" s="200">
        <f t="shared" si="85"/>
        <v>-33</v>
      </c>
      <c r="J93" s="200">
        <f t="shared" si="85"/>
        <v>0</v>
      </c>
      <c r="K93" s="200">
        <f t="shared" si="85"/>
        <v>0</v>
      </c>
      <c r="L93" s="200">
        <f t="shared" si="85"/>
        <v>33</v>
      </c>
      <c r="M93" s="199">
        <f t="shared" si="71"/>
        <v>0</v>
      </c>
      <c r="N93" s="199">
        <f t="shared" si="72"/>
        <v>33</v>
      </c>
      <c r="O93" s="200">
        <v>33</v>
      </c>
      <c r="P93" s="200"/>
      <c r="Q93" s="199"/>
      <c r="R93" s="199">
        <f t="shared" si="64"/>
        <v>33</v>
      </c>
      <c r="S93" s="217">
        <f t="shared" si="59"/>
        <v>0</v>
      </c>
      <c r="T93" s="219"/>
      <c r="U93" s="169"/>
      <c r="V93" s="169"/>
      <c r="W93" s="169"/>
      <c r="X93" s="169"/>
      <c r="Y93" s="169"/>
      <c r="Z93" s="169"/>
      <c r="AA93" s="169"/>
      <c r="AB93" s="169"/>
      <c r="AC93" s="169"/>
      <c r="AD93" s="169"/>
      <c r="AE93" s="169"/>
      <c r="AF93" s="169"/>
      <c r="AG93" s="169"/>
      <c r="AH93" s="169"/>
      <c r="AI93" s="169"/>
      <c r="AJ93" s="169"/>
      <c r="AK93" s="169"/>
      <c r="AL93" s="169"/>
      <c r="AM93" s="169"/>
      <c r="AN93" s="169"/>
      <c r="AO93" s="169"/>
      <c r="AP93" s="169"/>
      <c r="AQ93" s="169"/>
    </row>
    <row r="94" s="169" customFormat="1" customHeight="1" spans="1:20">
      <c r="A94" s="196" t="s">
        <v>2078</v>
      </c>
      <c r="B94" s="197"/>
      <c r="C94" s="226" t="s">
        <v>539</v>
      </c>
      <c r="D94" s="199">
        <v>78450</v>
      </c>
      <c r="E94" s="199"/>
      <c r="F94" s="199">
        <f t="shared" si="67"/>
        <v>78450</v>
      </c>
      <c r="G94" s="199">
        <f t="shared" ref="G94:L94" si="86">N94-D94</f>
        <v>17952</v>
      </c>
      <c r="H94" s="200">
        <f t="shared" si="86"/>
        <v>96402</v>
      </c>
      <c r="I94" s="200">
        <f t="shared" si="86"/>
        <v>-78450</v>
      </c>
      <c r="J94" s="200">
        <f t="shared" si="86"/>
        <v>-17952</v>
      </c>
      <c r="K94" s="200">
        <f t="shared" si="86"/>
        <v>0</v>
      </c>
      <c r="L94" s="200">
        <f t="shared" si="86"/>
        <v>78472.8833652008</v>
      </c>
      <c r="M94" s="199">
        <f t="shared" si="71"/>
        <v>0</v>
      </c>
      <c r="N94" s="199">
        <f t="shared" si="72"/>
        <v>96402</v>
      </c>
      <c r="O94" s="200">
        <f>O97</f>
        <v>96402</v>
      </c>
      <c r="P94" s="200"/>
      <c r="Q94" s="199"/>
      <c r="R94" s="199">
        <f t="shared" si="64"/>
        <v>96402</v>
      </c>
      <c r="S94" s="217">
        <f t="shared" si="59"/>
        <v>22.8833652007648</v>
      </c>
      <c r="T94" s="219"/>
    </row>
    <row r="95" s="170" customFormat="1" hidden="1" customHeight="1" spans="1:20">
      <c r="A95" s="193" t="s">
        <v>2079</v>
      </c>
      <c r="B95" s="201"/>
      <c r="C95" s="508" t="s">
        <v>2080</v>
      </c>
      <c r="D95" s="207"/>
      <c r="E95" s="207"/>
      <c r="F95" s="195">
        <f t="shared" si="67"/>
        <v>0</v>
      </c>
      <c r="G95" s="195">
        <f t="shared" ref="G95:L95" si="87">N95-D95</f>
        <v>0</v>
      </c>
      <c r="H95" s="195">
        <f t="shared" si="87"/>
        <v>0</v>
      </c>
      <c r="I95" s="195">
        <f t="shared" si="87"/>
        <v>0</v>
      </c>
      <c r="J95" s="195">
        <f t="shared" si="87"/>
        <v>0</v>
      </c>
      <c r="K95" s="195">
        <f t="shared" si="87"/>
        <v>0</v>
      </c>
      <c r="L95" s="195">
        <f t="shared" si="87"/>
        <v>0</v>
      </c>
      <c r="M95" s="195">
        <f t="shared" si="71"/>
        <v>0</v>
      </c>
      <c r="N95" s="195">
        <f t="shared" si="72"/>
        <v>0</v>
      </c>
      <c r="O95" s="195"/>
      <c r="P95" s="195"/>
      <c r="Q95" s="195"/>
      <c r="R95" s="195">
        <f t="shared" si="64"/>
        <v>0</v>
      </c>
      <c r="S95" s="215">
        <f t="shared" si="59"/>
        <v>0</v>
      </c>
      <c r="T95" s="216" t="s">
        <v>1933</v>
      </c>
    </row>
    <row r="96" s="170" customFormat="1" hidden="1" customHeight="1" spans="1:22">
      <c r="A96" s="228">
        <v>2300401</v>
      </c>
      <c r="B96" s="228"/>
      <c r="C96" s="227" t="s">
        <v>2081</v>
      </c>
      <c r="D96" s="207"/>
      <c r="E96" s="207"/>
      <c r="F96" s="195">
        <f t="shared" si="67"/>
        <v>0</v>
      </c>
      <c r="G96" s="195">
        <f t="shared" ref="G96:L96" si="88">N96-D96</f>
        <v>0</v>
      </c>
      <c r="H96" s="195">
        <f t="shared" si="88"/>
        <v>0</v>
      </c>
      <c r="I96" s="195">
        <f t="shared" si="88"/>
        <v>0</v>
      </c>
      <c r="J96" s="195">
        <f t="shared" si="88"/>
        <v>0</v>
      </c>
      <c r="K96" s="195">
        <f t="shared" si="88"/>
        <v>0</v>
      </c>
      <c r="L96" s="195">
        <f t="shared" si="88"/>
        <v>0</v>
      </c>
      <c r="M96" s="195">
        <f t="shared" si="71"/>
        <v>0</v>
      </c>
      <c r="N96" s="195">
        <f t="shared" si="72"/>
        <v>0</v>
      </c>
      <c r="O96" s="195"/>
      <c r="P96" s="195"/>
      <c r="Q96" s="195"/>
      <c r="R96" s="195">
        <f t="shared" si="64"/>
        <v>0</v>
      </c>
      <c r="S96" s="215">
        <f t="shared" si="59"/>
        <v>0</v>
      </c>
      <c r="T96" s="216" t="s">
        <v>1933</v>
      </c>
      <c r="V96" s="221"/>
    </row>
    <row r="97" s="169" customFormat="1" customHeight="1" spans="1:20">
      <c r="A97" s="196" t="s">
        <v>2082</v>
      </c>
      <c r="B97" s="197"/>
      <c r="C97" s="509" t="s">
        <v>2083</v>
      </c>
      <c r="D97" s="204">
        <v>78450</v>
      </c>
      <c r="E97" s="205"/>
      <c r="F97" s="199">
        <f t="shared" ref="F97:F111" si="89">D97+E97</f>
        <v>78450</v>
      </c>
      <c r="G97" s="199">
        <f t="shared" ref="G97:L97" si="90">N97-D97</f>
        <v>17952</v>
      </c>
      <c r="H97" s="200">
        <f t="shared" si="90"/>
        <v>96402</v>
      </c>
      <c r="I97" s="200">
        <f t="shared" si="90"/>
        <v>-78450</v>
      </c>
      <c r="J97" s="200">
        <f t="shared" si="90"/>
        <v>-17952</v>
      </c>
      <c r="K97" s="200">
        <f t="shared" si="90"/>
        <v>0</v>
      </c>
      <c r="L97" s="200">
        <f t="shared" si="90"/>
        <v>78472.8833652008</v>
      </c>
      <c r="M97" s="199">
        <f t="shared" si="71"/>
        <v>0</v>
      </c>
      <c r="N97" s="199">
        <f t="shared" si="72"/>
        <v>96402</v>
      </c>
      <c r="O97" s="200">
        <v>96402</v>
      </c>
      <c r="P97" s="200"/>
      <c r="Q97" s="199"/>
      <c r="R97" s="199">
        <f t="shared" si="64"/>
        <v>96402</v>
      </c>
      <c r="S97" s="217">
        <f t="shared" si="59"/>
        <v>22.8833652007648</v>
      </c>
      <c r="T97" s="219"/>
    </row>
    <row r="98" s="169" customFormat="1" customHeight="1" spans="1:20">
      <c r="A98" s="196" t="s">
        <v>2084</v>
      </c>
      <c r="B98" s="197"/>
      <c r="C98" s="509" t="s">
        <v>542</v>
      </c>
      <c r="D98" s="204">
        <v>25100</v>
      </c>
      <c r="E98" s="199"/>
      <c r="F98" s="199">
        <f t="shared" si="89"/>
        <v>25100</v>
      </c>
      <c r="G98" s="199">
        <f t="shared" ref="G98:L98" si="91">N98-D98</f>
        <v>0</v>
      </c>
      <c r="H98" s="200">
        <f t="shared" si="91"/>
        <v>25100</v>
      </c>
      <c r="I98" s="200">
        <f t="shared" si="91"/>
        <v>-25100</v>
      </c>
      <c r="J98" s="200">
        <f t="shared" si="91"/>
        <v>0</v>
      </c>
      <c r="K98" s="200">
        <f t="shared" si="91"/>
        <v>0</v>
      </c>
      <c r="L98" s="200">
        <f t="shared" si="91"/>
        <v>25100</v>
      </c>
      <c r="M98" s="199">
        <f t="shared" si="71"/>
        <v>0</v>
      </c>
      <c r="N98" s="199">
        <f t="shared" si="72"/>
        <v>25100</v>
      </c>
      <c r="O98" s="200">
        <v>25100</v>
      </c>
      <c r="P98" s="200"/>
      <c r="Q98" s="199"/>
      <c r="R98" s="199">
        <f t="shared" si="64"/>
        <v>25100</v>
      </c>
      <c r="S98" s="217">
        <f t="shared" si="59"/>
        <v>0</v>
      </c>
      <c r="T98" s="219"/>
    </row>
    <row r="99" s="169" customFormat="1" customHeight="1" spans="1:20">
      <c r="A99" s="196" t="s">
        <v>2085</v>
      </c>
      <c r="B99" s="197"/>
      <c r="C99" s="226" t="s">
        <v>2086</v>
      </c>
      <c r="D99" s="204">
        <v>25100</v>
      </c>
      <c r="E99" s="199"/>
      <c r="F99" s="199">
        <f t="shared" si="89"/>
        <v>25100</v>
      </c>
      <c r="G99" s="199">
        <f t="shared" ref="G99:L99" si="92">N99-D99</f>
        <v>0</v>
      </c>
      <c r="H99" s="200">
        <f t="shared" si="92"/>
        <v>25100</v>
      </c>
      <c r="I99" s="200">
        <f t="shared" si="92"/>
        <v>-25100</v>
      </c>
      <c r="J99" s="200">
        <f t="shared" si="92"/>
        <v>0</v>
      </c>
      <c r="K99" s="200">
        <f t="shared" si="92"/>
        <v>-5200</v>
      </c>
      <c r="L99" s="200">
        <f t="shared" si="92"/>
        <v>25079.2828685259</v>
      </c>
      <c r="M99" s="199">
        <f t="shared" si="71"/>
        <v>0</v>
      </c>
      <c r="N99" s="199">
        <f t="shared" si="72"/>
        <v>25100</v>
      </c>
      <c r="O99" s="232">
        <v>25100</v>
      </c>
      <c r="P99" s="232"/>
      <c r="Q99" s="199"/>
      <c r="R99" s="199">
        <f>+R100</f>
        <v>19900</v>
      </c>
      <c r="S99" s="217">
        <f t="shared" si="59"/>
        <v>-20.7171314741036</v>
      </c>
      <c r="T99" s="219"/>
    </row>
    <row r="100" s="169" customFormat="1" customHeight="1" spans="1:20">
      <c r="A100" s="196" t="s">
        <v>2087</v>
      </c>
      <c r="B100" s="197"/>
      <c r="C100" s="226" t="s">
        <v>2088</v>
      </c>
      <c r="D100" s="204">
        <v>19900</v>
      </c>
      <c r="E100" s="199"/>
      <c r="F100" s="199">
        <f t="shared" si="89"/>
        <v>19900</v>
      </c>
      <c r="G100" s="199">
        <f t="shared" ref="G100:L100" si="93">N100-D100</f>
        <v>0</v>
      </c>
      <c r="H100" s="200">
        <f t="shared" si="93"/>
        <v>19900</v>
      </c>
      <c r="I100" s="200">
        <f t="shared" si="93"/>
        <v>-19900</v>
      </c>
      <c r="J100" s="200">
        <f t="shared" si="93"/>
        <v>0</v>
      </c>
      <c r="K100" s="200">
        <f t="shared" si="93"/>
        <v>0</v>
      </c>
      <c r="L100" s="200">
        <f t="shared" si="93"/>
        <v>19900</v>
      </c>
      <c r="M100" s="199">
        <f t="shared" si="71"/>
        <v>0</v>
      </c>
      <c r="N100" s="199">
        <f t="shared" si="72"/>
        <v>19900</v>
      </c>
      <c r="O100" s="232">
        <v>19900</v>
      </c>
      <c r="P100" s="232"/>
      <c r="Q100" s="199"/>
      <c r="R100" s="199">
        <f>+N100</f>
        <v>19900</v>
      </c>
      <c r="S100" s="217">
        <f t="shared" si="59"/>
        <v>0</v>
      </c>
      <c r="T100" s="219"/>
    </row>
    <row r="101" s="169" customFormat="1" customHeight="1" spans="1:20">
      <c r="A101" s="196" t="s">
        <v>2089</v>
      </c>
      <c r="B101" s="197"/>
      <c r="C101" s="226" t="s">
        <v>2090</v>
      </c>
      <c r="D101" s="204">
        <v>5200</v>
      </c>
      <c r="E101" s="199"/>
      <c r="F101" s="199">
        <f t="shared" si="89"/>
        <v>5200</v>
      </c>
      <c r="G101" s="199">
        <f t="shared" ref="G101:L101" si="94">N101-D101</f>
        <v>0</v>
      </c>
      <c r="H101" s="200">
        <f t="shared" si="94"/>
        <v>5200</v>
      </c>
      <c r="I101" s="200">
        <f t="shared" si="94"/>
        <v>-5200</v>
      </c>
      <c r="J101" s="200">
        <f t="shared" si="94"/>
        <v>0</v>
      </c>
      <c r="K101" s="200">
        <f t="shared" si="94"/>
        <v>0</v>
      </c>
      <c r="L101" s="200">
        <f t="shared" si="94"/>
        <v>5200</v>
      </c>
      <c r="M101" s="199">
        <f t="shared" si="71"/>
        <v>0</v>
      </c>
      <c r="N101" s="199">
        <f t="shared" si="72"/>
        <v>5200</v>
      </c>
      <c r="O101" s="232">
        <v>5200</v>
      </c>
      <c r="P101" s="232"/>
      <c r="Q101" s="199"/>
      <c r="R101" s="199">
        <f>+N101</f>
        <v>5200</v>
      </c>
      <c r="S101" s="217">
        <f t="shared" si="59"/>
        <v>0</v>
      </c>
      <c r="T101" s="219"/>
    </row>
    <row r="102" s="169" customFormat="1" customHeight="1" spans="1:20">
      <c r="A102" s="196" t="s">
        <v>2091</v>
      </c>
      <c r="B102" s="197"/>
      <c r="C102" s="226" t="s">
        <v>545</v>
      </c>
      <c r="D102" s="204">
        <v>16426.26</v>
      </c>
      <c r="E102" s="199"/>
      <c r="F102" s="199">
        <f t="shared" si="89"/>
        <v>16426.26</v>
      </c>
      <c r="G102" s="199">
        <f t="shared" ref="G102:L102" si="95">N102-D102</f>
        <v>4575</v>
      </c>
      <c r="H102" s="200">
        <f t="shared" si="95"/>
        <v>21001.26</v>
      </c>
      <c r="I102" s="200">
        <f t="shared" si="95"/>
        <v>-16426.26</v>
      </c>
      <c r="J102" s="200">
        <f t="shared" si="95"/>
        <v>-4575</v>
      </c>
      <c r="K102" s="200">
        <f t="shared" si="95"/>
        <v>0</v>
      </c>
      <c r="L102" s="200">
        <f t="shared" si="95"/>
        <v>16454.1117447063</v>
      </c>
      <c r="M102" s="199">
        <f t="shared" si="71"/>
        <v>0</v>
      </c>
      <c r="N102" s="199">
        <f t="shared" si="72"/>
        <v>21001.26</v>
      </c>
      <c r="O102" s="200">
        <f>O103</f>
        <v>21001.26</v>
      </c>
      <c r="P102" s="200"/>
      <c r="Q102" s="199"/>
      <c r="R102" s="199">
        <f>+R103</f>
        <v>21001.26</v>
      </c>
      <c r="S102" s="217">
        <f t="shared" si="59"/>
        <v>27.8517447063422</v>
      </c>
      <c r="T102" s="219"/>
    </row>
    <row r="103" s="169" customFormat="1" customHeight="1" spans="1:20">
      <c r="A103" s="196" t="s">
        <v>2092</v>
      </c>
      <c r="B103" s="197"/>
      <c r="C103" s="226" t="s">
        <v>2093</v>
      </c>
      <c r="D103" s="204">
        <v>16426.26</v>
      </c>
      <c r="E103" s="199"/>
      <c r="F103" s="199">
        <f t="shared" si="89"/>
        <v>16426.26</v>
      </c>
      <c r="G103" s="199">
        <f t="shared" ref="G103:L103" si="96">N103-D103</f>
        <v>4575</v>
      </c>
      <c r="H103" s="200">
        <f t="shared" si="96"/>
        <v>21001.26</v>
      </c>
      <c r="I103" s="200">
        <f t="shared" si="96"/>
        <v>-16426.26</v>
      </c>
      <c r="J103" s="200">
        <f t="shared" si="96"/>
        <v>-4575</v>
      </c>
      <c r="K103" s="200">
        <f t="shared" si="96"/>
        <v>0</v>
      </c>
      <c r="L103" s="200">
        <f t="shared" si="96"/>
        <v>16454.1117447063</v>
      </c>
      <c r="M103" s="199">
        <f t="shared" si="71"/>
        <v>0</v>
      </c>
      <c r="N103" s="199">
        <f t="shared" si="72"/>
        <v>21001.26</v>
      </c>
      <c r="O103" s="200">
        <f>O104+O105+O106</f>
        <v>21001.26</v>
      </c>
      <c r="P103" s="200"/>
      <c r="Q103" s="199"/>
      <c r="R103" s="199">
        <f t="shared" ref="R103:R111" si="97">N103+Q103</f>
        <v>21001.26</v>
      </c>
      <c r="S103" s="217">
        <f t="shared" si="59"/>
        <v>27.8517447063422</v>
      </c>
      <c r="T103" s="219"/>
    </row>
    <row r="104" s="169" customFormat="1" customHeight="1" spans="1:20">
      <c r="A104" s="196" t="s">
        <v>2094</v>
      </c>
      <c r="B104" s="197"/>
      <c r="C104" s="226" t="s">
        <v>2095</v>
      </c>
      <c r="D104" s="204">
        <v>3330.41</v>
      </c>
      <c r="E104" s="205"/>
      <c r="F104" s="199">
        <f t="shared" si="89"/>
        <v>3330.41</v>
      </c>
      <c r="G104" s="199">
        <f t="shared" ref="G104:L104" si="98">N104-D104</f>
        <v>0</v>
      </c>
      <c r="H104" s="200">
        <f t="shared" si="98"/>
        <v>3330.41</v>
      </c>
      <c r="I104" s="200">
        <f t="shared" si="98"/>
        <v>-3330.41</v>
      </c>
      <c r="J104" s="200">
        <f t="shared" si="98"/>
        <v>0</v>
      </c>
      <c r="K104" s="200">
        <f t="shared" si="98"/>
        <v>0</v>
      </c>
      <c r="L104" s="200">
        <f t="shared" si="98"/>
        <v>3330.41</v>
      </c>
      <c r="M104" s="199">
        <f t="shared" si="71"/>
        <v>0</v>
      </c>
      <c r="N104" s="199">
        <f t="shared" si="72"/>
        <v>3330.41</v>
      </c>
      <c r="O104" s="200">
        <v>3330.41</v>
      </c>
      <c r="P104" s="200"/>
      <c r="Q104" s="199"/>
      <c r="R104" s="199">
        <f t="shared" si="97"/>
        <v>3330.41</v>
      </c>
      <c r="S104" s="217">
        <f t="shared" si="59"/>
        <v>0</v>
      </c>
      <c r="T104" s="219"/>
    </row>
    <row r="105" s="169" customFormat="1" customHeight="1" spans="1:20">
      <c r="A105" s="196" t="s">
        <v>2096</v>
      </c>
      <c r="B105" s="197"/>
      <c r="C105" s="226" t="s">
        <v>2097</v>
      </c>
      <c r="D105" s="204">
        <v>1037.6</v>
      </c>
      <c r="E105" s="205"/>
      <c r="F105" s="199">
        <f t="shared" si="89"/>
        <v>1037.6</v>
      </c>
      <c r="G105" s="199">
        <f t="shared" ref="G105:L105" si="99">N105-D105</f>
        <v>0</v>
      </c>
      <c r="H105" s="200">
        <f t="shared" si="99"/>
        <v>1037.6</v>
      </c>
      <c r="I105" s="200">
        <f t="shared" si="99"/>
        <v>-1037.6</v>
      </c>
      <c r="J105" s="200">
        <f t="shared" si="99"/>
        <v>0</v>
      </c>
      <c r="K105" s="200">
        <f t="shared" si="99"/>
        <v>0</v>
      </c>
      <c r="L105" s="200">
        <f t="shared" si="99"/>
        <v>1037.6</v>
      </c>
      <c r="M105" s="199">
        <f t="shared" si="71"/>
        <v>0</v>
      </c>
      <c r="N105" s="199">
        <f t="shared" si="72"/>
        <v>1037.6</v>
      </c>
      <c r="O105" s="200">
        <v>1037.6</v>
      </c>
      <c r="P105" s="200"/>
      <c r="Q105" s="199"/>
      <c r="R105" s="199">
        <f t="shared" si="97"/>
        <v>1037.6</v>
      </c>
      <c r="S105" s="217">
        <f t="shared" si="59"/>
        <v>0</v>
      </c>
      <c r="T105" s="219"/>
    </row>
    <row r="106" s="169" customFormat="1" customHeight="1" spans="1:20">
      <c r="A106" s="196" t="s">
        <v>2098</v>
      </c>
      <c r="B106" s="197"/>
      <c r="C106" s="226" t="s">
        <v>2099</v>
      </c>
      <c r="D106" s="204">
        <v>12058.25</v>
      </c>
      <c r="E106" s="205"/>
      <c r="F106" s="199">
        <f t="shared" si="89"/>
        <v>12058.25</v>
      </c>
      <c r="G106" s="199">
        <f t="shared" ref="G106:L106" si="100">N106-D106</f>
        <v>4575</v>
      </c>
      <c r="H106" s="200">
        <f t="shared" si="100"/>
        <v>16633.25</v>
      </c>
      <c r="I106" s="200">
        <f t="shared" si="100"/>
        <v>-12058.25</v>
      </c>
      <c r="J106" s="200">
        <f t="shared" si="100"/>
        <v>-4575</v>
      </c>
      <c r="K106" s="200">
        <f t="shared" si="100"/>
        <v>0</v>
      </c>
      <c r="L106" s="200">
        <f t="shared" si="100"/>
        <v>12096.1908288931</v>
      </c>
      <c r="M106" s="199">
        <f t="shared" si="71"/>
        <v>0</v>
      </c>
      <c r="N106" s="199">
        <f t="shared" si="72"/>
        <v>16633.25</v>
      </c>
      <c r="O106" s="200">
        <v>16633.25</v>
      </c>
      <c r="P106" s="200"/>
      <c r="Q106" s="199"/>
      <c r="R106" s="199">
        <f t="shared" si="97"/>
        <v>16633.25</v>
      </c>
      <c r="S106" s="217">
        <f t="shared" si="59"/>
        <v>37.9408288930815</v>
      </c>
      <c r="T106" s="219"/>
    </row>
    <row r="107" s="169" customFormat="1" customHeight="1" spans="1:20">
      <c r="A107" s="196" t="s">
        <v>2100</v>
      </c>
      <c r="B107" s="197"/>
      <c r="C107" s="226" t="s">
        <v>549</v>
      </c>
      <c r="D107" s="199">
        <v>280.31</v>
      </c>
      <c r="E107" s="199"/>
      <c r="F107" s="199">
        <f t="shared" si="89"/>
        <v>280.31</v>
      </c>
      <c r="G107" s="199">
        <f t="shared" ref="G107:L107" si="101">N107-D107</f>
        <v>145</v>
      </c>
      <c r="H107" s="200">
        <f t="shared" si="101"/>
        <v>425.31</v>
      </c>
      <c r="I107" s="200">
        <f t="shared" si="101"/>
        <v>-280.31</v>
      </c>
      <c r="J107" s="200">
        <f t="shared" si="101"/>
        <v>-145</v>
      </c>
      <c r="K107" s="200">
        <f t="shared" si="101"/>
        <v>0</v>
      </c>
      <c r="L107" s="200">
        <f t="shared" si="101"/>
        <v>332.038443508972</v>
      </c>
      <c r="M107" s="199">
        <f t="shared" si="71"/>
        <v>0</v>
      </c>
      <c r="N107" s="199">
        <f t="shared" si="72"/>
        <v>425.31</v>
      </c>
      <c r="O107" s="200">
        <f>O108</f>
        <v>425.31</v>
      </c>
      <c r="P107" s="200"/>
      <c r="Q107" s="199"/>
      <c r="R107" s="199">
        <f t="shared" si="97"/>
        <v>425.31</v>
      </c>
      <c r="S107" s="217">
        <f t="shared" si="59"/>
        <v>51.7284435089722</v>
      </c>
      <c r="T107" s="219"/>
    </row>
    <row r="108" s="169" customFormat="1" customHeight="1" spans="1:20">
      <c r="A108" s="196" t="s">
        <v>2101</v>
      </c>
      <c r="B108" s="197"/>
      <c r="C108" s="226" t="s">
        <v>2102</v>
      </c>
      <c r="D108" s="199">
        <v>280.31</v>
      </c>
      <c r="E108" s="199"/>
      <c r="F108" s="199">
        <f t="shared" si="89"/>
        <v>280.31</v>
      </c>
      <c r="G108" s="199">
        <f t="shared" ref="G108:L108" si="102">N108-D108</f>
        <v>145</v>
      </c>
      <c r="H108" s="200">
        <f t="shared" si="102"/>
        <v>425.31</v>
      </c>
      <c r="I108" s="200">
        <f t="shared" si="102"/>
        <v>-280.31</v>
      </c>
      <c r="J108" s="200">
        <f t="shared" si="102"/>
        <v>-145</v>
      </c>
      <c r="K108" s="200">
        <f t="shared" si="102"/>
        <v>0</v>
      </c>
      <c r="L108" s="200">
        <f t="shared" si="102"/>
        <v>332.038443508972</v>
      </c>
      <c r="M108" s="199">
        <f t="shared" si="71"/>
        <v>0</v>
      </c>
      <c r="N108" s="199">
        <f t="shared" si="72"/>
        <v>425.31</v>
      </c>
      <c r="O108" s="200">
        <f>O109+O110+O111</f>
        <v>425.31</v>
      </c>
      <c r="P108" s="200"/>
      <c r="Q108" s="199"/>
      <c r="R108" s="199">
        <f t="shared" si="97"/>
        <v>425.31</v>
      </c>
      <c r="S108" s="217">
        <f t="shared" si="59"/>
        <v>51.7284435089722</v>
      </c>
      <c r="T108" s="219"/>
    </row>
    <row r="109" s="169" customFormat="1" customHeight="1" spans="1:20">
      <c r="A109" s="196" t="s">
        <v>2103</v>
      </c>
      <c r="B109" s="197"/>
      <c r="C109" s="226" t="s">
        <v>2104</v>
      </c>
      <c r="D109" s="205">
        <v>33.14</v>
      </c>
      <c r="E109" s="205"/>
      <c r="F109" s="199">
        <f t="shared" si="89"/>
        <v>33.14</v>
      </c>
      <c r="G109" s="199">
        <f t="shared" ref="G109:L109" si="103">N109-D109</f>
        <v>0</v>
      </c>
      <c r="H109" s="200">
        <f t="shared" si="103"/>
        <v>33.14</v>
      </c>
      <c r="I109" s="200">
        <f t="shared" si="103"/>
        <v>-33.14</v>
      </c>
      <c r="J109" s="200">
        <f t="shared" si="103"/>
        <v>0</v>
      </c>
      <c r="K109" s="200">
        <f t="shared" si="103"/>
        <v>0</v>
      </c>
      <c r="L109" s="200">
        <f t="shared" si="103"/>
        <v>33.14</v>
      </c>
      <c r="M109" s="199">
        <f t="shared" si="71"/>
        <v>0</v>
      </c>
      <c r="N109" s="199">
        <f t="shared" si="72"/>
        <v>33.14</v>
      </c>
      <c r="O109" s="200">
        <v>33.14</v>
      </c>
      <c r="P109" s="200"/>
      <c r="Q109" s="199"/>
      <c r="R109" s="199">
        <f t="shared" si="97"/>
        <v>33.14</v>
      </c>
      <c r="S109" s="217">
        <f t="shared" si="59"/>
        <v>0</v>
      </c>
      <c r="T109" s="219"/>
    </row>
    <row r="110" s="169" customFormat="1" customHeight="1" spans="1:20">
      <c r="A110" s="196" t="s">
        <v>2105</v>
      </c>
      <c r="B110" s="197"/>
      <c r="C110" s="226" t="s">
        <v>2106</v>
      </c>
      <c r="D110" s="199">
        <v>6</v>
      </c>
      <c r="E110" s="199"/>
      <c r="F110" s="199">
        <f t="shared" si="89"/>
        <v>6</v>
      </c>
      <c r="G110" s="199">
        <f t="shared" ref="G110:L110" si="104">N110-D110</f>
        <v>0</v>
      </c>
      <c r="H110" s="200">
        <f t="shared" si="104"/>
        <v>6</v>
      </c>
      <c r="I110" s="200">
        <f t="shared" si="104"/>
        <v>-6</v>
      </c>
      <c r="J110" s="200">
        <f t="shared" si="104"/>
        <v>0</v>
      </c>
      <c r="K110" s="200">
        <f t="shared" si="104"/>
        <v>0</v>
      </c>
      <c r="L110" s="200">
        <f t="shared" si="104"/>
        <v>6</v>
      </c>
      <c r="M110" s="199">
        <f t="shared" si="71"/>
        <v>0</v>
      </c>
      <c r="N110" s="199">
        <f t="shared" si="72"/>
        <v>6</v>
      </c>
      <c r="O110" s="200">
        <v>6</v>
      </c>
      <c r="P110" s="200"/>
      <c r="Q110" s="199"/>
      <c r="R110" s="199">
        <f t="shared" si="97"/>
        <v>6</v>
      </c>
      <c r="S110" s="217">
        <f t="shared" si="59"/>
        <v>0</v>
      </c>
      <c r="T110" s="219"/>
    </row>
    <row r="111" s="169" customFormat="1" customHeight="1" spans="1:20">
      <c r="A111" s="196" t="s">
        <v>2107</v>
      </c>
      <c r="B111" s="197"/>
      <c r="C111" s="226" t="s">
        <v>2108</v>
      </c>
      <c r="D111" s="204">
        <v>241.17</v>
      </c>
      <c r="E111" s="205"/>
      <c r="F111" s="199">
        <f t="shared" si="89"/>
        <v>241.17</v>
      </c>
      <c r="G111" s="199">
        <f t="shared" ref="G111:L111" si="105">N111-D111</f>
        <v>145</v>
      </c>
      <c r="H111" s="200">
        <f t="shared" si="105"/>
        <v>386.17</v>
      </c>
      <c r="I111" s="200">
        <f t="shared" si="105"/>
        <v>-241.17</v>
      </c>
      <c r="J111" s="200">
        <f t="shared" si="105"/>
        <v>-145</v>
      </c>
      <c r="K111" s="200">
        <f t="shared" si="105"/>
        <v>0</v>
      </c>
      <c r="L111" s="200">
        <f t="shared" si="105"/>
        <v>301.293564290749</v>
      </c>
      <c r="M111" s="199">
        <f t="shared" si="71"/>
        <v>0</v>
      </c>
      <c r="N111" s="199">
        <f t="shared" si="72"/>
        <v>386.17</v>
      </c>
      <c r="O111" s="200">
        <v>386.17</v>
      </c>
      <c r="P111" s="200"/>
      <c r="Q111" s="199"/>
      <c r="R111" s="199">
        <f t="shared" si="97"/>
        <v>386.17</v>
      </c>
      <c r="S111" s="217">
        <f t="shared" si="59"/>
        <v>60.1235642907493</v>
      </c>
      <c r="T111" s="219"/>
    </row>
    <row r="112" s="172" customFormat="1" customHeight="1" spans="1:20">
      <c r="A112" s="187"/>
      <c r="B112" s="229"/>
      <c r="C112" s="187" t="s">
        <v>2109</v>
      </c>
      <c r="D112" s="230">
        <f>D6+D10+D15+D21+D54+D64+D69+D77+D94+D98+D102+D107+1</f>
        <v>537021.1041</v>
      </c>
      <c r="E112" s="230">
        <f>E6+E10+E15+E21+E54+E64+E69+E77+E94+E98+E102+E107-1</f>
        <v>7341.5</v>
      </c>
      <c r="F112" s="230">
        <f>F6+F10+F15+F21+F54+F64+F69+F77+F94+F98+F102+F107</f>
        <v>544362.6041</v>
      </c>
      <c r="G112" s="230">
        <f>G6+G10+G15+G21+G54+G64+G69+G77+G94+G98+G102+G107</f>
        <v>-5620.85110000001</v>
      </c>
      <c r="H112" s="231" t="e">
        <f>H6+H10+H15+H21+H54+H64+H69+H77+H94+H98+H107+#REF!</f>
        <v>#REF!</v>
      </c>
      <c r="I112" s="231" t="e">
        <f>I6+I10+I15+I21+I54+I64+I69+I77+I94+I98+I107+#REF!</f>
        <v>#REF!</v>
      </c>
      <c r="J112" s="231" t="e">
        <f>J6+J10+J15+J21+J54+J64+J69+J77+J94+J98+J107+#REF!</f>
        <v>#REF!</v>
      </c>
      <c r="K112" s="231"/>
      <c r="L112" s="231">
        <f t="shared" ref="L112:Q112" si="106">L6+L10+L15+L21+L54+L64+L69+L77+L94+L98+L102+L107</f>
        <v>523762.078786106</v>
      </c>
      <c r="M112" s="230">
        <f t="shared" si="106"/>
        <v>-0.00999999999999091</v>
      </c>
      <c r="N112" s="230">
        <f t="shared" si="106"/>
        <v>531399.253</v>
      </c>
      <c r="O112" s="231">
        <f t="shared" si="106"/>
        <v>510721.253</v>
      </c>
      <c r="P112" s="231">
        <f t="shared" si="106"/>
        <v>20678</v>
      </c>
      <c r="Q112" s="230">
        <f>Q6+Q10+Q15+Q21+Q54+Q64+Q69+Q77+Q94+Q98+Q102+Q107+1</f>
        <v>7342.49</v>
      </c>
      <c r="R112" s="230">
        <f>R6+R10+R15+R21+R54+R64+R69+R77+R94+R98+R102+R107-0.2</f>
        <v>538740.543</v>
      </c>
      <c r="S112" s="233">
        <f t="shared" si="59"/>
        <v>-1.03277871361039</v>
      </c>
      <c r="T112" s="234"/>
    </row>
  </sheetData>
  <autoFilter ref="A5:XFD112">
    <filterColumn colId="19">
      <filters blank="1"/>
    </filterColumn>
    <extLst/>
  </autoFilter>
  <mergeCells count="8">
    <mergeCell ref="A2:T2"/>
    <mergeCell ref="D4:F4"/>
    <mergeCell ref="G4:M4"/>
    <mergeCell ref="N4:R4"/>
    <mergeCell ref="C4:C5"/>
    <mergeCell ref="S4:S5"/>
    <mergeCell ref="T4:T5"/>
    <mergeCell ref="A4:B5"/>
  </mergeCells>
  <printOptions horizontalCentered="1"/>
  <pageMargins left="0.393055555555556" right="0.393055555555556" top="0.590277777777778" bottom="0.590277777777778" header="0.196527777777778" footer="0.196527777777778"/>
  <pageSetup paperSize="9" scale="94" fitToHeight="0" orientation="landscape" horizontalDpi="600"/>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封面</vt:lpstr>
      <vt:lpstr>目录</vt:lpstr>
      <vt:lpstr>（附表1）公共财政预算收入</vt:lpstr>
      <vt:lpstr>（附表2）公共预算支出科目</vt:lpstr>
      <vt:lpstr>（附表3）公共预算支出项目</vt:lpstr>
      <vt:lpstr>（附表4）财力性补助</vt:lpstr>
      <vt:lpstr>（附表5）政府性基金预算收入科目</vt:lpstr>
      <vt:lpstr>（附表6）政府性基金预算收入项目</vt:lpstr>
      <vt:lpstr>（附表7）政府性基金支出科目</vt:lpstr>
      <vt:lpstr>（附表8）政府性基金预算支出项目</vt:lpstr>
      <vt:lpstr>（附表9）社会保险基金收入表</vt:lpstr>
      <vt:lpstr>（附表10）社会保险基金支出表</vt:lpstr>
      <vt:lpstr>（附表11）新增债券资金用途</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大云朵</cp:lastModifiedBy>
  <cp:revision>1</cp:revision>
  <dcterms:created xsi:type="dcterms:W3CDTF">1996-12-17T01:32:00Z</dcterms:created>
  <cp:lastPrinted>2021-09-15T00:35:00Z</cp:lastPrinted>
  <dcterms:modified xsi:type="dcterms:W3CDTF">2023-12-15T07:54:28Z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KSORubyTemplateID">
    <vt:lpwstr>14</vt:lpwstr>
  </property>
  <property fmtid="{D5CDD505-2E9C-101B-9397-08002B2CF9AE}" pid="4" name="ICV">
    <vt:lpwstr>C88BB34DDC0443838362D4CED6A359B0</vt:lpwstr>
  </property>
</Properties>
</file>